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3430148b6ca6fa4/Documents/GW Data Analytics/Module 1/Challenge/"/>
    </mc:Choice>
  </mc:AlternateContent>
  <xr:revisionPtr revIDLastSave="3" documentId="14_{D5368873-27B3-4A08-9870-31FED78642F0}" xr6:coauthVersionLast="47" xr6:coauthVersionMax="47" xr10:uidLastSave="{EF185191-995C-4DAC-817A-8FE57BC72EBE}"/>
  <bookViews>
    <workbookView xWindow="28680" yWindow="-120" windowWidth="29040" windowHeight="15840" xr2:uid="{00000000-000D-0000-FFFF-FFFF00000000}"/>
  </bookViews>
  <sheets>
    <sheet name="Outcomes Based on Goals" sheetId="12" r:id="rId1"/>
    <sheet name="Theater Outcomes by Launch Date" sheetId="11" r:id="rId2"/>
    <sheet name="Kickstarter" sheetId="1" r:id="rId3"/>
    <sheet name="Descriptive Statistics" sheetId="9" r:id="rId4"/>
    <sheet name="Edingburgh Research" sheetId="6" r:id="rId5"/>
    <sheet name="Category Statistics" sheetId="2" r:id="rId6"/>
    <sheet name="Subcategory Statistics" sheetId="4" r:id="rId7"/>
    <sheet name="Outcomes Based on Launch Date" sheetId="5" r:id="rId8"/>
  </sheets>
  <definedNames>
    <definedName name="_xlnm._FilterDatabase" localSheetId="2" hidden="1">Kickstarter!$A$1:$T$4115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/>
  <c r="F2" i="12" s="1"/>
  <c r="H2" i="12" s="1"/>
  <c r="H3" i="12"/>
  <c r="H4" i="12"/>
  <c r="H5" i="12"/>
  <c r="H6" i="12"/>
  <c r="H7" i="12"/>
  <c r="H8" i="12"/>
  <c r="H9" i="12"/>
  <c r="H10" i="12"/>
  <c r="H11" i="12"/>
  <c r="H12" i="12"/>
  <c r="H13" i="12"/>
  <c r="G3" i="12"/>
  <c r="G4" i="12"/>
  <c r="G5" i="12"/>
  <c r="G6" i="12"/>
  <c r="G7" i="12"/>
  <c r="G8" i="12"/>
  <c r="G9" i="12"/>
  <c r="G10" i="12"/>
  <c r="G11" i="12"/>
  <c r="G12" i="12"/>
  <c r="G13" i="12"/>
  <c r="F3" i="12"/>
  <c r="F4" i="12"/>
  <c r="F5" i="12"/>
  <c r="F6" i="12"/>
  <c r="F7" i="12"/>
  <c r="F8" i="12"/>
  <c r="F9" i="12"/>
  <c r="F10" i="12"/>
  <c r="F11" i="12"/>
  <c r="F12" i="12"/>
  <c r="F13" i="12"/>
  <c r="E13" i="12"/>
  <c r="E12" i="12"/>
  <c r="E11" i="12"/>
  <c r="E10" i="12"/>
  <c r="E9" i="12"/>
  <c r="E8" i="12"/>
  <c r="E7" i="12"/>
  <c r="E6" i="12"/>
  <c r="E5" i="12"/>
  <c r="E4" i="12"/>
  <c r="E3" i="12"/>
  <c r="E2" i="12"/>
  <c r="D2" i="12"/>
  <c r="D13" i="12"/>
  <c r="D12" i="12"/>
  <c r="D11" i="12"/>
  <c r="D10" i="12"/>
  <c r="D9" i="12"/>
  <c r="D8" i="12"/>
  <c r="D6" i="12"/>
  <c r="D7" i="12"/>
  <c r="D5" i="12"/>
  <c r="D4" i="12"/>
  <c r="D3" i="12"/>
  <c r="C13" i="12"/>
  <c r="C12" i="12"/>
  <c r="C11" i="12"/>
  <c r="C10" i="12"/>
  <c r="C9" i="12"/>
  <c r="C8" i="12"/>
  <c r="C7" i="12"/>
  <c r="C6" i="12"/>
  <c r="C5" i="12"/>
  <c r="C4" i="12"/>
  <c r="C3" i="12"/>
  <c r="C14" i="9"/>
  <c r="C12" i="9"/>
  <c r="B13" i="9"/>
  <c r="C13" i="9"/>
  <c r="B12" i="9"/>
  <c r="B5" i="9"/>
  <c r="C11" i="9"/>
  <c r="B11" i="9"/>
  <c r="B4" i="9"/>
  <c r="C6" i="9"/>
  <c r="B6" i="9"/>
  <c r="C5" i="9"/>
  <c r="C7" i="9" s="1"/>
  <c r="C4" i="9"/>
  <c r="C10" i="9"/>
  <c r="B10" i="9"/>
  <c r="B3" i="9"/>
  <c r="C9" i="9"/>
  <c r="B9" i="9"/>
  <c r="B2" i="9"/>
  <c r="C3" i="9"/>
  <c r="C2" i="9"/>
  <c r="F3" i="6"/>
  <c r="F4" i="6"/>
  <c r="F5" i="6"/>
  <c r="F6" i="6"/>
  <c r="F2" i="6"/>
  <c r="C3" i="6"/>
  <c r="C4" i="6"/>
  <c r="C5" i="6"/>
  <c r="C6" i="6"/>
  <c r="D3" i="6"/>
  <c r="D4" i="6"/>
  <c r="D5" i="6"/>
  <c r="D6" i="6"/>
  <c r="D2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B14" i="9" l="1"/>
  <c r="G2" i="12"/>
  <c r="B7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<sst xmlns="http://schemas.openxmlformats.org/spreadsheetml/2006/main" count="33050" uniqueCount="8420">
  <si>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</si>
  <si>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</si>
  <si>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</si>
  <si>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</si>
  <si>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</si>
  <si>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</si>
  <si>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</si>
  <si>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</si>
  <si>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</si>
  <si>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</si>
  <si>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</si>
  <si>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</si>
  <si>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</si>
  <si>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</si>
  <si>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</si>
  <si>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</si>
  <si>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</si>
  <si>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</si>
  <si>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</si>
  <si>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</si>
  <si>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</si>
  <si>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</si>
  <si>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</si>
  <si>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</si>
  <si>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</si>
  <si>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</si>
  <si>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</si>
  <si>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</si>
  <si>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</si>
  <si>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</si>
  <si>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</si>
  <si>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</si>
  <si>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</si>
  <si>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</si>
  <si>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</si>
  <si>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</si>
  <si>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</si>
  <si>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</si>
  <si>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</si>
  <si>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</si>
  <si>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</si>
  <si>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</si>
  <si>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</si>
  <si>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</si>
  <si>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</si>
  <si>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</si>
  <si>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</si>
  <si>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</si>
  <si>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</si>
  <si>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</si>
  <si>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</si>
  <si>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</si>
  <si>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</si>
  <si>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</si>
  <si>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</si>
  <si>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</si>
  <si>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</si>
  <si>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</si>
  <si>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</si>
  <si>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</si>
  <si>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</si>
  <si>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</si>
  <si>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</si>
  <si>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</si>
  <si>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</si>
  <si>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</si>
  <si>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</si>
  <si>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</si>
  <si>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</si>
  <si>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</si>
  <si>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</si>
  <si>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</si>
  <si>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</si>
  <si>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</si>
  <si>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</si>
  <si>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</si>
  <si>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</si>
  <si>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</si>
  <si>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</si>
  <si>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</si>
  <si>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</si>
  <si>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</si>
  <si>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</si>
  <si>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</si>
  <si>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</si>
  <si>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</si>
  <si>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</si>
  <si>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</si>
  <si>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</si>
  <si>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</si>
  <si>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</si>
  <si>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</si>
  <si>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</si>
  <si>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</si>
  <si>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</si>
  <si>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</si>
  <si>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</si>
  <si>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</si>
  <si>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</si>
  <si>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</si>
  <si>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</si>
  <si>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</si>
  <si>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</si>
  <si>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</si>
  <si>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</si>
  <si>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</si>
  <si>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</si>
  <si>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</si>
  <si>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</si>
  <si>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</si>
  <si>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</si>
  <si>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</si>
  <si>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</si>
  <si>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</si>
  <si>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</si>
  <si>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</si>
  <si>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</si>
  <si>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</si>
  <si>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</si>
  <si>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</si>
  <si>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</si>
  <si>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</si>
  <si>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</si>
  <si>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</si>
  <si>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</si>
  <si>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</si>
  <si>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</si>
  <si>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</si>
  <si>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</si>
  <si>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</si>
  <si>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</si>
  <si>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</si>
  <si>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</si>
  <si>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</si>
  <si>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</si>
  <si>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</si>
  <si>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</si>
  <si>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</si>
  <si>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</si>
  <si>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</si>
  <si>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</si>
  <si>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</si>
  <si>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</si>
  <si>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</si>
  <si>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</si>
  <si>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</si>
  <si>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</si>
  <si>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</si>
  <si>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</si>
  <si>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</si>
  <si>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</si>
  <si>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</si>
  <si>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</si>
  <si>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</si>
  <si>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</si>
  <si>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</si>
  <si>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</si>
  <si>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</si>
  <si>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</si>
  <si>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</si>
  <si>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</si>
  <si>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</si>
  <si>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</si>
  <si>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</si>
  <si>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</si>
  <si>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</si>
  <si>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</si>
  <si>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</si>
  <si>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</si>
  <si>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</si>
  <si>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</si>
  <si>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</si>
  <si>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</si>
  <si>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</si>
  <si>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</si>
  <si>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</si>
  <si>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</si>
  <si>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</si>
  <si>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</si>
  <si>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</si>
  <si>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</si>
  <si>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</si>
  <si>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</si>
  <si>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</si>
  <si>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</si>
  <si>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</si>
  <si>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</si>
  <si>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</si>
  <si>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</si>
  <si>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</si>
  <si>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</si>
  <si>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</si>
  <si>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</si>
  <si>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</si>
  <si>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</si>
  <si>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</si>
  <si>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</si>
  <si>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</si>
  <si>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</si>
  <si>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</si>
  <si>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</si>
  <si>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</si>
  <si>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</si>
  <si>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</si>
  <si>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</si>
  <si>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</si>
  <si>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</si>
  <si>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</si>
  <si>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</si>
  <si>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</si>
  <si>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</si>
  <si>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</si>
  <si>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</si>
  <si>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</si>
  <si>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</si>
  <si>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</si>
  <si>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</si>
  <si>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</si>
  <si>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</si>
  <si>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</si>
  <si>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</si>
  <si>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</si>
  <si>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</si>
  <si>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</si>
  <si>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</si>
  <si>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</si>
  <si>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</si>
  <si>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</si>
  <si>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</si>
  <si>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</si>
  <si>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</si>
  <si>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</si>
  <si>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</si>
  <si>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</si>
  <si>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</si>
  <si>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</si>
  <si>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</si>
  <si>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</si>
  <si>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</si>
  <si>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</si>
  <si>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</si>
  <si>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</si>
  <si>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</si>
  <si>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</si>
  <si>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</si>
  <si>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</si>
  <si>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</si>
  <si>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</si>
  <si>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</si>
  <si>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</si>
  <si>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</si>
  <si>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</si>
  <si>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</si>
  <si>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</si>
  <si>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</si>
  <si>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</si>
  <si>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</si>
  <si>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</si>
  <si>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</si>
  <si>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</si>
  <si>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</si>
  <si>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</si>
  <si>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</si>
  <si>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</si>
  <si>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</si>
  <si>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</si>
  <si>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</si>
  <si>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</si>
  <si>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</si>
  <si>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</si>
  <si>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</si>
  <si>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</si>
  <si>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</si>
  <si>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</si>
  <si>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</si>
  <si>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</si>
  <si>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</si>
  <si>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</si>
  <si>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</si>
  <si>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</si>
  <si>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</si>
  <si>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</si>
  <si>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</si>
  <si>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</si>
  <si>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</si>
  <si>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</si>
  <si>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</si>
  <si>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</si>
  <si>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</si>
  <si>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</si>
  <si>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</si>
  <si>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</si>
  <si>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</si>
  <si>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</si>
  <si>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</si>
  <si>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</si>
  <si>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</si>
  <si>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</si>
  <si>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</si>
  <si>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</si>
  <si>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</si>
  <si>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</si>
  <si>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</si>
  <si>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</si>
  <si>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</si>
  <si>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</si>
  <si>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</si>
  <si>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</si>
  <si>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</si>
  <si>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</si>
  <si>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</si>
  <si>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</si>
  <si>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</si>
  <si>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</si>
  <si>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</si>
  <si>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</si>
  <si>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</si>
  <si>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</si>
  <si>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</si>
  <si>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</si>
  <si>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</si>
  <si>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</si>
  <si>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</si>
  <si>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</si>
  <si>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</si>
  <si>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</si>
  <si>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</si>
  <si>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</si>
  <si>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</si>
  <si>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</si>
  <si>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</si>
  <si>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</si>
  <si>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</si>
  <si>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</si>
  <si>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</si>
  <si>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</si>
  <si>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</si>
  <si>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</si>
  <si>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</si>
  <si>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</si>
  <si>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</si>
  <si>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</si>
  <si>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</si>
  <si>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</si>
  <si>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</si>
  <si>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</si>
  <si>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</si>
  <si>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</si>
  <si>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</si>
  <si>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</si>
  <si>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</si>
  <si>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</si>
  <si>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</si>
  <si>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</si>
  <si>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</si>
  <si>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</si>
  <si>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</si>
  <si>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</si>
  <si>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</si>
  <si>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</si>
  <si>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</si>
  <si>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</si>
  <si>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</si>
  <si>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</si>
  <si>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</si>
  <si>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</si>
  <si>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</si>
  <si>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</si>
  <si>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</si>
  <si>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</si>
  <si>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</si>
  <si>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</si>
  <si>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</si>
  <si>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</si>
  <si>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</si>
  <si>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</si>
  <si>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</si>
  <si>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</si>
  <si>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</si>
  <si>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</si>
  <si>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</si>
  <si>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</si>
  <si>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</si>
  <si>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</si>
  <si>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</si>
  <si>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</si>
  <si>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</si>
  <si>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</si>
  <si>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</si>
  <si>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</si>
  <si>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</si>
  <si>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</si>
  <si>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</si>
  <si>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</si>
  <si>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</si>
  <si>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</si>
  <si>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</si>
  <si>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</si>
  <si>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</si>
  <si>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</si>
  <si>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</si>
  <si>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</si>
  <si>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</si>
  <si>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</si>
  <si>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</si>
  <si>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</si>
  <si>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</si>
  <si>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</si>
  <si>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</si>
  <si>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</si>
  <si>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</si>
  <si>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</si>
  <si>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</si>
  <si>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</si>
  <si>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</si>
  <si>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</si>
  <si>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</si>
  <si>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</si>
  <si>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</si>
  <si>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</si>
  <si>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</si>
  <si>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</si>
  <si>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</si>
  <si>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</si>
  <si>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</si>
  <si>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</si>
  <si>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</si>
  <si>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</si>
  <si>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</si>
  <si>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</si>
  <si>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</si>
  <si>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</si>
  <si>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</si>
  <si>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</si>
  <si>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</si>
  <si>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</si>
  <si>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</si>
  <si>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</si>
  <si>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</si>
  <si>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</si>
  <si>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</si>
  <si>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</si>
  <si>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</si>
  <si>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</si>
  <si>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</si>
  <si>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</si>
  <si>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</si>
  <si>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</si>
  <si>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</si>
  <si>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</si>
  <si>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</si>
  <si>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</si>
  <si>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</si>
  <si>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</si>
  <si>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</si>
  <si>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</si>
  <si>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</si>
  <si>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</si>
  <si>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</si>
  <si>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</si>
  <si>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</si>
  <si>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</si>
  <si>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</si>
  <si>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</si>
  <si>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</si>
  <si>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</si>
  <si>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</si>
  <si>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</si>
  <si>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</si>
  <si>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</si>
  <si>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</si>
  <si>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</si>
  <si>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</si>
  <si>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</si>
  <si>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</si>
  <si>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</si>
  <si>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</si>
  <si>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</si>
  <si>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</si>
  <si>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</si>
  <si>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</si>
  <si>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</si>
  <si>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</si>
  <si>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</si>
  <si>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</si>
  <si>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</si>
  <si>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</si>
  <si>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</si>
  <si>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</si>
  <si>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</si>
  <si>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</si>
  <si>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</si>
  <si>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</si>
  <si>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</si>
  <si>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</si>
  <si>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</si>
  <si>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</si>
  <si>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</si>
  <si>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</si>
  <si>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</si>
  <si>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</si>
  <si>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</si>
  <si>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</si>
  <si>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</si>
  <si>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</si>
  <si>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</si>
  <si>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</si>
  <si>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</si>
  <si>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</si>
  <si>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</si>
  <si>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</si>
  <si>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</si>
  <si>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</si>
  <si>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</si>
  <si>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</si>
  <si>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</si>
  <si>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</si>
  <si>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</si>
  <si>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</si>
  <si>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</si>
  <si>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</si>
  <si>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</si>
  <si>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</si>
  <si>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</si>
  <si>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</si>
  <si>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</si>
  <si>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</si>
  <si>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</si>
  <si>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</si>
  <si>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</si>
  <si>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</si>
  <si>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</si>
  <si>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</si>
  <si>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</si>
  <si>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</si>
  <si>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</si>
  <si>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</si>
  <si>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</si>
  <si>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</si>
  <si>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</si>
  <si>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</si>
  <si>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</si>
  <si>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</si>
  <si>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</si>
  <si>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</si>
  <si>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</si>
  <si>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</si>
  <si>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</si>
  <si>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</si>
  <si>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</si>
  <si>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</si>
  <si>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</si>
  <si>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</si>
  <si>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</si>
  <si>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</si>
  <si>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</si>
  <si>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</si>
  <si>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</si>
  <si>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</si>
  <si>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</si>
  <si>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</si>
  <si>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</si>
  <si>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</si>
  <si>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</si>
  <si>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</si>
  <si>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</si>
  <si>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</si>
  <si>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</si>
  <si>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</si>
  <si>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</si>
  <si>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</si>
  <si>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</si>
  <si>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</si>
  <si>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</si>
  <si>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</si>
  <si>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</si>
  <si>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</si>
  <si>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</si>
  <si>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</si>
  <si>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</si>
  <si>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</si>
  <si>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</si>
  <si>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</si>
  <si>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</si>
  <si>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</si>
  <si>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</si>
  <si>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</si>
  <si>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</si>
  <si>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</si>
  <si>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</si>
  <si>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</si>
  <si>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</si>
  <si>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</si>
  <si>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</si>
  <si>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</si>
  <si>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</si>
  <si>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</si>
  <si>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</si>
  <si>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</si>
  <si>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</si>
  <si>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</si>
  <si>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</si>
  <si>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</si>
  <si>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</si>
  <si>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</si>
  <si>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</si>
  <si>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</si>
  <si>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</si>
  <si>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</si>
  <si>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</si>
  <si>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</si>
  <si>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</si>
  <si>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</si>
  <si>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</si>
  <si>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</si>
  <si>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</si>
  <si>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</si>
  <si>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</si>
  <si>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</si>
  <si>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</si>
  <si>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</si>
  <si>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</si>
  <si>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</si>
  <si>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</si>
  <si>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</si>
  <si>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</si>
  <si>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</si>
  <si>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</si>
  <si>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</si>
  <si>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</si>
  <si>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</si>
  <si>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</si>
  <si>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</si>
  <si>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</si>
  <si>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</si>
  <si>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</si>
  <si>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</si>
  <si>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</si>
  <si>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</si>
  <si>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</si>
  <si>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</si>
  <si>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</si>
  <si>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</si>
  <si>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</si>
  <si>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</si>
  <si>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</si>
  <si>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</si>
  <si>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</si>
  <si>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</si>
  <si>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</si>
  <si>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</si>
  <si>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</si>
  <si>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</si>
  <si>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</si>
  <si>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</si>
  <si>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</si>
  <si>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</si>
  <si>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</si>
  <si>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</si>
  <si>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</si>
  <si>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</si>
  <si>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</si>
  <si>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</si>
  <si>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</si>
  <si>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</si>
  <si>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</si>
  <si>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</si>
  <si>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</si>
  <si>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</si>
  <si>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</si>
  <si>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</si>
  <si>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</si>
  <si>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</si>
  <si>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</si>
  <si>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</si>
  <si>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</si>
  <si>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</si>
  <si>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</si>
  <si>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</si>
  <si>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</si>
  <si>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</si>
  <si>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</si>
  <si>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</si>
  <si>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</si>
  <si>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</si>
  <si>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</si>
  <si>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</si>
  <si>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</si>
  <si>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</si>
  <si>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</si>
  <si>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</si>
  <si>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</si>
  <si>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</si>
  <si>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</si>
  <si>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</si>
  <si>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</si>
  <si>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</si>
  <si>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</si>
  <si>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</si>
  <si>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</si>
  <si>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</si>
  <si>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</si>
  <si>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</si>
  <si>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</si>
  <si>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</si>
  <si>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</si>
  <si>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</si>
  <si>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</si>
  <si>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</si>
  <si>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</si>
  <si>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</si>
  <si>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</si>
  <si>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</si>
  <si>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</si>
  <si>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</si>
  <si>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</si>
  <si>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</si>
  <si>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</si>
  <si>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</si>
  <si>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</si>
  <si>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</si>
  <si>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</si>
  <si>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</si>
  <si>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</si>
  <si>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</si>
  <si>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</si>
  <si>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</si>
  <si>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</si>
  <si>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</si>
  <si>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</si>
  <si>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</si>
  <si>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</si>
  <si>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</si>
  <si>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</si>
  <si>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</si>
  <si>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</si>
  <si>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</si>
  <si>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</si>
  <si>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</si>
  <si>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</si>
  <si>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</si>
  <si>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</si>
  <si>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</si>
  <si>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</si>
  <si>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</si>
  <si>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</si>
  <si>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</si>
  <si>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</si>
  <si>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</si>
  <si>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</si>
  <si>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</si>
  <si>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</si>
  <si>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</si>
  <si>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</si>
  <si>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</si>
  <si>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</si>
  <si>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</si>
  <si>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</si>
  <si>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</si>
  <si>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</si>
  <si>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</si>
  <si>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</si>
  <si>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</si>
  <si>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</si>
  <si>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</si>
  <si>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</si>
  <si>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</si>
  <si>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</si>
  <si>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</si>
  <si>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</si>
  <si>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</si>
  <si>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</si>
  <si>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</si>
  <si>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</si>
  <si>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</si>
  <si>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</si>
  <si>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</si>
  <si>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</si>
  <si>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</si>
  <si>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</si>
  <si>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</si>
  <si>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</si>
  <si>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</si>
  <si>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</si>
  <si>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</si>
  <si>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</si>
  <si>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</si>
  <si>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</si>
  <si>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</si>
  <si>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</si>
  <si>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</si>
  <si>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</si>
  <si>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</si>
  <si>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</si>
  <si>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</si>
  <si>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</si>
  <si>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</si>
  <si>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</si>
  <si>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</si>
  <si>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</si>
  <si>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</si>
  <si>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</si>
  <si>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</si>
  <si>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</si>
  <si>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</si>
  <si>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</si>
  <si>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</si>
  <si>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</si>
  <si>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</si>
  <si>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</si>
  <si>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</si>
  <si>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</si>
  <si>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</si>
  <si>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</si>
  <si>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</si>
  <si>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</si>
  <si>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</si>
  <si>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</si>
  <si>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</si>
  <si>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</si>
  <si>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</si>
  <si>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</si>
  <si>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</si>
  <si>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</si>
  <si>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</si>
  <si>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</si>
  <si>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</si>
  <si>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</si>
  <si>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</si>
  <si>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</si>
  <si>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</si>
  <si>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</si>
  <si>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</si>
  <si>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</si>
  <si>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</si>
  <si>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</si>
  <si>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</si>
  <si>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</si>
  <si>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</si>
  <si>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</si>
  <si>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</si>
  <si>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</si>
  <si>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</si>
  <si>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</si>
  <si>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</si>
  <si>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</si>
  <si>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</si>
  <si>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</si>
  <si>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</si>
  <si>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</si>
  <si>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</si>
  <si>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</si>
  <si>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</si>
  <si>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</si>
  <si>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</si>
  <si>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</si>
  <si>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</si>
  <si>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</si>
  <si>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</si>
  <si>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</si>
  <si>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</si>
  <si>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</si>
  <si>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</si>
  <si>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</si>
  <si>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</si>
  <si>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</si>
  <si>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</si>
  <si>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</si>
  <si>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</si>
  <si>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</si>
  <si>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</si>
  <si>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</si>
  <si>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</si>
  <si>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</si>
  <si>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</si>
  <si>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</si>
  <si>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</si>
  <si>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</si>
  <si>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</si>
  <si>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</si>
  <si>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</si>
  <si>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</si>
  <si>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</si>
  <si>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</si>
  <si>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</si>
  <si>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</si>
  <si>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</si>
  <si>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</si>
  <si>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</si>
  <si>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</si>
  <si>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</si>
  <si>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</si>
  <si>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</si>
  <si>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</si>
  <si>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</si>
  <si>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</si>
  <si>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</si>
  <si>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</si>
  <si>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</si>
  <si>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</si>
  <si>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</si>
  <si>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</si>
  <si>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</si>
  <si>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</si>
  <si>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</si>
  <si>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</si>
  <si>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</si>
  <si>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</si>
  <si>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</si>
  <si>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</si>
  <si>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</si>
  <si>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</si>
  <si>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</si>
  <si>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</si>
  <si>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</si>
  <si>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</si>
  <si>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</si>
  <si>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</si>
  <si>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</si>
  <si>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</si>
  <si>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</si>
  <si>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</si>
  <si>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</si>
  <si>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</si>
  <si>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</si>
  <si>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</si>
  <si>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</si>
  <si>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</si>
  <si>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</si>
  <si>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</si>
  <si>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</si>
  <si>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</si>
  <si>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</si>
  <si>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</si>
  <si>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</si>
  <si>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</si>
  <si>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</si>
  <si>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</si>
  <si>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</si>
  <si>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</si>
  <si>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</si>
  <si>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</si>
  <si>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</si>
  <si>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</si>
  <si>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</si>
  <si>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</si>
  <si>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</si>
  <si>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</si>
  <si>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</si>
  <si>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</si>
  <si>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</si>
  <si>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</si>
  <si>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</si>
  <si>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</si>
  <si>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</si>
  <si>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</si>
  <si>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</si>
  <si>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</si>
  <si>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</si>
  <si>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</si>
  <si>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</si>
  <si>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</si>
  <si>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</si>
  <si>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</si>
  <si>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</si>
  <si>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</si>
  <si>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</si>
  <si>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</si>
  <si>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</si>
  <si>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</si>
  <si>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</si>
  <si>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</si>
  <si>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</si>
  <si>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</si>
  <si>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</si>
  <si>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</si>
  <si>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</si>
  <si>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</si>
  <si>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</si>
  <si>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</si>
  <si>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</si>
  <si>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</si>
  <si>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</si>
  <si>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</si>
  <si>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</si>
  <si>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</si>
  <si>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</si>
  <si>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</si>
  <si>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</si>
  <si>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</si>
  <si>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</si>
  <si>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</si>
  <si>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</si>
  <si>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</si>
  <si>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</si>
  <si>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</si>
  <si>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</si>
  <si>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</si>
  <si>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</si>
  <si>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</si>
  <si>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</si>
  <si>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</si>
  <si>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</si>
  <si>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</si>
  <si>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</si>
  <si>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</si>
  <si>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</si>
  <si>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</si>
  <si>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</si>
  <si>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</si>
  <si>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</si>
  <si>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</si>
  <si>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</si>
  <si>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</si>
  <si>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</si>
  <si>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</si>
  <si>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</si>
  <si>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</si>
  <si>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</si>
  <si>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</si>
  <si>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</si>
  <si>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</si>
  <si>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</si>
  <si>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</si>
  <si>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</si>
  <si>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</si>
  <si>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</si>
  <si>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</si>
  <si>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</si>
  <si>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</si>
  <si>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</si>
  <si>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</si>
  <si>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</si>
  <si>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</si>
  <si>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</si>
  <si>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</si>
  <si>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</si>
  <si>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</si>
  <si>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</si>
  <si>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</si>
  <si>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</si>
  <si>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</si>
  <si>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</si>
  <si>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</si>
  <si>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</si>
  <si>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</si>
  <si>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</si>
  <si>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</si>
  <si>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</si>
  <si>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</si>
  <si>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</si>
  <si>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</si>
  <si>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</si>
  <si>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</si>
  <si>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</si>
  <si>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</si>
  <si>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</si>
  <si>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</si>
  <si>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</si>
  <si>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</si>
  <si>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</si>
  <si>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</si>
  <si>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</si>
  <si>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</si>
  <si>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</si>
  <si>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</si>
  <si>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</si>
  <si>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</si>
  <si>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</si>
  <si>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</si>
  <si>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</si>
  <si>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</si>
  <si>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</si>
  <si>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</si>
  <si>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</si>
  <si>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</si>
  <si>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</si>
  <si>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</si>
  <si>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</si>
  <si>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</si>
  <si>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</si>
  <si>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</si>
  <si>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</si>
  <si>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</si>
  <si>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</si>
  <si>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</si>
  <si>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</si>
  <si>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</si>
  <si>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</si>
  <si>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</si>
  <si>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</si>
  <si>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</si>
  <si>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</si>
  <si>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</si>
  <si>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</si>
  <si>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</si>
  <si>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</si>
  <si>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</si>
  <si>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</si>
  <si>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</si>
  <si>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</si>
  <si>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</si>
  <si>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</si>
  <si>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</si>
  <si>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</si>
  <si>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</si>
  <si>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</si>
  <si>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</si>
  <si>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</si>
  <si>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</si>
  <si>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</si>
  <si>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</si>
  <si>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</si>
  <si>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</si>
  <si>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</si>
  <si>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</si>
  <si>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</si>
  <si>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</si>
  <si>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</si>
  <si>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</si>
  <si>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</si>
  <si>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</si>
  <si>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</si>
  <si>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</si>
  <si>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</si>
  <si>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</si>
  <si>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</si>
  <si>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</si>
  <si>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</si>
  <si>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</si>
  <si>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</si>
  <si>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</si>
  <si>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</si>
  <si>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</si>
  <si>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</si>
  <si>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</si>
  <si>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</si>
  <si>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</si>
  <si>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</si>
  <si>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</si>
  <si>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</si>
  <si>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</si>
  <si>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</si>
  <si>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</si>
  <si>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</si>
  <si>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</si>
  <si>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</si>
  <si>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</si>
  <si>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</si>
  <si>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</si>
  <si>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</si>
  <si>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</si>
  <si>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</si>
  <si>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</si>
  <si>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</si>
  <si>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</si>
  <si>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</si>
  <si>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</si>
  <si>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</si>
  <si>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</si>
  <si>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</si>
  <si>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</si>
  <si>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</si>
  <si>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</si>
  <si>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</si>
  <si>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</si>
  <si>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</si>
  <si>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</si>
  <si>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</si>
  <si>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</si>
  <si>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</si>
  <si>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</si>
  <si>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</si>
  <si>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</si>
  <si>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</si>
  <si>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</si>
  <si>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</si>
  <si>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</si>
  <si>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</si>
  <si>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</si>
  <si>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</si>
  <si>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</si>
  <si>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</si>
  <si>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</si>
  <si>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</si>
  <si>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</si>
  <si>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</si>
  <si>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</si>
  <si>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</si>
  <si>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</si>
  <si>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</si>
  <si>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</si>
  <si>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</si>
  <si>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</si>
  <si>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</si>
  <si>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</si>
  <si>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</si>
  <si>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</si>
  <si>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</si>
  <si>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</si>
  <si>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</si>
  <si>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</si>
  <si>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</si>
  <si>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</si>
  <si>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</si>
  <si>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</si>
  <si>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</si>
  <si>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</si>
  <si>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</si>
  <si>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</si>
  <si>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</si>
  <si>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</si>
  <si>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</si>
  <si>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</si>
  <si>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</si>
  <si>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</si>
  <si>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</si>
  <si>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</si>
  <si>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</si>
  <si>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</si>
  <si>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</si>
  <si>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</si>
  <si>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</si>
  <si>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</si>
  <si>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</si>
  <si>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</si>
  <si>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</si>
  <si>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</si>
  <si>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</si>
  <si>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</si>
  <si>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</si>
  <si>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</si>
  <si>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</si>
  <si>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</si>
  <si>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</si>
  <si>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</si>
  <si>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</si>
  <si>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</si>
  <si>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</si>
  <si>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</si>
  <si>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</si>
  <si>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</si>
  <si>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</si>
  <si>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</si>
  <si>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</si>
  <si>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</si>
  <si>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</si>
  <si>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</si>
  <si>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</si>
  <si>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</si>
  <si>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</si>
  <si>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</si>
  <si>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</si>
  <si>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</si>
  <si>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</si>
  <si>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</si>
  <si>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</si>
  <si>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</si>
  <si>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</si>
  <si>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</si>
  <si>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</si>
  <si>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</si>
  <si>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</si>
  <si>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</si>
  <si>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</si>
  <si>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</si>
  <si>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</si>
  <si>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</si>
  <si>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</si>
  <si>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</si>
  <si>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</si>
  <si>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</si>
  <si>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</si>
  <si>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</si>
  <si>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</si>
  <si>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</si>
  <si>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</si>
  <si>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</si>
  <si>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</si>
  <si>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</si>
  <si>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</si>
  <si>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</si>
  <si>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</si>
  <si>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</si>
  <si>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</si>
  <si>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</si>
  <si>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</si>
  <si>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</si>
  <si>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</si>
  <si>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</si>
  <si>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</si>
  <si>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</si>
  <si>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</si>
  <si>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</si>
  <si>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</si>
  <si>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</si>
  <si>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</si>
  <si>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</si>
  <si>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</si>
  <si>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</si>
  <si>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</si>
  <si>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</si>
  <si>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</si>
  <si>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</si>
  <si>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</si>
  <si>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</si>
  <si>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</si>
  <si>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</si>
  <si>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</si>
  <si>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</si>
  <si>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</si>
  <si>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</si>
  <si>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</si>
  <si>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</si>
  <si>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</si>
  <si>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</si>
  <si>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</si>
  <si>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</si>
  <si>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</si>
  <si>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</si>
  <si>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</si>
  <si>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</si>
  <si>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</si>
  <si>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</si>
  <si>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</si>
  <si>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</si>
  <si>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</si>
  <si>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</si>
  <si>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</si>
  <si>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</si>
  <si>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</si>
  <si>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</si>
  <si>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</si>
  <si>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</si>
  <si>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</si>
  <si>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</si>
  <si>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</si>
  <si>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</si>
  <si>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</si>
  <si>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</si>
  <si>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</si>
  <si>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</si>
  <si>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</si>
  <si>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</si>
  <si>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</si>
  <si>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</si>
  <si>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</si>
  <si>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</si>
  <si>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</si>
  <si>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</si>
  <si>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</si>
  <si>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</si>
  <si>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</si>
  <si>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</si>
  <si>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</si>
  <si>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</si>
  <si>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</si>
  <si>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</si>
  <si>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</si>
  <si>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</si>
  <si>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</si>
  <si>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</si>
  <si>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</si>
  <si>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</si>
  <si>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</si>
  <si>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</si>
  <si>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</si>
  <si>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</si>
  <si>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</si>
  <si>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</si>
  <si>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</si>
  <si>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</si>
  <si>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</si>
  <si>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</si>
  <si>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</si>
  <si>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</si>
  <si>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</si>
  <si>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</si>
  <si>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</si>
  <si>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</si>
  <si>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</si>
  <si>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</si>
  <si>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</si>
  <si>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</si>
  <si>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</si>
  <si>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</si>
  <si>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</si>
  <si>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</si>
  <si>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</si>
  <si>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</si>
  <si>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</si>
  <si>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</si>
  <si>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</si>
  <si>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</si>
  <si>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</si>
  <si>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</si>
  <si>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</si>
  <si>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</si>
  <si>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</si>
  <si>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</si>
  <si>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</si>
  <si>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</si>
  <si>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</si>
  <si>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</si>
  <si>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</si>
  <si>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</si>
  <si>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</si>
  <si>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</si>
  <si>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</si>
  <si>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</si>
  <si>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</si>
  <si>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</si>
  <si>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</si>
  <si>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</si>
  <si>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</si>
  <si>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</si>
  <si>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</si>
  <si>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</si>
  <si>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</si>
  <si>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</si>
  <si>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</si>
  <si>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</si>
  <si>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</si>
  <si>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</si>
  <si>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</si>
  <si>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</si>
  <si>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</si>
  <si>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</si>
  <si>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</si>
  <si>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</si>
  <si>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</si>
  <si>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</si>
  <si>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</si>
  <si>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</si>
  <si>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</si>
  <si>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</si>
  <si>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</si>
  <si>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</si>
  <si>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</si>
  <si>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</si>
  <si>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</si>
  <si>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</si>
  <si>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</si>
  <si>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</si>
  <si>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</si>
  <si>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</si>
  <si>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</si>
  <si>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</si>
  <si>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</si>
  <si>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</si>
  <si>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</si>
  <si>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</si>
  <si>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</si>
  <si>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</si>
  <si>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</si>
  <si>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</si>
  <si>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</si>
  <si>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</si>
  <si>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</si>
  <si>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</si>
  <si>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</si>
  <si>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</si>
  <si>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</si>
  <si>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</si>
  <si>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</si>
  <si>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</si>
  <si>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</si>
  <si>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</si>
  <si>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</si>
  <si>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</si>
  <si>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</si>
  <si>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</si>
  <si>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</si>
  <si>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</si>
  <si>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</si>
  <si>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</si>
  <si>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</si>
  <si>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</si>
  <si>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</si>
  <si>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</si>
  <si>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</si>
  <si>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</si>
  <si>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</si>
  <si>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</si>
  <si>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</si>
  <si>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</si>
  <si>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</si>
  <si>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</si>
  <si>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</si>
  <si>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</si>
  <si>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</si>
  <si>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</si>
  <si>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</si>
  <si>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</si>
  <si>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</si>
  <si>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</si>
  <si>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</si>
  <si>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</si>
  <si>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</si>
  <si>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</si>
  <si>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</si>
  <si>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</si>
  <si>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</si>
  <si>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</si>
  <si>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</si>
  <si>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</si>
  <si>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</si>
  <si>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</si>
  <si>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</si>
  <si>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</si>
  <si>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</si>
  <si>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</si>
  <si>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</si>
  <si>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</si>
  <si>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</si>
  <si>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</si>
  <si>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</si>
  <si>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</si>
  <si>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</si>
  <si>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</si>
  <si>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</si>
  <si>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</si>
  <si>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</si>
  <si>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</si>
  <si>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</si>
  <si>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</si>
  <si>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</si>
  <si>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</si>
  <si>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</si>
  <si>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</si>
  <si>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</si>
  <si>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</si>
  <si>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</si>
  <si>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</si>
  <si>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</si>
  <si>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</si>
  <si>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</si>
  <si>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</si>
  <si>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</si>
  <si>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</si>
  <si>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</si>
  <si>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</si>
  <si>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</si>
  <si>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</si>
  <si>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</si>
  <si>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</si>
  <si>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</si>
  <si>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</si>
  <si>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</si>
  <si>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</si>
  <si>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</si>
  <si>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</si>
  <si>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</si>
  <si>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</si>
  <si>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</si>
  <si>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</si>
  <si>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</si>
  <si>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</si>
  <si>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</si>
  <si>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</si>
  <si>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</si>
  <si>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</si>
  <si>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</si>
  <si>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</si>
  <si>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</si>
  <si>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</si>
  <si>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</si>
  <si>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</si>
  <si>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</si>
  <si>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</si>
  <si>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</si>
  <si>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</si>
  <si>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</si>
  <si>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</si>
  <si>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</si>
  <si>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</si>
  <si>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</si>
  <si>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</si>
  <si>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</si>
  <si>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</si>
  <si>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</si>
  <si>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</si>
  <si>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</si>
  <si>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</si>
  <si>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</si>
  <si>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</si>
  <si>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</si>
  <si>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</si>
  <si>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</si>
  <si>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</si>
  <si>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</si>
  <si>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</si>
  <si>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</si>
  <si>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</si>
  <si>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</si>
  <si>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</si>
  <si>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</si>
  <si>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</si>
  <si>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</si>
  <si>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</si>
  <si>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</si>
  <si>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</si>
  <si>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</si>
  <si>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</si>
  <si>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</si>
  <si>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</si>
  <si>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</si>
  <si>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</si>
  <si>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</si>
  <si>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</si>
  <si>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</si>
  <si>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</si>
  <si>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</si>
  <si>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</si>
  <si>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</si>
  <si>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</si>
  <si>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</si>
  <si>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</si>
  <si>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</si>
  <si>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</si>
  <si>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</si>
  <si>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</si>
  <si>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</si>
  <si>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</si>
  <si>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</si>
  <si>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</si>
  <si>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</si>
  <si>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</si>
  <si>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</si>
  <si>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</si>
  <si>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</si>
  <si>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</si>
  <si>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</si>
  <si>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</si>
  <si>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</si>
  <si>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</si>
  <si>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</si>
  <si>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</si>
  <si>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</si>
  <si>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</si>
  <si>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</si>
  <si>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</si>
  <si>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</si>
  <si>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</si>
  <si>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</si>
  <si>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</si>
  <si>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</si>
  <si>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</si>
  <si>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</si>
  <si>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</si>
  <si>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</si>
  <si>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</si>
  <si>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</si>
  <si>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</si>
  <si>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</si>
  <si>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</si>
  <si>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</si>
  <si>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</si>
  <si>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</si>
  <si>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</si>
  <si>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</si>
  <si>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</si>
  <si>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</si>
  <si>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</si>
  <si>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</si>
  <si>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</si>
  <si>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</si>
  <si>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</si>
  <si>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</si>
  <si>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</si>
  <si>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</si>
  <si>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</si>
  <si>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</si>
  <si>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</si>
  <si>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</si>
  <si>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</si>
  <si>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</si>
  <si>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</si>
  <si>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</si>
  <si>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</si>
  <si>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</si>
  <si>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</si>
  <si>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</si>
  <si>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</si>
  <si>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</si>
  <si>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</si>
  <si>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</si>
  <si>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</si>
  <si>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</si>
  <si>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</si>
  <si>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</si>
  <si>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</si>
  <si>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</si>
  <si>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</si>
  <si>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</si>
  <si>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</si>
  <si>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</si>
  <si>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</si>
  <si>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</si>
  <si>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</si>
  <si>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</si>
  <si>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</si>
  <si>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</si>
  <si>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</si>
  <si>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</si>
  <si>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</si>
  <si>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</si>
  <si>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</si>
  <si>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</si>
  <si>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</si>
  <si>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</si>
  <si>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</si>
  <si>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</si>
  <si>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</si>
  <si>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</si>
  <si>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</si>
  <si>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</si>
  <si>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</si>
  <si>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</si>
  <si>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</si>
  <si>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</si>
  <si>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</si>
  <si>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</si>
  <si>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</si>
  <si>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</si>
  <si>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</si>
  <si>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</si>
  <si>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</si>
  <si>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</si>
  <si>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</si>
  <si>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</si>
  <si>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</si>
  <si>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</si>
  <si>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</si>
  <si>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</si>
  <si>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</si>
  <si>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</si>
  <si>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</si>
  <si>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</si>
  <si>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</si>
  <si>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</si>
  <si>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</si>
  <si>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</si>
  <si>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</si>
  <si>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</si>
  <si>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</si>
  <si>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</si>
  <si>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</si>
  <si>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</si>
  <si>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</si>
  <si>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</si>
  <si>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</si>
  <si>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</si>
  <si>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</si>
  <si>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</si>
  <si>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</si>
  <si>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</si>
  <si>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</si>
  <si>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</si>
  <si>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</si>
  <si>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</si>
  <si>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</si>
  <si>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</si>
  <si>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</si>
  <si>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</si>
  <si>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</si>
  <si>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</si>
  <si>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</si>
  <si>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</si>
  <si>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</si>
  <si>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</si>
  <si>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</si>
  <si>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</si>
  <si>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</si>
  <si>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</si>
  <si>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</si>
  <si>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</si>
  <si>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</si>
  <si>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</si>
  <si>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</si>
  <si>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</si>
  <si>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</si>
  <si>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</si>
  <si>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</si>
  <si>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</si>
  <si>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</si>
  <si>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</si>
  <si>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</si>
  <si>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</si>
  <si>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</si>
  <si>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</si>
  <si>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</si>
  <si>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</si>
  <si>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</si>
  <si>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</si>
  <si>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</si>
  <si>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</si>
  <si>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</si>
  <si>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</si>
  <si>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</si>
  <si>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</si>
  <si>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</si>
  <si>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</si>
  <si>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</si>
  <si>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</si>
  <si>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</si>
  <si>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</si>
  <si>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</si>
  <si>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</si>
  <si>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</si>
  <si>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</si>
  <si>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</si>
  <si>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</si>
  <si>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</si>
  <si>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</si>
  <si>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</si>
  <si>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</si>
  <si>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</si>
  <si>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</si>
  <si>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</si>
  <si>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</si>
  <si>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</si>
  <si>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</si>
  <si>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</si>
  <si>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</si>
  <si>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</si>
  <si>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</si>
  <si>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</si>
  <si>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</si>
  <si>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</si>
  <si>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</si>
  <si>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</si>
  <si>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</si>
  <si>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</si>
  <si>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</si>
  <si>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</si>
  <si>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</si>
  <si>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</si>
  <si>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</si>
  <si>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</si>
  <si>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</si>
  <si>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</si>
  <si>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</si>
  <si>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</si>
  <si>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</si>
  <si>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</si>
  <si>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</si>
  <si>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</si>
  <si>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</si>
  <si>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</si>
  <si>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</si>
  <si>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</si>
  <si>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</si>
  <si>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</si>
  <si>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</si>
  <si>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</si>
  <si>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</si>
  <si>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</si>
  <si>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</si>
  <si>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</si>
  <si>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</si>
  <si>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</si>
  <si>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</si>
  <si>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</si>
  <si>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</si>
  <si>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</si>
  <si>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</si>
  <si>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</si>
  <si>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</si>
  <si>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</si>
  <si>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</si>
  <si>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</si>
  <si>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</si>
  <si>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</si>
  <si>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</si>
  <si>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</si>
  <si>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</si>
  <si>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</si>
  <si>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</si>
  <si>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</si>
  <si>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</si>
  <si>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</si>
  <si>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</si>
  <si>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</si>
  <si>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</si>
  <si>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</si>
  <si>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</si>
  <si>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</si>
  <si>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</si>
  <si>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</si>
  <si>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</si>
  <si>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</si>
  <si>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</si>
  <si>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</si>
  <si>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</si>
  <si>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</si>
  <si>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</si>
  <si>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</si>
  <si>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</si>
  <si>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</si>
  <si>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</si>
  <si>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</si>
  <si>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</si>
  <si>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</si>
  <si>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</si>
  <si>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</si>
  <si>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</si>
  <si>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</si>
  <si>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</si>
  <si>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</si>
  <si>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</si>
  <si>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</si>
  <si>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</si>
  <si>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</si>
  <si>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</si>
  <si>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</si>
  <si>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</si>
  <si>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</si>
  <si>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</si>
  <si>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</si>
  <si>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</si>
  <si>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</si>
  <si>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</si>
  <si>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</si>
  <si>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</si>
  <si>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</si>
  <si>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</si>
  <si>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</si>
  <si>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</si>
  <si>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</si>
  <si>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</si>
  <si>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</si>
  <si>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</si>
  <si>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</si>
  <si>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</si>
  <si>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</si>
  <si>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</si>
  <si>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</si>
  <si>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</si>
  <si>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</si>
  <si>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</si>
  <si>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</si>
  <si>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</si>
  <si>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</si>
  <si>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</si>
  <si>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</si>
  <si>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</si>
  <si>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</si>
  <si>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</si>
  <si>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</si>
  <si>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</si>
  <si>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</si>
  <si>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</si>
  <si>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</si>
  <si>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</si>
  <si>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</si>
  <si>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</si>
  <si>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</si>
  <si>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</si>
  <si>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</si>
  <si>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</si>
  <si>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</si>
  <si>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</si>
  <si>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</si>
  <si>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</si>
  <si>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</si>
  <si>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</si>
  <si>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</si>
  <si>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</si>
  <si>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</si>
  <si>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</si>
  <si>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</si>
  <si>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</si>
  <si>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</si>
  <si>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</si>
  <si>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</si>
  <si>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</si>
  <si>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</si>
  <si>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</si>
  <si>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</si>
  <si>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</si>
  <si>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</si>
  <si>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</si>
  <si>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</si>
  <si>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</si>
  <si>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</si>
  <si>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</si>
  <si>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</si>
  <si>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</si>
  <si>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</si>
  <si>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</si>
  <si>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</si>
  <si>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</si>
  <si>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</si>
  <si>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</si>
  <si>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</si>
  <si>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</si>
  <si>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</si>
  <si>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</si>
  <si>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</si>
  <si>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</si>
  <si>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</si>
  <si>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</si>
  <si>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</si>
  <si>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</si>
  <si>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</si>
  <si>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</si>
  <si>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</si>
  <si>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</si>
  <si>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</si>
  <si>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</si>
  <si>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</si>
  <si>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</si>
  <si>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</si>
  <si>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</si>
  <si>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</si>
  <si>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</si>
  <si>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</si>
  <si>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</si>
  <si>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</si>
  <si>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</si>
  <si>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</si>
  <si>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</si>
  <si>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</si>
  <si>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</si>
  <si>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</si>
  <si>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</si>
  <si>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</si>
  <si>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</si>
  <si>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</si>
  <si>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</si>
  <si>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</si>
  <si>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</si>
  <si>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</si>
  <si>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</si>
  <si>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</si>
  <si>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</si>
  <si>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</si>
  <si>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</si>
  <si>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</si>
  <si>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</si>
  <si>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</si>
  <si>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</si>
  <si>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</si>
  <si>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</si>
  <si>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</si>
  <si>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</si>
  <si>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</si>
  <si>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</si>
  <si>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</si>
  <si>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</si>
  <si>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</si>
  <si>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</si>
  <si>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</si>
  <si>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</si>
  <si>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</si>
  <si>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</si>
  <si>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</si>
  <si>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</si>
  <si>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</si>
  <si>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</si>
  <si>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</si>
  <si>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</si>
  <si>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</si>
  <si>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</si>
  <si>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</si>
  <si>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</si>
  <si>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</si>
  <si>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</si>
  <si>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</si>
  <si>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</si>
  <si>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</si>
  <si>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</si>
  <si>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</si>
  <si>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</si>
  <si>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</si>
  <si>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</si>
  <si>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</si>
  <si>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</si>
  <si>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</si>
  <si>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</si>
  <si>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</si>
  <si>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</si>
  <si>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</si>
  <si>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</si>
  <si>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</si>
  <si>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</si>
  <si>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</si>
  <si>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</si>
  <si>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</si>
  <si>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</si>
  <si>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</si>
  <si>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</si>
  <si>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</si>
  <si>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</si>
  <si>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</si>
  <si>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</si>
  <si>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</si>
  <si>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</si>
  <si>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</si>
  <si>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</si>
  <si>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</si>
  <si>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</si>
  <si>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</si>
  <si>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</si>
  <si>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</si>
  <si>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</si>
  <si>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</si>
  <si>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</si>
  <si>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</si>
  <si>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</si>
  <si>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</si>
  <si>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</si>
  <si>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</si>
  <si>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</si>
  <si>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</si>
  <si>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</si>
  <si>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</si>
  <si>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</si>
  <si>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</si>
  <si>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</si>
  <si>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</si>
  <si>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</si>
  <si>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</si>
  <si>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</si>
  <si>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</si>
  <si>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</si>
  <si>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</si>
  <si>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</si>
  <si>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</si>
  <si>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</si>
  <si>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</si>
  <si>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</si>
  <si>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</si>
  <si>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</si>
  <si>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</si>
  <si>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</si>
  <si>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</si>
  <si>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</si>
  <si>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</si>
  <si>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</si>
  <si>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</si>
  <si>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</si>
  <si>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</si>
  <si>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</si>
  <si>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</si>
  <si>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</si>
  <si>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</si>
  <si>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</si>
  <si>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</si>
  <si>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</si>
  <si>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</si>
  <si>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</si>
  <si>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</si>
  <si>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</si>
  <si>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</si>
  <si>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</si>
  <si>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</si>
  <si>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</si>
  <si>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</si>
  <si>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</si>
  <si>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</si>
  <si>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</si>
  <si>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</si>
  <si>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</si>
  <si>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</si>
  <si>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</si>
  <si>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</si>
  <si>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</si>
  <si>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</si>
  <si>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</si>
  <si>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</si>
  <si>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</si>
  <si>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</si>
  <si>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</si>
  <si>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</si>
  <si>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</si>
  <si>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</si>
  <si>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</si>
  <si>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</si>
  <si>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</si>
  <si>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</si>
  <si>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</si>
  <si>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</si>
  <si>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</si>
  <si>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</si>
  <si>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</si>
  <si>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</si>
  <si>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</si>
  <si>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</si>
  <si>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</si>
  <si>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</si>
  <si>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</si>
  <si>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</si>
  <si>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</si>
  <si>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</si>
  <si>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</si>
  <si>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</si>
  <si>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</si>
  <si>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</si>
  <si>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</si>
  <si>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</si>
  <si>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</si>
  <si>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</si>
  <si>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</si>
  <si>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</si>
  <si>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</si>
  <si>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</si>
  <si>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</si>
  <si>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</si>
  <si>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</si>
  <si>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</si>
  <si>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</si>
  <si>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</si>
  <si>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</si>
  <si>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</si>
  <si>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</si>
  <si>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</si>
  <si>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</si>
  <si>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</si>
  <si>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</si>
  <si>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</si>
  <si>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</si>
  <si>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</si>
  <si>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</si>
  <si>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</si>
  <si>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</si>
  <si>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</si>
  <si>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</si>
  <si>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</si>
  <si>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</si>
  <si>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</si>
  <si>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</si>
  <si>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</si>
  <si>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</si>
  <si>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</si>
  <si>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</si>
  <si>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</si>
  <si>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</si>
  <si>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</si>
  <si>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</si>
  <si>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</si>
  <si>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</si>
  <si>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</si>
  <si>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</si>
  <si>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</si>
  <si>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</si>
  <si>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</si>
  <si>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</si>
  <si>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</si>
  <si>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</si>
  <si>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</si>
  <si>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</si>
  <si>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</si>
  <si>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</si>
  <si>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</si>
  <si>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</si>
  <si>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</si>
  <si>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</si>
  <si>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</si>
  <si>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</si>
  <si>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</si>
  <si>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</si>
  <si>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</si>
  <si>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</si>
  <si>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</si>
  <si>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</si>
  <si>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</si>
  <si>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</si>
  <si>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</si>
  <si>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</si>
  <si>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</si>
  <si>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</si>
  <si>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</si>
  <si>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</si>
  <si>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</si>
  <si>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</si>
  <si>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</si>
  <si>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</si>
  <si>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</si>
  <si>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</si>
  <si>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</si>
  <si>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</si>
  <si>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</si>
  <si>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</si>
  <si>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</si>
  <si>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</si>
  <si>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</si>
  <si>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</si>
  <si>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</si>
  <si>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</si>
  <si>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</si>
  <si>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</si>
  <si>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</si>
  <si>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</si>
  <si>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</si>
  <si>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</si>
  <si>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</si>
  <si>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</si>
  <si>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</si>
  <si>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</si>
  <si>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</si>
  <si>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</si>
  <si>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</si>
  <si>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</si>
  <si>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</si>
  <si>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</si>
  <si>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</si>
  <si>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</si>
  <si>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</si>
  <si>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</si>
  <si>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</si>
  <si>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</si>
  <si>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</si>
  <si>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</si>
  <si>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</si>
  <si>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</si>
  <si>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</si>
  <si>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</si>
  <si>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</si>
  <si>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</si>
  <si>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</si>
  <si>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</si>
  <si>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</si>
  <si>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</si>
  <si>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</si>
  <si>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</si>
  <si>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</si>
  <si>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</si>
  <si>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</si>
  <si>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</si>
  <si>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</si>
  <si>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</si>
  <si>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</si>
  <si>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</si>
  <si>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</si>
  <si>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</si>
  <si>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</si>
  <si>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</si>
  <si>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</si>
  <si>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</si>
  <si>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</si>
  <si>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</si>
  <si>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</si>
  <si>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</si>
  <si>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</si>
  <si>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</si>
  <si>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</si>
  <si>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</si>
  <si>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</si>
  <si>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</si>
  <si>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</si>
  <si>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</si>
  <si>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</si>
  <si>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</si>
  <si>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</si>
  <si>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</si>
  <si>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</si>
  <si>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</si>
  <si>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</si>
  <si>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</si>
  <si>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</si>
  <si>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</si>
  <si>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</si>
  <si>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</si>
  <si>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</si>
  <si>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</si>
  <si>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</si>
  <si>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</si>
  <si>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</si>
  <si>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</si>
  <si>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</si>
  <si>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</si>
  <si>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</si>
  <si>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</si>
  <si>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</si>
  <si>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</si>
  <si>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</si>
  <si>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</si>
  <si>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</si>
  <si>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</si>
  <si>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</si>
  <si>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</si>
  <si>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</si>
  <si>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</si>
  <si>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</si>
  <si>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</si>
  <si>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</si>
  <si>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</si>
  <si>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</si>
  <si>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</si>
  <si>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</si>
  <si>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</si>
  <si>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</si>
  <si>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</si>
  <si>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</si>
  <si>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</si>
  <si>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</si>
  <si>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</si>
  <si>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</si>
  <si>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</si>
  <si>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</si>
  <si>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</si>
  <si>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</si>
  <si>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</si>
  <si>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</si>
  <si>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</si>
  <si>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</si>
  <si>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</si>
  <si>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</si>
  <si>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</si>
  <si>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</si>
  <si>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</si>
  <si>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</si>
  <si>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</si>
  <si>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</si>
  <si>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</si>
  <si>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</si>
  <si>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</si>
  <si>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</si>
  <si>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</si>
  <si>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</si>
  <si>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</si>
  <si>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</si>
  <si>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</si>
  <si>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</si>
  <si>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</si>
  <si>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</si>
  <si>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</si>
  <si>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</si>
  <si>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</si>
  <si>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</si>
  <si>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</si>
  <si>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</si>
  <si>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</si>
  <si>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</si>
  <si>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</si>
  <si>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</si>
  <si>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</si>
  <si>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</si>
  <si>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</si>
  <si>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</si>
  <si>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</si>
  <si>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</si>
  <si>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</si>
  <si>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</si>
  <si>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</si>
  <si>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</si>
  <si>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</si>
  <si>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</si>
  <si>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</si>
  <si>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</si>
  <si>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</si>
  <si>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</si>
  <si>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</si>
  <si>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</si>
  <si>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</si>
  <si>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</si>
  <si>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</si>
  <si>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</si>
  <si>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</si>
  <si>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</si>
  <si>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</si>
  <si>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</si>
  <si>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</si>
  <si>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</si>
  <si>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</si>
  <si>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</si>
  <si>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</si>
  <si>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</si>
  <si>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</si>
  <si>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</si>
  <si>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</si>
  <si>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</si>
  <si>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</si>
  <si>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</si>
  <si>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</si>
  <si>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</si>
  <si>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</si>
  <si>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</si>
  <si>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</si>
  <si>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</si>
  <si>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</si>
  <si>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</si>
  <si>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</si>
  <si>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</si>
  <si>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</si>
  <si>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</si>
  <si>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</si>
  <si>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</si>
  <si>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</si>
  <si>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</si>
  <si>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</si>
  <si>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</si>
  <si>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</si>
  <si>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</si>
  <si>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</si>
  <si>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</si>
  <si>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</si>
  <si>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</si>
  <si>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</si>
  <si>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</si>
  <si>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</si>
  <si>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</si>
  <si>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</si>
  <si>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</si>
  <si>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</si>
  <si>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</si>
  <si>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</si>
  <si>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</si>
  <si>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</si>
  <si>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</si>
  <si>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</si>
  <si>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</si>
  <si>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</si>
  <si>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</si>
  <si>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</si>
  <si>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</si>
  <si>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</si>
  <si>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</si>
  <si>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</si>
  <si>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</si>
  <si>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</si>
  <si>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</si>
  <si>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</si>
  <si>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</si>
  <si>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</si>
  <si>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</si>
  <si>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</si>
  <si>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</si>
  <si>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</si>
  <si>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</si>
  <si>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</si>
  <si>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</si>
  <si>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</si>
  <si>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</si>
  <si>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</si>
  <si>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</si>
  <si>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</si>
  <si>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</si>
  <si>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</si>
  <si>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</si>
  <si>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</si>
  <si>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</si>
  <si>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</si>
  <si>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</si>
  <si>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</si>
  <si>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</si>
  <si>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</si>
  <si>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</si>
  <si>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</si>
  <si>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</si>
  <si>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</si>
  <si>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</si>
  <si>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</si>
  <si>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</si>
  <si>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</si>
  <si>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</si>
  <si>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</si>
  <si>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</si>
  <si>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</si>
  <si>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</si>
  <si>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</si>
  <si>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</si>
  <si>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</si>
  <si>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</si>
  <si>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</si>
  <si>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</si>
  <si>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</si>
  <si>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</si>
  <si>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</si>
  <si>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</si>
  <si>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</si>
  <si>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</si>
  <si>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</si>
  <si>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</si>
  <si>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</si>
  <si>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</si>
  <si>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</si>
  <si>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</si>
  <si>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</si>
  <si>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</si>
  <si>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</si>
  <si>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</si>
  <si>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</si>
  <si>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</si>
  <si>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</si>
  <si>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</si>
  <si>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</si>
  <si>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</si>
  <si>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</si>
  <si>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</si>
  <si>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</si>
  <si>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</si>
  <si>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</si>
  <si>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</si>
  <si>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</si>
  <si>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</si>
  <si>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</si>
  <si>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</si>
  <si>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</si>
  <si>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</si>
  <si>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</si>
  <si>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</si>
  <si>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</si>
  <si>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</si>
  <si>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</si>
  <si>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</si>
  <si>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</si>
  <si>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</si>
  <si>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</si>
  <si>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</si>
  <si>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</si>
  <si>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</si>
  <si>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</si>
  <si>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</si>
  <si>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</si>
  <si>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</si>
  <si>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</si>
  <si>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</si>
  <si>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</si>
  <si>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</si>
  <si>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</si>
  <si>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</si>
  <si>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</si>
  <si>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</si>
  <si>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</si>
  <si>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</si>
  <si>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</si>
  <si>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</si>
  <si>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</si>
  <si>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</si>
  <si>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</si>
  <si>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</si>
  <si>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</si>
  <si>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</si>
  <si>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</si>
  <si>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</si>
  <si>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</si>
  <si>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</si>
  <si>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</si>
  <si>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</si>
  <si>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</si>
  <si>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</si>
  <si>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</si>
  <si>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</si>
  <si>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</si>
  <si>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</si>
  <si>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</si>
  <si>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</si>
  <si>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</si>
  <si>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</si>
  <si>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</si>
  <si>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</si>
  <si>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</si>
  <si>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</si>
  <si>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</si>
  <si>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</si>
  <si>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</si>
  <si>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</si>
  <si>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</si>
  <si>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</si>
  <si>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</si>
  <si>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</si>
  <si>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</si>
  <si>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</si>
  <si>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</si>
  <si>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</si>
  <si>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</si>
  <si>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</si>
  <si>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</si>
  <si>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</si>
  <si>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</si>
  <si>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</si>
  <si>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</si>
  <si>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</si>
  <si>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</si>
  <si>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</si>
  <si>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</si>
  <si>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</si>
  <si>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</si>
  <si>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</si>
  <si>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</si>
  <si>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</si>
  <si>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</si>
  <si>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</si>
  <si>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</si>
  <si>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</si>
  <si>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</si>
  <si>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</si>
  <si>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</si>
  <si>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</si>
  <si>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</si>
  <si>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</si>
  <si>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</si>
  <si>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</si>
  <si>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</si>
  <si>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</si>
  <si>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</si>
  <si>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</si>
  <si>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</si>
  <si>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</si>
  <si>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</si>
  <si>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</si>
  <si>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</si>
  <si>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</si>
  <si>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</si>
  <si>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</si>
  <si>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</si>
  <si>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</si>
  <si>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</si>
  <si>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</si>
  <si>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</si>
  <si>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</si>
  <si>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</si>
  <si>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</si>
  <si>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</si>
  <si>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</si>
  <si>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</si>
  <si>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</si>
  <si>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</si>
  <si>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</si>
  <si>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</si>
  <si>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</si>
  <si>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</si>
  <si>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</si>
  <si>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</si>
  <si>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</si>
  <si>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</si>
  <si>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</si>
  <si>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</si>
  <si>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</si>
  <si>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</si>
  <si>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</si>
  <si>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</si>
  <si>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</si>
  <si>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</si>
  <si>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</si>
  <si>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</si>
  <si>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</si>
  <si>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</si>
  <si>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</si>
  <si>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</si>
  <si>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</si>
  <si>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</si>
  <si>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</si>
  <si>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</si>
  <si>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</si>
  <si>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</si>
  <si>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</si>
  <si>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</si>
  <si>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</si>
  <si>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</si>
  <si>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</si>
  <si>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</si>
  <si>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</si>
  <si>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</si>
  <si>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</si>
  <si>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</si>
  <si>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</si>
  <si>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</si>
  <si>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</si>
  <si>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</si>
  <si>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</si>
  <si>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</si>
  <si>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</si>
  <si>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</si>
  <si>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</si>
  <si>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</si>
  <si>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</si>
  <si>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</si>
  <si>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</si>
  <si>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</si>
  <si>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</si>
  <si>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</si>
  <si>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</si>
  <si>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</si>
  <si>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</si>
  <si>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</si>
  <si>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</si>
  <si>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</si>
  <si>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</si>
  <si>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</si>
  <si>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</si>
  <si>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</si>
  <si>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</si>
  <si>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</si>
  <si>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</si>
  <si>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</si>
  <si>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</si>
  <si>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</si>
  <si>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</si>
  <si>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</si>
  <si>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</si>
  <si>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</si>
  <si>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</si>
  <si>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</si>
  <si>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</si>
  <si>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</si>
  <si>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</si>
  <si>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</si>
  <si>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</si>
  <si>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</si>
  <si>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</si>
  <si>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</si>
  <si>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</si>
  <si>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</si>
  <si>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</si>
  <si>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</si>
  <si>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</si>
  <si>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</si>
  <si>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</si>
  <si>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</si>
  <si>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</si>
  <si>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</si>
  <si>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</si>
  <si>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</si>
  <si>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</si>
  <si>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</si>
  <si>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</si>
  <si>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</si>
  <si>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</si>
  <si>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</si>
  <si>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</si>
  <si>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</si>
  <si>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</si>
  <si>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</si>
  <si>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</si>
  <si>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</si>
  <si>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</si>
  <si>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</si>
  <si>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</si>
  <si>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</si>
  <si>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</si>
  <si>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</si>
  <si>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</si>
  <si>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</si>
  <si>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</si>
  <si>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</si>
  <si>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</si>
  <si>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</si>
  <si>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</si>
  <si>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</si>
  <si>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</si>
  <si>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</si>
  <si>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</si>
  <si>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</si>
  <si>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</si>
  <si>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</si>
  <si>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</si>
  <si>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</si>
  <si>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</si>
  <si>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</si>
  <si>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</si>
  <si>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</si>
  <si>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</si>
  <si>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</si>
  <si>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</si>
  <si>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</si>
  <si>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</si>
  <si>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</si>
  <si>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</si>
  <si>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</si>
  <si>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</si>
  <si>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</si>
  <si>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</si>
  <si>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</si>
  <si>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</si>
  <si>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</si>
  <si>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</si>
  <si>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</si>
  <si>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</si>
  <si>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</si>
  <si>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</si>
  <si>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</si>
  <si>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</si>
  <si>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</si>
  <si>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</si>
  <si>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</si>
  <si>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</si>
  <si>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</si>
  <si>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</si>
  <si>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</si>
  <si>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</si>
  <si>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</si>
  <si>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</si>
  <si>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</si>
  <si>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</si>
  <si>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</si>
  <si>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</si>
  <si>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</si>
  <si>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</si>
  <si>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</si>
  <si>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</si>
  <si>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</si>
  <si>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</si>
  <si>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</si>
  <si>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</si>
  <si>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</si>
  <si>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</si>
  <si>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</si>
  <si>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</si>
  <si>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</si>
  <si>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</si>
  <si>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</si>
  <si>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</si>
  <si>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</si>
  <si>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</si>
  <si>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</si>
  <si>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</si>
  <si>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</si>
  <si>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</si>
  <si>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</si>
  <si>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</si>
  <si>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</si>
  <si>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</si>
  <si>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</si>
  <si>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</si>
  <si>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</si>
  <si>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</si>
  <si>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</si>
  <si>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</si>
  <si>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</si>
  <si>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</si>
  <si>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</si>
  <si>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</si>
  <si>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</si>
  <si>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</si>
  <si>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</si>
  <si>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</si>
  <si>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</si>
  <si>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</si>
  <si>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</si>
  <si>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</si>
  <si>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</si>
  <si>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</si>
  <si>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</si>
  <si>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</si>
  <si>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</si>
  <si>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</si>
  <si>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</si>
  <si>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</si>
  <si>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</si>
  <si>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</si>
  <si>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</si>
  <si>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</si>
  <si>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</si>
  <si>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</si>
  <si>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</si>
  <si>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</si>
  <si>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</si>
  <si>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</si>
  <si>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</si>
  <si>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</si>
  <si>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</si>
  <si>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</si>
  <si>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</si>
  <si>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</si>
  <si>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</si>
  <si>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</si>
  <si>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</si>
  <si>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</si>
  <si>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</si>
  <si>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</si>
  <si>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</si>
  <si>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</si>
  <si>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</si>
  <si>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</si>
  <si>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</si>
  <si>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</si>
  <si>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</si>
  <si>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</si>
  <si>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</si>
  <si>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</si>
  <si>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</si>
  <si>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</si>
  <si>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</si>
  <si>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</si>
  <si>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</si>
  <si>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</si>
  <si>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</si>
  <si>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</si>
  <si>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</si>
  <si>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</si>
  <si>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</si>
  <si>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</si>
  <si>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</si>
  <si>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</si>
  <si>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</si>
  <si>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</si>
  <si>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</si>
  <si>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</si>
  <si>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</si>
  <si>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</si>
  <si>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</si>
  <si>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</si>
  <si>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</si>
  <si>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</si>
  <si>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</si>
  <si>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</si>
  <si>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</si>
  <si>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</si>
  <si>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</si>
  <si>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</si>
  <si>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</si>
  <si>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</si>
  <si>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</si>
  <si>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</si>
  <si>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</si>
  <si>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</si>
  <si>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</si>
  <si>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</si>
  <si>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</si>
  <si>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</si>
  <si>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</si>
  <si>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</si>
  <si>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</si>
  <si>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</si>
  <si>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</si>
  <si>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</si>
  <si>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</si>
  <si>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</si>
  <si>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</si>
  <si>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</si>
  <si>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</si>
  <si>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</si>
  <si>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</si>
  <si>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</si>
  <si>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</si>
  <si>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</si>
  <si>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</si>
  <si>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</si>
  <si>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</si>
  <si>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</si>
  <si>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</si>
  <si>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</si>
  <si>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</si>
  <si>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</si>
  <si>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</si>
  <si>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</si>
  <si>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</si>
  <si>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</si>
  <si>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</si>
  <si>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</si>
  <si>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</si>
  <si>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</si>
  <si>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</si>
  <si>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</si>
  <si>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</si>
  <si>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</si>
  <si>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</si>
  <si>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</si>
  <si>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</si>
  <si>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</si>
  <si>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</si>
  <si>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</si>
  <si>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</si>
  <si>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</si>
  <si>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</si>
  <si>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</si>
  <si>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</si>
  <si>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</si>
  <si>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</si>
  <si>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</si>
  <si>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</si>
  <si>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</si>
  <si>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</si>
  <si>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</si>
  <si>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</si>
  <si>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</si>
  <si>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</si>
  <si>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</si>
  <si>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</si>
  <si>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</si>
  <si>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</si>
  <si>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</si>
  <si>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</si>
  <si>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</si>
  <si>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</si>
  <si>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</si>
  <si>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</si>
  <si>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</si>
  <si>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</si>
  <si>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</si>
  <si>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</si>
  <si>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</si>
  <si>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</si>
  <si>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</si>
  <si>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</si>
  <si>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</si>
  <si>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</si>
  <si>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</si>
  <si>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</si>
  <si>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</si>
  <si>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</si>
  <si>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</si>
  <si>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</si>
  <si>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</si>
  <si>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</si>
  <si>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</si>
  <si>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</si>
  <si>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</si>
  <si>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</si>
  <si>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</si>
  <si>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</si>
  <si>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</si>
  <si>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</si>
  <si>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</si>
  <si>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</si>
  <si>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</si>
  <si>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</si>
  <si>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</si>
  <si>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</si>
  <si>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</si>
  <si>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</si>
  <si>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</si>
  <si>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</si>
  <si>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</si>
  <si>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</si>
  <si>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</si>
  <si>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</si>
  <si>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</si>
  <si>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</si>
  <si>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</si>
  <si>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</si>
  <si>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</si>
  <si>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</si>
  <si>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</si>
  <si>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</si>
  <si>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</si>
  <si>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</si>
  <si>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</si>
  <si>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</si>
  <si>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</si>
  <si>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</si>
  <si>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</si>
  <si>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</si>
  <si>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</si>
  <si>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</si>
  <si>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</si>
  <si>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</si>
  <si>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</si>
  <si>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</si>
  <si>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</si>
  <si>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</si>
  <si>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</si>
  <si>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</si>
  <si>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</si>
  <si>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</si>
  <si>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</si>
  <si>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</si>
  <si>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</si>
  <si>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</si>
  <si>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</si>
  <si>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</si>
  <si>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</si>
  <si>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</si>
  <si>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</si>
  <si>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</si>
  <si>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</si>
  <si>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</si>
  <si>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</si>
  <si>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</si>
  <si>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</si>
  <si>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</si>
  <si>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</si>
  <si>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</si>
  <si>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</si>
  <si>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</si>
  <si>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</si>
  <si>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</si>
  <si>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</si>
  <si>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</si>
  <si>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</si>
  <si>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</si>
  <si>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</si>
  <si>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</si>
  <si>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</si>
  <si>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</si>
  <si>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</si>
  <si>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</si>
  <si>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</si>
  <si>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</si>
  <si>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</si>
  <si>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</si>
  <si>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</si>
  <si>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</si>
  <si>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</si>
  <si>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</si>
  <si>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</si>
  <si>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</si>
  <si>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</si>
  <si>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</si>
  <si>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</si>
  <si>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</si>
  <si>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</si>
  <si>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</si>
  <si>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</si>
  <si>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</si>
  <si>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</si>
  <si>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</si>
  <si>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</si>
  <si>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</si>
  <si>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</si>
  <si>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</si>
  <si>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</si>
  <si>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</si>
  <si>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</si>
  <si>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</si>
  <si>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</si>
  <si>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</si>
  <si>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</si>
  <si>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</si>
  <si>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</si>
  <si>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</si>
  <si>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</si>
  <si>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</si>
  <si>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</si>
  <si>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</si>
  <si>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</si>
  <si>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</si>
  <si>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</si>
  <si>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</si>
  <si>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</si>
  <si>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</si>
  <si>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</si>
  <si>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</si>
  <si>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</si>
  <si>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</si>
  <si>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</si>
  <si>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</si>
  <si>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</si>
  <si>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</si>
  <si>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</si>
  <si>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</si>
  <si>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</si>
  <si>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</si>
  <si>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</si>
  <si>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</si>
  <si>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</si>
  <si>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</si>
  <si>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</si>
  <si>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</si>
  <si>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</si>
  <si>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</si>
  <si>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</si>
  <si>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</si>
  <si>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</si>
  <si>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</si>
  <si>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</si>
  <si>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</si>
  <si>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</si>
  <si>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</si>
  <si>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</si>
  <si>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</si>
  <si>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</si>
  <si>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</si>
  <si>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</si>
  <si>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</si>
  <si>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</si>
  <si>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</si>
  <si>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</si>
  <si>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</si>
  <si>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</si>
  <si>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</si>
  <si>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</si>
  <si>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</si>
  <si>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</si>
  <si>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</si>
  <si>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</si>
  <si>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</si>
  <si>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</si>
  <si>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</si>
  <si>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</si>
  <si>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</si>
  <si>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</si>
  <si>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</si>
  <si>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</si>
  <si>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</si>
  <si>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</si>
  <si>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</si>
  <si>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</si>
  <si>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</si>
  <si>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</si>
  <si>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</si>
  <si>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</si>
  <si>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</si>
  <si>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</si>
  <si>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</si>
  <si>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</si>
  <si>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</si>
  <si>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</si>
  <si>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</si>
  <si>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</si>
  <si>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</si>
  <si>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</si>
  <si>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</si>
  <si>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</si>
  <si>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</si>
  <si>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</si>
  <si>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</si>
  <si>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</si>
  <si>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</si>
  <si>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</si>
  <si>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</si>
  <si>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</si>
  <si>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</si>
  <si>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</si>
  <si>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</si>
  <si>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</si>
  <si>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</si>
  <si>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</si>
  <si>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</si>
  <si>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</si>
  <si>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</si>
  <si>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</si>
  <si>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</si>
  <si>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</si>
  <si>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</si>
  <si>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</si>
  <si>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</si>
  <si>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</si>
  <si>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</si>
  <si>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</si>
  <si>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</si>
  <si>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</si>
  <si>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</si>
  <si>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</si>
  <si>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</si>
  <si>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</si>
  <si>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</si>
  <si>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</si>
  <si>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</si>
  <si>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</si>
  <si>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</si>
  <si>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</si>
  <si>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</si>
  <si>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</si>
  <si>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</si>
  <si>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</si>
  <si>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</si>
  <si>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</si>
  <si>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</si>
  <si>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</si>
  <si>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</si>
  <si>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</si>
  <si>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</si>
  <si>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</si>
  <si>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</si>
  <si>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</si>
  <si>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</si>
  <si>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</si>
  <si>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</si>
  <si>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</si>
  <si>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</si>
  <si>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</si>
  <si>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</si>
  <si>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</si>
  <si>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</si>
  <si>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</si>
  <si>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</si>
  <si>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</si>
  <si>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</si>
  <si>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</si>
  <si>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</si>
  <si>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</si>
  <si>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</si>
  <si>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</si>
  <si>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</si>
  <si>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</si>
  <si>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</si>
  <si>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</si>
  <si>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</si>
  <si>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</si>
  <si>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</si>
  <si>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</si>
  <si>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</si>
  <si>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</si>
  <si>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</si>
  <si>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</si>
  <si>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</si>
  <si>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</si>
  <si>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</si>
  <si>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</si>
  <si>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</si>
  <si>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</si>
  <si>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</si>
  <si>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</si>
  <si>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</si>
  <si>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</si>
  <si>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</si>
  <si>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</si>
  <si>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</si>
  <si>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</si>
  <si>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</si>
  <si>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</si>
  <si>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</si>
  <si>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</si>
  <si>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</si>
  <si>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</si>
  <si>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</si>
  <si>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</si>
  <si>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</si>
  <si>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</si>
  <si>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</si>
  <si>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</si>
  <si>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</si>
  <si>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</si>
  <si>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</si>
  <si>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</si>
  <si>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</si>
  <si>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</si>
  <si>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</si>
  <si>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</si>
  <si>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</si>
  <si>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</si>
  <si>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</si>
  <si>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</si>
  <si>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</si>
  <si>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</si>
  <si>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</si>
  <si>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</si>
  <si>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</si>
  <si>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</si>
  <si>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</si>
  <si>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</si>
  <si>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</si>
  <si>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</si>
  <si>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</si>
  <si>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</si>
  <si>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</si>
  <si>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</si>
  <si>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</si>
  <si>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</si>
  <si>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</si>
  <si>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</si>
  <si>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</si>
  <si>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</si>
  <si>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</si>
  <si>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</si>
  <si>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</si>
  <si>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</si>
  <si>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</si>
  <si>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</si>
  <si>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</si>
  <si>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</si>
  <si>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</si>
  <si>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</si>
  <si>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</si>
  <si>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</si>
  <si>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</si>
  <si>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</si>
  <si>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</si>
  <si>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</si>
  <si>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</si>
  <si>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</si>
  <si>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</si>
  <si>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</si>
  <si>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</si>
  <si>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</si>
  <si>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</si>
  <si>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</si>
  <si>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</si>
  <si>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</si>
  <si>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</si>
  <si>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</si>
  <si>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</si>
  <si>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</si>
  <si>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</si>
  <si>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</si>
  <si>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</si>
  <si>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</si>
  <si>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</si>
  <si>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</si>
  <si>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</si>
  <si>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</si>
  <si>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</si>
  <si>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</si>
  <si>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</si>
  <si>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</si>
  <si>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</si>
  <si>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</si>
  <si>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</si>
  <si>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</si>
  <si>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</si>
  <si>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</si>
  <si>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</si>
  <si>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</si>
  <si>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</si>
  <si>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</si>
  <si>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</si>
  <si>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</si>
  <si>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</si>
  <si>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</si>
  <si>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</si>
  <si>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</si>
  <si>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</si>
  <si>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</si>
  <si>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</si>
  <si>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</si>
  <si>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</si>
  <si>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</si>
  <si>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</si>
  <si>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</si>
  <si>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</si>
  <si>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</si>
  <si>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</si>
  <si>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</si>
  <si>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</si>
  <si>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</si>
  <si>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</si>
  <si>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</si>
  <si>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</si>
  <si>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</si>
  <si>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</si>
  <si>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</si>
  <si>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</si>
  <si>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</si>
  <si>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</si>
  <si>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</si>
  <si>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</si>
  <si>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</si>
  <si>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</si>
  <si>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</si>
  <si>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</si>
  <si>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</si>
  <si>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</si>
  <si>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</si>
  <si>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</si>
  <si>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</si>
  <si>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</si>
  <si>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</si>
  <si>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</si>
  <si>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</si>
  <si>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</si>
  <si>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</si>
  <si>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</si>
  <si>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</si>
  <si>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</si>
  <si>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</si>
  <si>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</si>
  <si>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</si>
  <si>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</si>
  <si>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</si>
  <si>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</si>
  <si>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</si>
  <si>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</si>
  <si>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</si>
  <si>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</si>
  <si>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</si>
  <si>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</si>
  <si>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</si>
  <si>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</si>
  <si>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</si>
  <si>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</si>
  <si>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</si>
  <si>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</si>
  <si>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</si>
  <si>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</si>
  <si>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</si>
  <si>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</si>
  <si>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</si>
  <si>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</si>
  <si>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</si>
  <si>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</si>
  <si>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</si>
  <si>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</si>
  <si>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</si>
  <si>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</si>
  <si>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</si>
  <si>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</si>
  <si>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</si>
  <si>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</si>
  <si>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</si>
  <si>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</si>
  <si>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</si>
  <si>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</si>
  <si>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</si>
  <si>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</si>
  <si>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</si>
  <si>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</si>
  <si>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</si>
  <si>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</si>
  <si>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</si>
  <si>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</si>
  <si>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</si>
  <si>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</si>
  <si>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</si>
  <si>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</si>
  <si>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</si>
  <si>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</si>
  <si>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</si>
  <si>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</si>
  <si>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</si>
  <si>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</si>
  <si>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</si>
  <si>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</si>
  <si>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</si>
  <si>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</si>
  <si>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</si>
  <si>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</si>
  <si>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</si>
  <si>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</si>
  <si>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</si>
  <si>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</si>
  <si>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</si>
  <si>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</si>
  <si>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</si>
  <si>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</si>
  <si>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</si>
  <si>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</si>
  <si>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</si>
  <si>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</si>
  <si>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</si>
  <si>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</si>
  <si>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</si>
  <si>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</si>
  <si>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</si>
  <si>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</si>
  <si>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</si>
  <si>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</si>
  <si>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</si>
  <si>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</si>
  <si>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</si>
  <si>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</si>
  <si>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</si>
  <si>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</si>
  <si>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</si>
  <si>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</si>
  <si>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</si>
  <si>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</si>
  <si>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</si>
  <si>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</si>
  <si>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</si>
  <si>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</si>
  <si>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</si>
  <si>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</si>
  <si>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</si>
  <si>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</si>
  <si>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</si>
  <si>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</si>
  <si>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</si>
  <si>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</si>
  <si>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</si>
  <si>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</si>
  <si>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</si>
  <si>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</si>
  <si>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</si>
  <si>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</si>
  <si>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</si>
  <si>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</si>
  <si>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</si>
  <si>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</si>
  <si>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</si>
  <si>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</si>
  <si>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</si>
  <si>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</si>
  <si>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</si>
  <si>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</si>
  <si>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</si>
  <si>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</si>
  <si>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</si>
  <si>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</si>
  <si>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</si>
  <si>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</si>
  <si>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</si>
  <si>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</si>
  <si>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</si>
  <si>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</si>
  <si>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</si>
  <si>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</si>
  <si>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</si>
  <si>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</si>
  <si>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</si>
  <si>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</si>
  <si>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</si>
  <si>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</si>
  <si>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</si>
  <si>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</si>
  <si>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</si>
  <si>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</si>
  <si>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</si>
  <si>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</si>
  <si>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</si>
  <si>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</si>
  <si>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</si>
  <si>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</si>
  <si>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</si>
  <si>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</si>
  <si>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</si>
  <si>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</si>
  <si>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</si>
  <si>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</si>
  <si>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</si>
  <si>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</si>
  <si>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</si>
  <si>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</si>
  <si>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</si>
  <si>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</si>
  <si>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</si>
  <si>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</si>
  <si>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</si>
  <si>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</si>
  <si>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</si>
  <si>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</si>
  <si>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</si>
  <si>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</si>
  <si>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</si>
  <si>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</si>
  <si>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</si>
  <si>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</si>
  <si>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</si>
  <si>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</si>
  <si>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</si>
  <si>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</si>
  <si>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</si>
  <si>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</si>
  <si>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</si>
  <si>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</si>
  <si>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</si>
  <si>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</si>
  <si>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</si>
  <si>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</si>
  <si>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</si>
  <si>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</si>
  <si>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</si>
  <si>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</si>
  <si>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</si>
  <si>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</si>
  <si>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</si>
  <si>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</si>
  <si>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</si>
  <si>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</si>
  <si>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</si>
  <si>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</si>
  <si>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</si>
  <si>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</si>
  <si>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</si>
  <si>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</si>
  <si>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</si>
  <si>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</si>
  <si>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</si>
  <si>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</si>
  <si>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</si>
  <si>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</si>
  <si>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</si>
  <si>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</si>
  <si>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</si>
  <si>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</si>
  <si>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</si>
  <si>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</si>
  <si>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</si>
  <si>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</si>
  <si>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</si>
  <si>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</si>
  <si>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</si>
  <si>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</si>
  <si>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</si>
  <si>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</si>
  <si>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</si>
  <si>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</si>
  <si>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</si>
  <si>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</si>
  <si>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</si>
  <si>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</si>
  <si>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</si>
  <si>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</si>
  <si>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</si>
  <si>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</si>
  <si>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</si>
  <si>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</si>
  <si>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</si>
  <si>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</si>
  <si>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</si>
  <si>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</si>
  <si>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</si>
  <si>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</si>
  <si>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</si>
  <si>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</si>
  <si>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</si>
  <si>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</si>
  <si>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</si>
  <si>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</si>
  <si>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</si>
  <si>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</si>
  <si>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</si>
  <si>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</si>
  <si>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</si>
  <si>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</si>
  <si>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</si>
  <si>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</si>
  <si>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</si>
  <si>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</si>
  <si>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</si>
  <si>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</si>
  <si>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</si>
  <si>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</si>
  <si>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</si>
  <si>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</si>
  <si>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</si>
  <si>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</si>
  <si>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</si>
  <si>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</si>
  <si>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</si>
  <si>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</si>
  <si>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</si>
  <si>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</si>
  <si>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</si>
  <si>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</si>
  <si>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</si>
  <si>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</si>
  <si>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</si>
  <si>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</si>
  <si>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</si>
  <si>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</si>
  <si>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</si>
  <si>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</si>
  <si>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</si>
  <si>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</si>
  <si>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</si>
  <si>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</si>
  <si>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</si>
  <si>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</si>
  <si>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</si>
  <si>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</si>
  <si>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</si>
  <si>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</si>
  <si>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</si>
  <si>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</si>
  <si>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</si>
  <si>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</si>
  <si>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</si>
  <si>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</si>
  <si>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</si>
  <si>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</si>
  <si>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</si>
  <si>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</si>
  <si>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</si>
  <si>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</si>
  <si>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</si>
  <si>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</si>
  <si>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</si>
  <si>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</si>
  <si>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</si>
  <si>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</si>
  <si>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</si>
  <si>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</si>
  <si>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</si>
  <si>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</si>
  <si>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</si>
  <si>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</si>
  <si>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</si>
  <si>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</si>
  <si>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</si>
  <si>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</si>
  <si>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</si>
  <si>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</si>
  <si>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</si>
  <si>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</si>
  <si>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</si>
  <si>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</si>
  <si>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</si>
  <si>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</si>
  <si>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</si>
  <si>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</si>
  <si>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</si>
  <si>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</si>
  <si>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</si>
  <si>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</si>
  <si>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</si>
  <si>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</si>
  <si>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</si>
  <si>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</si>
  <si>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</si>
  <si>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</si>
  <si>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</si>
  <si>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</si>
  <si>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</si>
  <si>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</si>
  <si>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</si>
  <si>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</si>
  <si>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</si>
  <si>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</si>
  <si>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</si>
  <si>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</si>
  <si>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</si>
  <si>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</si>
  <si>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</si>
  <si>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</si>
  <si>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</si>
  <si>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</si>
  <si>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</si>
  <si>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</si>
  <si>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</si>
  <si>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</si>
  <si>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</si>
  <si>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</si>
  <si>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</si>
  <si>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</si>
  <si>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</si>
  <si>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</si>
  <si>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</si>
  <si>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</si>
  <si>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</si>
  <si>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</si>
  <si>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</si>
  <si>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</si>
  <si>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</si>
  <si>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</si>
  <si>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</si>
  <si>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</si>
  <si>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</si>
  <si>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</si>
  <si>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</si>
  <si>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</si>
  <si>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</si>
  <si>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</si>
  <si>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</si>
  <si>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</si>
  <si>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</si>
  <si>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</si>
  <si>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</si>
  <si>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</si>
  <si>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</si>
  <si>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</si>
  <si>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</si>
  <si>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</si>
  <si>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</si>
  <si>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</si>
  <si>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</si>
  <si>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</si>
  <si>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</si>
  <si>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</si>
  <si>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</si>
  <si>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</si>
  <si>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</si>
  <si>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</si>
  <si>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</si>
  <si>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</si>
  <si>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</si>
  <si>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</si>
  <si>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</si>
  <si>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</si>
  <si>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</si>
  <si>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</si>
  <si>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</si>
  <si>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</si>
  <si>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</si>
  <si>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</si>
  <si>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</si>
  <si>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</si>
  <si>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</si>
  <si>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</si>
  <si>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</si>
  <si>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</si>
  <si>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</si>
  <si>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</si>
  <si>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</si>
  <si>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</si>
  <si>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</si>
  <si>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</si>
  <si>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</si>
  <si>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</si>
  <si>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</si>
  <si>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</si>
  <si>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</si>
  <si>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</si>
  <si>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</si>
  <si>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</si>
  <si>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</si>
  <si>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</si>
  <si>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</si>
  <si>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</si>
  <si>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</si>
  <si>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</si>
  <si>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</si>
  <si>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</si>
  <si>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</si>
  <si>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</si>
  <si>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</si>
  <si>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</si>
  <si>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</si>
  <si>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</si>
  <si>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</si>
  <si>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</si>
  <si>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</si>
  <si>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</si>
  <si>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</si>
  <si>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</si>
  <si>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</si>
  <si>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</si>
  <si>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</si>
  <si>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</si>
  <si>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</si>
  <si>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</si>
  <si>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</si>
  <si>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</si>
  <si>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</si>
  <si>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</si>
  <si>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</si>
  <si>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</si>
  <si>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</si>
  <si>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</si>
  <si>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</si>
  <si>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</si>
  <si>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</si>
  <si>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</si>
  <si>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</si>
  <si>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</si>
  <si>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</si>
  <si>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</si>
  <si>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</si>
  <si>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</si>
  <si>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</si>
  <si>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</si>
  <si>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</si>
  <si>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</si>
  <si>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</si>
  <si>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</si>
  <si>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</si>
  <si>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</si>
  <si>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</si>
  <si>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</si>
  <si>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</si>
  <si>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</si>
  <si>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</si>
  <si>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</si>
  <si>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</si>
  <si>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</si>
  <si>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</si>
  <si>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</si>
  <si>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</si>
  <si>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</si>
  <si>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</si>
  <si>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</si>
  <si>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</si>
  <si>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</si>
  <si>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</si>
  <si>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</si>
  <si>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</si>
  <si>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</si>
  <si>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</si>
  <si>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</si>
  <si>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</si>
  <si>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</si>
  <si>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</si>
  <si>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</si>
  <si>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</si>
  <si>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</si>
  <si>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</si>
  <si>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</si>
  <si>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</si>
  <si>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</si>
  <si>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</si>
  <si>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</si>
  <si>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</si>
  <si>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</si>
  <si>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</si>
  <si>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</si>
  <si>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</si>
  <si>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</si>
  <si>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</si>
  <si>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</si>
  <si>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</si>
  <si>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</si>
  <si>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</si>
  <si>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</si>
  <si>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</si>
  <si>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</si>
  <si>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</si>
  <si>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</si>
  <si>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</si>
  <si>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</si>
  <si>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</si>
  <si>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</si>
  <si>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</si>
  <si>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</si>
  <si>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</si>
  <si>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</si>
  <si>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</si>
  <si>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</si>
  <si>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</si>
  <si>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</si>
  <si>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</si>
  <si>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</si>
  <si>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</si>
  <si>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</si>
  <si>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</si>
  <si>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</si>
  <si>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</si>
  <si>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</si>
  <si>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</si>
  <si>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</si>
  <si>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</si>
  <si>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</si>
  <si>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</si>
  <si>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</si>
  <si>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</si>
  <si>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</si>
  <si>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</si>
  <si>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</si>
  <si>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</si>
  <si>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</si>
  <si>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</si>
  <si>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</si>
  <si>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</si>
  <si>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</si>
  <si>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</si>
  <si>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</si>
  <si>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</si>
  <si>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</si>
  <si>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</si>
  <si>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</si>
  <si>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</si>
  <si>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</si>
  <si>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</si>
  <si>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</si>
  <si>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</si>
  <si>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</si>
  <si>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</si>
  <si>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</si>
  <si>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</si>
  <si>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</si>
  <si>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</si>
  <si>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</si>
  <si>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</si>
  <si>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</si>
  <si>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</si>
  <si>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</si>
  <si>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</si>
  <si>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</si>
  <si>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</si>
  <si>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</si>
  <si>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</si>
  <si>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</si>
  <si>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</si>
  <si>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</si>
  <si>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</si>
  <si>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</si>
  <si>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</si>
  <si>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</si>
  <si>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</si>
  <si>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</si>
  <si>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</si>
  <si>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</si>
  <si>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</si>
  <si>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</si>
  <si>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</si>
  <si>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</si>
  <si>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</si>
  <si>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</si>
  <si>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</si>
  <si>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</si>
  <si>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</si>
  <si>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</si>
  <si>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</si>
  <si>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</si>
  <si>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</si>
  <si>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</si>
  <si>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</si>
  <si>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</si>
  <si>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</si>
  <si>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</si>
  <si>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</si>
  <si>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</si>
  <si>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</si>
  <si>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</si>
  <si>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</si>
  <si>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</si>
  <si>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</si>
  <si>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</si>
  <si>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</si>
  <si>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</si>
  <si>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</si>
  <si>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</si>
  <si>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</si>
  <si>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</si>
  <si>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</si>
  <si>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</si>
  <si>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</si>
  <si>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</si>
  <si>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</si>
  <si>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</si>
  <si>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</si>
  <si>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</si>
  <si>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</si>
  <si>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</si>
  <si>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</si>
  <si>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</si>
  <si>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</si>
  <si>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</si>
  <si>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</si>
  <si>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</si>
  <si>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</si>
  <si>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</si>
  <si>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</si>
  <si>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</si>
  <si>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</si>
  <si>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</si>
  <si>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</si>
  <si>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</si>
  <si>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</si>
  <si>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</si>
  <si>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</si>
  <si>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</si>
  <si>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</si>
  <si>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</si>
  <si>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</si>
  <si>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</si>
  <si>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</si>
  <si>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</si>
  <si>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</si>
  <si>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</si>
  <si>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</si>
  <si>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</si>
  <si>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</si>
  <si>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</si>
  <si>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</si>
  <si>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</si>
  <si>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</si>
  <si>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</si>
  <si>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</si>
  <si>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</si>
  <si>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</si>
  <si>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</si>
  <si>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</si>
  <si>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</si>
  <si>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</si>
  <si>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</si>
  <si>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</si>
  <si>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</si>
  <si>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</si>
  <si>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</si>
  <si>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</si>
  <si>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</si>
  <si>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</si>
  <si>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</si>
  <si>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</si>
  <si>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</si>
  <si>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</si>
  <si>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</si>
  <si>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</si>
  <si>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</si>
  <si>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</si>
  <si>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</si>
  <si>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</si>
  <si>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</si>
  <si>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</si>
  <si>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</si>
  <si>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</si>
  <si>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</si>
  <si>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</si>
  <si>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</si>
  <si>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</si>
  <si>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</si>
  <si>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</si>
  <si>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</si>
  <si>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</si>
  <si>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</si>
  <si>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</si>
  <si>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</si>
  <si>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</si>
  <si>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</si>
  <si>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</si>
  <si>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</si>
  <si>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</si>
  <si>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</si>
  <si>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</si>
  <si>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</si>
  <si>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</si>
  <si>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</si>
  <si>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</si>
  <si>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</si>
  <si>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</si>
  <si>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</si>
  <si>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</si>
  <si>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</si>
  <si>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</si>
  <si>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</si>
  <si>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</si>
  <si>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</si>
  <si>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</si>
  <si>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</si>
  <si>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</si>
  <si>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</si>
  <si>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</si>
  <si>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</si>
  <si>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</si>
  <si>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</si>
  <si>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</si>
  <si>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</si>
  <si>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</si>
  <si>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</si>
  <si>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</si>
  <si>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</si>
  <si>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</si>
  <si>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</si>
  <si>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</si>
  <si>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</si>
  <si>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</si>
  <si>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</si>
  <si>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</si>
  <si>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</si>
  <si>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</si>
  <si>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</si>
  <si>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</si>
  <si>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</si>
  <si>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</si>
  <si>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</si>
  <si>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</si>
  <si>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</si>
  <si>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</si>
  <si>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</si>
  <si>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</si>
  <si>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</si>
  <si>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</si>
  <si>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</si>
  <si>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</si>
  <si>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</si>
  <si>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</si>
  <si>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</si>
  <si>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</si>
  <si>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</si>
  <si>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</si>
  <si>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</si>
  <si>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</si>
  <si>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</si>
  <si>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</si>
  <si>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</si>
  <si>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</si>
  <si>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</si>
  <si>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</si>
  <si>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</si>
  <si>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</si>
  <si>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</si>
  <si>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</si>
  <si>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</si>
  <si>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</si>
  <si>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</si>
  <si>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</si>
  <si>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</si>
  <si>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</si>
  <si>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</si>
  <si>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</si>
  <si>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</si>
  <si>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</si>
  <si>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</si>
  <si>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</si>
  <si>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</si>
  <si>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</si>
  <si>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</si>
  <si>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</si>
  <si>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</si>
  <si>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</si>
  <si>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</si>
  <si>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</si>
  <si>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</si>
  <si>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</si>
  <si>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</si>
  <si>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</si>
  <si>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</si>
  <si>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</si>
  <si>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</si>
  <si>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</si>
  <si>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</si>
  <si>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</si>
  <si>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</si>
  <si>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</si>
  <si>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</si>
  <si>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</si>
  <si>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</si>
  <si>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</si>
  <si>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</si>
  <si>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</si>
  <si>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</si>
  <si>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</si>
  <si>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</si>
  <si>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</si>
  <si>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</si>
  <si>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</si>
  <si>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</si>
  <si>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</si>
  <si>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</si>
  <si>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</si>
  <si>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</si>
  <si>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</si>
  <si>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</si>
  <si>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</si>
  <si>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</si>
  <si>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</si>
  <si>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</si>
  <si>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</si>
  <si>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</si>
  <si>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</si>
  <si>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</si>
  <si>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</si>
  <si>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</si>
  <si>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</si>
  <si>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</si>
  <si>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</si>
  <si>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</si>
  <si>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</si>
  <si>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</si>
  <si>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</si>
  <si>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</si>
  <si>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</si>
  <si>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</si>
  <si>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</si>
  <si>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</si>
  <si>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</si>
  <si>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</si>
  <si>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</si>
  <si>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</si>
  <si>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</si>
  <si>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</si>
  <si>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</si>
  <si>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</si>
  <si>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</si>
  <si>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</si>
  <si>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</si>
  <si>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</si>
  <si>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</si>
  <si>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</si>
  <si>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</si>
  <si>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</si>
  <si>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</si>
  <si>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</si>
  <si>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</si>
  <si>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</si>
  <si>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</si>
  <si>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</si>
  <si>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</si>
  <si>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</si>
  <si>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</si>
  <si>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</si>
  <si>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</si>
  <si>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</si>
  <si>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</si>
  <si>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</si>
  <si>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</si>
  <si>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</si>
  <si>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</si>
  <si>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</si>
  <si>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</si>
  <si>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</si>
  <si>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</si>
  <si>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</si>
  <si>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</si>
  <si>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</si>
  <si>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</si>
  <si>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</si>
  <si>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</si>
  <si>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</si>
  <si>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</si>
  <si>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</si>
  <si>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</si>
  <si>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</si>
  <si>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</si>
  <si>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</si>
  <si>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</si>
  <si>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</si>
  <si>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</si>
  <si>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</si>
  <si>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</si>
  <si>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</si>
  <si>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</si>
  <si>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</si>
  <si>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</si>
  <si>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</si>
  <si>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</si>
  <si>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</si>
  <si>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</si>
  <si>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</si>
  <si>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</si>
  <si>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</si>
  <si>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</si>
  <si>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</si>
  <si>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</si>
  <si>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</si>
  <si>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</si>
  <si>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</si>
  <si>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</si>
  <si>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</si>
  <si>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</si>
  <si>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</si>
  <si>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</si>
  <si>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</si>
  <si>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</si>
  <si>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</si>
  <si>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</si>
  <si>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</si>
  <si>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</si>
  <si>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</si>
  <si>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</si>
  <si>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</si>
  <si>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</si>
  <si>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</si>
  <si>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</si>
  <si>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</si>
  <si>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</si>
  <si>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</si>
  <si>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</si>
  <si>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</si>
  <si>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</si>
  <si>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</si>
  <si>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</si>
  <si>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</si>
  <si>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</si>
  <si>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</si>
  <si>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</si>
  <si>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</si>
  <si>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</si>
  <si>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</si>
  <si>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</si>
  <si>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</si>
  <si>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</si>
  <si>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</si>
  <si>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</si>
  <si>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</si>
  <si>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</si>
  <si>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</si>
  <si>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</si>
  <si>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</si>
  <si>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</si>
  <si>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</si>
  <si>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</si>
  <si>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</si>
  <si>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</si>
  <si>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</si>
  <si>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</si>
  <si>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</si>
  <si>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</si>
  <si>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</si>
  <si>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</si>
  <si>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</si>
  <si>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</si>
  <si>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</si>
  <si>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</si>
  <si>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</si>
  <si>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</si>
  <si>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</si>
  <si>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</si>
  <si>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</si>
  <si>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</si>
  <si>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</si>
  <si>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</si>
  <si>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</si>
  <si>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</si>
  <si>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</si>
  <si>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</si>
  <si>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</si>
  <si>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</si>
  <si>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</si>
  <si>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</si>
  <si>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</si>
  <si>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</si>
  <si>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</si>
  <si>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</si>
  <si>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</si>
  <si>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</si>
  <si>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</si>
  <si>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</si>
  <si>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</si>
  <si>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</si>
  <si>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</si>
  <si>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</si>
  <si>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</si>
  <si>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</si>
  <si>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</si>
  <si>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</si>
  <si>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</si>
  <si>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</si>
  <si>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</si>
  <si>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</si>
  <si>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</si>
  <si>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</si>
  <si>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</si>
  <si>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</si>
  <si>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</si>
  <si>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</si>
  <si>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</si>
  <si>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</si>
  <si>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</si>
  <si>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</si>
  <si>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</si>
  <si>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</si>
  <si>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</si>
  <si>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</si>
  <si>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</si>
  <si>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</si>
  <si>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</si>
  <si>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</si>
  <si>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</si>
  <si>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</si>
  <si>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</si>
  <si>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</si>
  <si>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</si>
  <si>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</si>
  <si>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</si>
  <si>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</si>
  <si>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</si>
  <si>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</si>
  <si>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</si>
  <si>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</si>
  <si>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</si>
  <si>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</si>
  <si>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</si>
  <si>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</si>
  <si>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</si>
  <si>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</si>
  <si>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</si>
  <si>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</si>
  <si>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</si>
  <si>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</si>
  <si>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</si>
  <si>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</si>
  <si>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</si>
  <si>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</si>
  <si>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</si>
  <si>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</si>
  <si>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</si>
  <si>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</si>
  <si>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</si>
  <si>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</si>
  <si>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</si>
  <si>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</si>
  <si>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</si>
  <si>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</si>
  <si>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</si>
  <si>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</si>
  <si>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</si>
  <si>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</si>
  <si>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</si>
  <si>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</si>
  <si>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</si>
  <si>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</si>
  <si>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</si>
  <si>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</si>
  <si>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</si>
  <si>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</si>
  <si>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</si>
  <si>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</si>
  <si>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</si>
  <si>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</si>
  <si>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</si>
  <si>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</si>
  <si>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</si>
  <si>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</si>
  <si>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</si>
  <si>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</si>
  <si>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</si>
  <si>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</si>
  <si>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</si>
  <si>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</si>
  <si>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</si>
  <si>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</si>
  <si>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</si>
  <si>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</si>
  <si>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</si>
  <si>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</si>
  <si>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</si>
  <si>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</si>
  <si>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</si>
  <si>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</si>
  <si>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</si>
  <si>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</si>
  <si>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</si>
  <si>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</si>
  <si>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</si>
  <si>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</si>
  <si>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</si>
  <si>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</si>
  <si>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</si>
  <si>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</si>
  <si>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</si>
  <si>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</si>
  <si>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</si>
  <si>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</si>
  <si>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</si>
  <si>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</si>
  <si>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</si>
  <si>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</si>
  <si>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</si>
  <si>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</si>
  <si>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</si>
  <si>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</si>
  <si>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</si>
  <si>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</si>
  <si>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</si>
  <si>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</si>
  <si>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</si>
  <si>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</si>
  <si>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</si>
  <si>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</si>
  <si>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</si>
  <si>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</si>
  <si>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</si>
  <si>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</si>
  <si>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</si>
  <si>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</si>
  <si>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</si>
  <si>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</si>
  <si>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</si>
  <si>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</si>
  <si>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</si>
  <si>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</si>
  <si>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</si>
  <si>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</si>
  <si>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</si>
  <si>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</si>
  <si>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</si>
  <si>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</si>
  <si>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</si>
  <si>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</si>
  <si>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</si>
  <si>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</si>
  <si>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</si>
  <si>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</si>
  <si>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</si>
  <si>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</si>
  <si>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</si>
  <si>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</si>
  <si>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</si>
  <si>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</si>
  <si>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</si>
  <si>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</si>
  <si>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</si>
  <si>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</si>
  <si>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</si>
  <si>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</si>
  <si>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</si>
  <si>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</si>
  <si>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</si>
  <si>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</si>
  <si>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</si>
  <si>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</si>
  <si>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</si>
  <si>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</si>
  <si>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</si>
  <si>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</si>
  <si>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</si>
  <si>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</si>
  <si>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</si>
  <si>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</si>
  <si>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</si>
  <si>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</si>
  <si>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</si>
  <si>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</si>
  <si>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</si>
  <si>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</si>
  <si>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</si>
  <si>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</si>
  <si>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</si>
  <si>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</si>
  <si>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</si>
  <si>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</si>
  <si>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</si>
  <si>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</si>
  <si>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</si>
  <si>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</si>
  <si>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</si>
  <si>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</si>
  <si>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</si>
  <si>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</si>
  <si>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</si>
  <si>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</si>
  <si>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</si>
  <si>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</si>
  <si>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</si>
  <si>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</si>
  <si>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</si>
  <si>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</si>
  <si>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</si>
  <si>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</si>
  <si>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</si>
  <si>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</si>
  <si>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</si>
  <si>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</si>
  <si>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</si>
  <si>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</si>
  <si>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</si>
  <si>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</si>
  <si>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</si>
  <si>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</si>
  <si>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</si>
  <si>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</si>
  <si>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</si>
  <si>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</si>
  <si>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</si>
  <si>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</si>
  <si>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</si>
  <si>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</si>
  <si>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</si>
  <si>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</si>
  <si>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</si>
  <si>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</si>
  <si>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</si>
  <si>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</si>
  <si>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</si>
  <si>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</si>
  <si>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</si>
  <si>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</si>
  <si>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</si>
  <si>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</si>
  <si>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</si>
  <si>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</si>
  <si>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</si>
  <si>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</si>
  <si>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</si>
  <si>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</si>
  <si>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</si>
  <si>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</si>
  <si>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</si>
  <si>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</si>
  <si>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</si>
  <si>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</si>
  <si>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</si>
  <si>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</si>
  <si>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</si>
  <si>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</si>
  <si>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</si>
  <si>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</si>
  <si>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</si>
  <si>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</si>
  <si>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</si>
  <si>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</si>
  <si>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</si>
  <si>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</si>
  <si>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</si>
  <si>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</si>
  <si>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</si>
  <si>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</si>
  <si>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</si>
  <si>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</si>
  <si>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</si>
  <si>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</si>
  <si>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</si>
  <si>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</si>
  <si>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</si>
  <si>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</si>
  <si>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</si>
  <si>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</si>
  <si>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</si>
  <si>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</si>
  <si>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</si>
  <si>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</si>
  <si>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</si>
  <si>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</si>
  <si>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</si>
  <si>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</si>
  <si>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</si>
  <si>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</si>
  <si>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</si>
  <si>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</si>
  <si>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</si>
  <si>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</si>
  <si>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</si>
  <si>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</si>
  <si>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</si>
  <si>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</si>
  <si>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</si>
  <si>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</si>
  <si>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</si>
  <si>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</si>
  <si>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</si>
  <si>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</si>
  <si>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</si>
  <si>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</si>
  <si>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</si>
  <si>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</si>
  <si>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</si>
  <si>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</si>
  <si>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</si>
  <si>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</si>
  <si>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</si>
  <si>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</si>
  <si>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</si>
  <si>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</si>
  <si>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</si>
  <si>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</si>
  <si>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</si>
  <si>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</si>
  <si>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</si>
  <si>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</si>
  <si>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</si>
  <si>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</si>
  <si>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</si>
  <si>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</si>
  <si>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</si>
  <si>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</si>
  <si>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</si>
  <si>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</si>
  <si>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</si>
  <si>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</si>
  <si>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</si>
  <si>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</si>
  <si>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</si>
  <si>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</si>
  <si>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</si>
  <si>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</si>
  <si>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</si>
  <si>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</si>
  <si>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</si>
  <si>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</si>
  <si>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</si>
  <si>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</si>
  <si>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</si>
  <si>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</si>
  <si>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</si>
  <si>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</si>
  <si>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</si>
  <si>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</si>
  <si>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</si>
  <si>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</si>
  <si>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</si>
  <si>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</si>
  <si>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</si>
  <si>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</si>
  <si>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</si>
  <si>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</si>
  <si>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</si>
  <si>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</si>
  <si>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</si>
  <si>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</si>
  <si>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</si>
  <si>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</si>
  <si>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</si>
  <si>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</si>
  <si>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</si>
  <si>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</si>
  <si>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</si>
  <si>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</si>
  <si>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</si>
  <si>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</si>
  <si>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</si>
  <si>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</si>
  <si>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</si>
  <si>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</si>
  <si>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</si>
  <si>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</si>
  <si>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</si>
  <si>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</si>
  <si>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</si>
  <si>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</si>
  <si>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</si>
  <si>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</si>
  <si>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</si>
  <si>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</si>
  <si>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</si>
  <si>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</si>
  <si>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</si>
  <si>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</si>
  <si>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</si>
  <si>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</si>
  <si>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</si>
  <si>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</si>
  <si>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</si>
  <si>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</si>
  <si>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</si>
  <si>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</si>
  <si>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</si>
  <si>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</si>
  <si>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</si>
  <si>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</si>
  <si>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</si>
  <si>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</si>
  <si>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</si>
  <si>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</si>
  <si>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</si>
  <si>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</si>
  <si>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</si>
  <si>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</si>
  <si>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</si>
  <si>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</si>
  <si>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</si>
  <si>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</si>
  <si>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</si>
  <si>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</si>
  <si>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</si>
  <si>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</si>
  <si>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</si>
  <si>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</si>
  <si>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</si>
  <si>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</si>
  <si>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</si>
  <si>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</si>
  <si>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</si>
  <si>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</si>
  <si>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</si>
  <si>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</si>
  <si>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</si>
  <si>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</si>
  <si>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</si>
  <si>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</si>
  <si>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</si>
  <si>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</si>
  <si>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</si>
  <si>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</si>
  <si>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</si>
  <si>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</si>
  <si>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</si>
  <si>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</si>
  <si>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</si>
  <si>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</si>
  <si>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</si>
  <si>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</si>
  <si>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</si>
  <si>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</si>
  <si>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</si>
  <si>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</si>
  <si>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</si>
  <si>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</si>
  <si>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</si>
  <si>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</si>
  <si>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</si>
  <si>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</si>
  <si>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</si>
  <si>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</si>
  <si>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</si>
  <si>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</si>
  <si>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</si>
  <si>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</si>
  <si>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</si>
  <si>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</si>
  <si>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</si>
  <si>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</si>
  <si>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</si>
  <si>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</si>
  <si>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</si>
  <si>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</si>
  <si>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</si>
  <si>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</si>
  <si>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</si>
  <si>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</si>
  <si>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</si>
  <si>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</si>
  <si>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</si>
  <si>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</si>
  <si>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</si>
  <si>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</si>
  <si>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</si>
  <si>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</si>
  <si>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</si>
  <si>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</si>
  <si>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</si>
  <si>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</si>
  <si>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</si>
  <si>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</si>
  <si>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</si>
  <si>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</si>
  <si>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</si>
  <si>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</si>
  <si>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</si>
  <si>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</si>
  <si>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</si>
  <si>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</si>
  <si>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</si>
  <si>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</si>
  <si>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</si>
  <si>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</si>
  <si>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</si>
  <si>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</si>
  <si>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</si>
  <si>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</si>
  <si>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</si>
  <si>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</si>
  <si>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</si>
  <si>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</si>
  <si>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</si>
  <si>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</si>
  <si>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</si>
  <si>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</si>
  <si>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</si>
  <si>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</si>
  <si>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</si>
  <si>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</si>
  <si>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</si>
  <si>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</si>
  <si>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</si>
  <si>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</si>
  <si>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</si>
  <si>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</si>
  <si>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</si>
  <si>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</si>
  <si>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</si>
  <si>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</si>
  <si>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</si>
  <si>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</si>
  <si>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</si>
  <si>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</si>
  <si>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</si>
  <si>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</si>
  <si>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</si>
  <si>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</si>
  <si>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</si>
  <si>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</si>
  <si>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</si>
  <si>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</si>
  <si>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</si>
  <si>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</si>
  <si>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</si>
  <si>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</si>
  <si>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</si>
  <si>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</si>
  <si>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</si>
  <si>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</si>
  <si>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</si>
  <si>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</si>
  <si>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</si>
  <si>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</si>
  <si>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</si>
  <si>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</si>
  <si>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</si>
  <si>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</si>
  <si>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</si>
  <si>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</si>
  <si>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</si>
  <si>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</si>
  <si>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</si>
  <si>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</si>
  <si>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</si>
  <si>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</si>
  <si>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</si>
  <si>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</si>
  <si>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</si>
  <si>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</si>
  <si>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</si>
  <si>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</si>
  <si>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</si>
  <si>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</si>
  <si>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</si>
  <si>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</si>
  <si>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</si>
  <si>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</si>
  <si>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</si>
  <si>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</si>
  <si>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</si>
  <si>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</si>
  <si>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</si>
  <si>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</si>
  <si>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</si>
  <si>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</si>
  <si>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</si>
  <si>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</si>
  <si>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</si>
  <si>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</si>
  <si>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</si>
  <si>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</si>
  <si>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</si>
  <si>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</si>
  <si>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</si>
  <si>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</si>
  <si>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</si>
  <si>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</si>
  <si>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</si>
  <si>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</si>
  <si>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</si>
  <si>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</si>
  <si>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</si>
  <si>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</si>
  <si>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</si>
  <si>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</si>
  <si>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</si>
  <si>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</si>
  <si>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</si>
  <si>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</si>
  <si>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</si>
  <si>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</si>
  <si>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</si>
  <si>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</si>
  <si>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</si>
  <si>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</si>
  <si>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</si>
  <si>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</si>
  <si>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</si>
  <si>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</si>
  <si>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</si>
  <si>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</si>
  <si>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</si>
  <si>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</si>
  <si>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</si>
  <si>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</si>
  <si>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</si>
  <si>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</si>
  <si>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</si>
  <si>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</si>
  <si>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</si>
  <si>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</si>
  <si>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</si>
  <si>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</si>
  <si>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</si>
  <si>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</si>
  <si>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</si>
  <si>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</si>
  <si>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</si>
  <si>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</si>
  <si>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</si>
  <si>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</si>
  <si>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</si>
  <si>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</si>
  <si>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</si>
  <si>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</si>
  <si>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</si>
  <si>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</si>
  <si>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</si>
  <si>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</si>
  <si>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</si>
  <si>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</si>
  <si>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</si>
  <si>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</si>
  <si>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</si>
  <si>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</si>
  <si>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</si>
  <si>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</si>
  <si>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</si>
  <si>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</si>
  <si>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</si>
  <si>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</si>
  <si>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</si>
  <si>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</si>
  <si>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</si>
  <si>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</si>
  <si>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</si>
  <si>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</si>
  <si>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</si>
  <si>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</si>
  <si>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</si>
  <si>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</si>
  <si>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</si>
  <si>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</si>
  <si>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</si>
  <si>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</si>
  <si>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</si>
  <si>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</si>
  <si>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</si>
  <si>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</si>
  <si>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</si>
  <si>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</si>
  <si>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</si>
  <si>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</si>
  <si>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</si>
  <si>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</si>
  <si>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</si>
  <si>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</si>
  <si>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</si>
  <si>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</si>
  <si>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</si>
  <si>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</si>
  <si>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</si>
  <si>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</si>
  <si>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</si>
  <si>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</si>
  <si>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</si>
  <si>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</si>
  <si>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</si>
  <si>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</si>
  <si>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</si>
  <si>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</si>
  <si>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</si>
  <si>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</si>
  <si>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</si>
  <si>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</si>
  <si>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</si>
  <si>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</si>
  <si>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</si>
  <si>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</si>
  <si>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</si>
  <si>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</si>
  <si>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</si>
  <si>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</si>
  <si>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</si>
  <si>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</si>
  <si>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</si>
  <si>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</si>
  <si>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</si>
  <si>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</si>
  <si>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</si>
  <si>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</si>
  <si>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</si>
  <si>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</si>
  <si>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</si>
  <si>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</si>
  <si>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</si>
  <si>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</si>
  <si>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</si>
  <si>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</si>
  <si>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</si>
  <si>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</si>
  <si>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</si>
  <si>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</si>
  <si>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</si>
  <si>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</si>
  <si>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</si>
  <si>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</si>
  <si>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</si>
  <si>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</si>
  <si>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</si>
  <si>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</si>
  <si>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</si>
  <si>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</si>
  <si>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</si>
  <si>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</si>
  <si>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</si>
  <si>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</si>
  <si>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</si>
  <si>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</si>
  <si>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</si>
  <si>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</si>
  <si>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</si>
  <si>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</si>
  <si>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</si>
  <si>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</si>
  <si>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</si>
  <si>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</si>
  <si>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</si>
  <si>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</si>
  <si>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</si>
  <si>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</si>
  <si>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</si>
  <si>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</si>
  <si>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</si>
  <si>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</si>
  <si>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</si>
  <si>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</si>
  <si>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</si>
  <si>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</si>
  <si>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</si>
  <si>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</si>
  <si>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</si>
  <si>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</si>
  <si>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</si>
  <si>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</si>
  <si>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</si>
  <si>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</si>
  <si>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</si>
  <si>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</si>
  <si>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</si>
  <si>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</si>
  <si>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</si>
  <si>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</si>
  <si>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</si>
  <si>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</si>
  <si>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</si>
  <si>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</si>
  <si>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</si>
  <si>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</si>
  <si>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</si>
  <si>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</si>
  <si>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</si>
  <si>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</si>
  <si>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</si>
  <si>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</si>
  <si>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</si>
  <si>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</si>
  <si>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</si>
  <si>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</si>
  <si>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</si>
  <si>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</si>
  <si>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</si>
  <si>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</si>
  <si>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</si>
  <si>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</si>
  <si>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</si>
  <si>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</si>
  <si>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</si>
  <si>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</si>
  <si>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</si>
  <si>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</si>
  <si>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</si>
  <si>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</si>
  <si>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</si>
  <si>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</si>
  <si>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</si>
  <si>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</si>
  <si>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</si>
  <si>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</si>
  <si>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</si>
  <si>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</si>
  <si>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</si>
  <si>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</si>
  <si>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</si>
  <si>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</si>
  <si>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</si>
  <si>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</si>
  <si>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</si>
  <si>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</si>
  <si>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</si>
  <si>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</si>
  <si>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</si>
  <si>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</si>
  <si>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</si>
  <si>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</si>
  <si>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</si>
  <si>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</si>
  <si>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</si>
  <si>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</si>
  <si>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</si>
  <si>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</si>
  <si>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</si>
  <si>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</si>
  <si>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</si>
  <si>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</si>
  <si>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</si>
  <si>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</si>
  <si>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</si>
  <si>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</si>
  <si>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</si>
  <si>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</si>
  <si>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</si>
  <si>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</si>
  <si>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</si>
  <si>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</si>
  <si>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</si>
  <si>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</si>
  <si>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</si>
  <si>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</si>
  <si>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</si>
  <si>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</si>
  <si>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</si>
  <si>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</si>
  <si>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</si>
  <si>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</si>
  <si>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</si>
  <si>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</si>
  <si>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</si>
  <si>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</si>
  <si>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</si>
  <si>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</si>
  <si>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</si>
  <si>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</si>
  <si>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</si>
  <si>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</si>
  <si>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</si>
  <si>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</si>
  <si>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</si>
  <si>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</si>
  <si>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</si>
  <si>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</si>
  <si>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</si>
  <si>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</si>
  <si>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</si>
  <si>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</si>
  <si>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</si>
  <si>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</si>
  <si>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</si>
  <si>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</si>
  <si>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</si>
  <si>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</si>
  <si>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</si>
  <si>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</si>
  <si>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</si>
  <si>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</si>
  <si>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</si>
  <si>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</si>
  <si>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</si>
  <si>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</si>
  <si>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</si>
  <si>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</si>
  <si>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</si>
  <si>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</si>
  <si>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</si>
  <si>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</si>
  <si>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</si>
  <si>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</si>
  <si>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</si>
  <si>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</si>
  <si>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</si>
  <si>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</si>
  <si>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</si>
  <si>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</si>
  <si>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</si>
  <si>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</si>
  <si>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</si>
  <si>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</si>
  <si>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</si>
  <si>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</si>
  <si>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</si>
  <si>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</si>
  <si>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</si>
  <si>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</si>
  <si>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</si>
  <si>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</si>
  <si>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</si>
  <si>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</si>
  <si>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</si>
  <si>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</si>
  <si>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</si>
  <si>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</si>
  <si>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</si>
  <si>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</si>
  <si>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</si>
  <si>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</si>
  <si>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</si>
  <si>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</si>
  <si>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</si>
  <si>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</si>
  <si>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</si>
  <si>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</si>
  <si>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</si>
  <si>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</si>
  <si>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</si>
  <si>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</si>
  <si>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</si>
  <si>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</si>
  <si>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</si>
  <si>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</si>
  <si>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</si>
  <si>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</si>
  <si>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</si>
  <si>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</si>
  <si>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</si>
  <si>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</si>
  <si>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</si>
  <si>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</si>
  <si>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</si>
  <si>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</si>
  <si>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</si>
  <si>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</si>
  <si>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</si>
  <si>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</si>
  <si>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</si>
  <si>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</si>
  <si>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</si>
  <si>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</si>
  <si>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</si>
  <si>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</si>
  <si>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</si>
  <si>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</si>
  <si>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</si>
  <si>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</si>
  <si>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</si>
  <si>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</si>
  <si>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</si>
  <si>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</si>
  <si>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</si>
  <si>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</si>
  <si>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</si>
  <si>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</si>
  <si>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</si>
  <si>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</si>
  <si>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</si>
  <si>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</si>
  <si>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</si>
  <si>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</si>
  <si>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</si>
  <si>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</si>
  <si>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</si>
  <si>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</si>
  <si>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</si>
  <si>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</si>
  <si>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</si>
  <si>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</si>
  <si>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</si>
  <si>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</si>
  <si>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</si>
  <si>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</si>
  <si>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</si>
  <si>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</si>
  <si>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</si>
  <si>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</si>
  <si>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</si>
  <si>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</si>
  <si>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</si>
  <si>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</si>
  <si>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</si>
  <si>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</si>
  <si>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</si>
  <si>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</si>
  <si>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</si>
  <si>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</si>
  <si>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</si>
  <si>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</si>
  <si>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</si>
  <si>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</si>
  <si>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</si>
  <si>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</si>
  <si>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</si>
  <si>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</si>
  <si>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</si>
  <si>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</si>
  <si>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</si>
  <si>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</si>
  <si>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</si>
  <si>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</si>
  <si>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</si>
  <si>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</si>
  <si>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</si>
  <si>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</si>
  <si>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</si>
  <si>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</si>
  <si>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</si>
  <si>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</si>
  <si>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</si>
  <si>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</si>
  <si>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</si>
  <si>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</si>
  <si>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</si>
  <si>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</si>
  <si>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</si>
  <si>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</si>
  <si>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</si>
  <si>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</si>
  <si>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</si>
  <si>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</si>
  <si>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</si>
  <si>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</si>
  <si>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</si>
  <si>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</si>
  <si>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</si>
  <si>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</si>
  <si>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</si>
  <si>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</si>
  <si>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</si>
  <si>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</si>
  <si>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</si>
  <si>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</si>
  <si>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</si>
  <si>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</si>
  <si>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</si>
  <si>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</si>
  <si>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</si>
  <si>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</si>
  <si>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</si>
  <si>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</si>
  <si>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</si>
  <si>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</si>
  <si>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</si>
  <si>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</si>
  <si>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</si>
  <si>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</si>
  <si>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</si>
  <si>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</si>
  <si>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</si>
  <si>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</si>
  <si>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</si>
  <si>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</si>
  <si>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</si>
  <si>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</si>
  <si>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</si>
  <si>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</si>
  <si>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</si>
  <si>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</si>
  <si>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</si>
  <si>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</si>
  <si>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</si>
  <si>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</si>
  <si>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</si>
  <si>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</si>
  <si>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</si>
  <si>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</si>
  <si>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</si>
  <si>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</si>
  <si>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</si>
  <si>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</si>
  <si>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</si>
  <si>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</si>
  <si>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</si>
  <si>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</si>
  <si>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</si>
  <si>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</si>
  <si>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</si>
  <si>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</si>
  <si>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</si>
  <si>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</si>
  <si>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</si>
  <si>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</si>
  <si>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</si>
  <si>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</si>
  <si>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</si>
  <si>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</si>
  <si>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</si>
  <si>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</si>
  <si>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</si>
  <si>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</si>
  <si>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</si>
  <si>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</si>
  <si>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</si>
  <si>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</si>
  <si>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</si>
  <si>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</si>
  <si>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</si>
  <si>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</si>
  <si>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</si>
  <si>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</si>
  <si>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</si>
  <si>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</si>
  <si>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</si>
  <si>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</si>
  <si>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</si>
  <si>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</si>
  <si>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</si>
  <si>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</si>
  <si>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</si>
  <si>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</si>
  <si>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</si>
  <si>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</si>
  <si>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</si>
  <si>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</si>
  <si>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</si>
  <si>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</si>
  <si>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</si>
  <si>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</si>
  <si>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</si>
  <si>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</si>
  <si>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</si>
  <si>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</si>
  <si>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</si>
  <si>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</si>
  <si>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</si>
  <si>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</si>
  <si>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</si>
  <si>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</si>
  <si>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</si>
  <si>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</si>
  <si>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</si>
  <si>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</si>
  <si>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</si>
  <si>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</si>
  <si>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</si>
  <si>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</si>
  <si>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</si>
  <si>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</si>
  <si>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</si>
  <si>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</si>
  <si>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</si>
  <si>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</si>
  <si>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</si>
  <si>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</si>
  <si>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</si>
  <si>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</si>
  <si>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</si>
  <si>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</si>
  <si>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</si>
  <si>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</si>
  <si>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</si>
  <si>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</si>
  <si>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</si>
  <si>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</si>
  <si>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</si>
  <si>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</si>
  <si>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</si>
  <si>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</si>
  <si>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</si>
  <si>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</si>
  <si>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</si>
  <si>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</si>
  <si>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</si>
  <si>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</si>
  <si>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</si>
  <si>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</si>
  <si>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</si>
  <si>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</si>
  <si>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</si>
  <si>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</si>
  <si>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</si>
  <si>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</si>
  <si>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</si>
  <si>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</si>
  <si>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</si>
  <si>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</si>
  <si>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</si>
  <si>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</si>
  <si>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</si>
  <si>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</si>
  <si>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</si>
  <si>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</si>
  <si>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</si>
  <si>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</si>
  <si>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</si>
  <si>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</si>
  <si>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</si>
  <si>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</si>
  <si>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</si>
  <si>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</si>
  <si>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</si>
  <si>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</si>
  <si>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</si>
  <si>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</si>
  <si>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</si>
  <si>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</si>
  <si>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</si>
  <si>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</si>
  <si>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</si>
  <si>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</si>
  <si>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</si>
  <si>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</si>
  <si>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</si>
  <si>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</si>
  <si>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</si>
  <si>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</si>
  <si>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</si>
  <si>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</si>
  <si>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</si>
  <si>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</si>
  <si>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</si>
  <si>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</si>
  <si>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</si>
  <si>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</si>
  <si>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</si>
  <si>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</si>
  <si>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</si>
  <si>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</si>
  <si>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</si>
  <si>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</si>
  <si>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</si>
  <si>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</si>
  <si>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</si>
  <si>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</si>
  <si>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</si>
  <si>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</si>
  <si>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</si>
  <si>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</si>
  <si>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</si>
  <si>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</si>
  <si>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</si>
  <si>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</si>
  <si>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</si>
  <si>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</si>
  <si>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</si>
  <si>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</si>
  <si>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</si>
  <si>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</si>
  <si>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</si>
  <si>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</si>
  <si>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</si>
  <si>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</si>
  <si>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</si>
  <si>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</si>
  <si>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</si>
  <si>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</si>
  <si>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</si>
  <si>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</si>
  <si>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</si>
  <si>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</si>
  <si>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</si>
  <si>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</si>
  <si>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</si>
  <si>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</si>
  <si>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</si>
  <si>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</si>
  <si>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</si>
  <si>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</si>
  <si>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</si>
  <si>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</si>
  <si>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</si>
  <si>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</si>
  <si>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</si>
  <si>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</si>
  <si>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</si>
  <si>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</si>
  <si>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</si>
  <si>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</si>
  <si>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</si>
  <si>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</si>
  <si>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</si>
  <si>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</si>
  <si>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</si>
  <si>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</si>
  <si>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</si>
  <si>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</si>
  <si>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</si>
  <si>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</si>
  <si>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</si>
  <si>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</si>
  <si>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</si>
  <si>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</si>
  <si>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</si>
  <si>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</si>
  <si>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</si>
  <si>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</si>
  <si>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</si>
  <si>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</si>
  <si>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</si>
  <si>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</si>
  <si>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</si>
  <si>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</si>
  <si>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</si>
  <si>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</si>
  <si>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</si>
  <si>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</si>
  <si>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</si>
  <si>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</si>
  <si>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</si>
  <si>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</si>
  <si>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</si>
  <si>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</si>
  <si>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</si>
  <si>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</si>
  <si>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</si>
  <si>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</si>
  <si>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</si>
  <si>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</si>
  <si>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</si>
  <si>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</si>
  <si>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</si>
  <si>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</si>
  <si>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</si>
  <si>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</si>
  <si>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</si>
  <si>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</si>
  <si>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</si>
  <si>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</si>
  <si>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</si>
  <si>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</si>
  <si>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</si>
  <si>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</si>
  <si>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</si>
  <si>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</si>
  <si>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</si>
  <si>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</si>
  <si>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</si>
  <si>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</si>
  <si>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</si>
  <si>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</si>
  <si>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</si>
  <si>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</si>
  <si>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</si>
  <si>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</si>
  <si>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</si>
  <si>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</si>
  <si>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</si>
  <si>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</si>
  <si>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</si>
  <si>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</si>
  <si>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</si>
  <si>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</si>
  <si>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</si>
  <si>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</si>
  <si>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</si>
  <si>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</si>
  <si>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</si>
  <si>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</si>
  <si>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</si>
  <si>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</si>
  <si>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</si>
  <si>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</si>
  <si>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</si>
  <si>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</si>
  <si>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</si>
  <si>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</si>
  <si>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</si>
  <si>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</si>
  <si>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</si>
  <si>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</si>
  <si>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</si>
  <si>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</si>
  <si>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</si>
  <si>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</si>
  <si>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</si>
  <si>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</si>
  <si>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</si>
  <si>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</si>
  <si>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</si>
  <si>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</si>
  <si>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</si>
  <si>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</si>
  <si>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</si>
  <si>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</si>
  <si>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</si>
  <si>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</si>
  <si>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</si>
  <si>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</si>
  <si>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</si>
  <si>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</si>
  <si>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</si>
  <si>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</si>
  <si>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</si>
  <si>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</si>
  <si>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</si>
  <si>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</si>
  <si>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</si>
  <si>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</si>
  <si>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</si>
  <si>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</si>
  <si>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</si>
  <si>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</si>
  <si>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</si>
  <si>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</si>
  <si>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</si>
  <si>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</si>
  <si>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</si>
  <si>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</si>
  <si>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</si>
  <si>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</si>
  <si>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</si>
  <si>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</si>
  <si>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</si>
  <si>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</si>
  <si>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</si>
  <si>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</si>
  <si>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</si>
  <si>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</si>
  <si>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</si>
  <si>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</si>
  <si>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</si>
  <si>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</si>
  <si>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</si>
  <si>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</si>
  <si>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</si>
  <si>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</si>
  <si>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</si>
  <si>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</si>
  <si>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</si>
  <si>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</si>
  <si>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</si>
  <si>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</si>
  <si>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</si>
  <si>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</si>
  <si>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</si>
  <si>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</si>
  <si>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</si>
  <si>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</si>
  <si>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</si>
  <si>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</si>
  <si>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</si>
  <si>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</si>
  <si>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</si>
  <si>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</si>
  <si>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</si>
  <si>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</si>
  <si>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</si>
  <si>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</si>
  <si>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</si>
  <si>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</si>
  <si>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</si>
  <si>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</si>
  <si>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</si>
  <si>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</si>
  <si>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</si>
  <si>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</si>
  <si>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</si>
  <si>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</si>
  <si>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</si>
  <si>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</si>
  <si>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</si>
  <si>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</si>
  <si>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</si>
  <si>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</si>
  <si>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</si>
  <si>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</si>
  <si>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</si>
  <si>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</si>
  <si>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</si>
  <si>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</si>
  <si>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</si>
  <si>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</si>
  <si>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</si>
  <si>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</si>
  <si>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</si>
  <si>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</si>
  <si>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</si>
  <si>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</si>
  <si>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</si>
  <si>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</si>
  <si>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</si>
  <si>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</si>
  <si>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</si>
  <si>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</si>
  <si>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</si>
  <si>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</si>
  <si>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</si>
  <si>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</si>
  <si>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</si>
  <si>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</si>
  <si>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</si>
  <si>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</si>
  <si>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</si>
  <si>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</si>
  <si>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</si>
  <si>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</si>
  <si>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</si>
  <si>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</si>
  <si>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</si>
  <si>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</si>
  <si>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</si>
  <si>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</si>
  <si>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</si>
  <si>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</si>
  <si>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</si>
  <si>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</si>
  <si>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</si>
  <si>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</si>
  <si>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</si>
  <si>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</si>
  <si>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</si>
  <si>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</si>
  <si>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</si>
  <si>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</si>
  <si>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</si>
  <si>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</si>
  <si>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</si>
  <si>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</si>
  <si>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</si>
  <si>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</si>
  <si>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</si>
  <si>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</si>
  <si>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</si>
  <si>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</si>
  <si>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</si>
  <si>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</si>
  <si>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</si>
  <si>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</si>
  <si>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</si>
  <si>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</si>
  <si>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</si>
  <si>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</si>
  <si>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</si>
  <si>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</si>
  <si>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</si>
  <si>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</si>
  <si>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</si>
  <si>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</si>
  <si>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</si>
  <si>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</si>
  <si>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</si>
  <si>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</si>
  <si>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</si>
  <si>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</si>
  <si>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</si>
  <si>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</si>
  <si>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</si>
  <si>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</si>
  <si>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</si>
  <si>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</si>
  <si>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</si>
  <si>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</si>
  <si>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</si>
  <si>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</si>
  <si>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</si>
  <si>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</si>
  <si>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</si>
  <si>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</si>
  <si>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</si>
  <si>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</si>
  <si>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</si>
  <si>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</si>
  <si>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</si>
  <si>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</si>
  <si>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</si>
  <si>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</si>
  <si>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</si>
  <si>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</si>
  <si>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</si>
  <si>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</si>
  <si>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</si>
  <si>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</si>
  <si>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</si>
  <si>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</si>
  <si>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</si>
  <si>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</si>
  <si>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</si>
  <si>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</si>
  <si>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</si>
  <si>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</si>
  <si>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</si>
  <si>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</si>
  <si>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</si>
  <si>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</si>
  <si>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</si>
  <si>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</si>
  <si>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</si>
  <si>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</si>
  <si>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</si>
  <si>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</si>
  <si>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</si>
  <si>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</si>
  <si>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</si>
  <si>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</si>
  <si>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</si>
  <si>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</si>
  <si>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</si>
  <si>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</si>
  <si>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</si>
  <si>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</si>
  <si>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</si>
  <si>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</si>
  <si>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</si>
  <si>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</si>
  <si>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</si>
  <si>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</si>
  <si>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</si>
  <si>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</si>
  <si>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</si>
  <si>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</si>
  <si>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</si>
  <si>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</si>
  <si>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</si>
  <si>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</si>
  <si>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</si>
  <si>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</si>
  <si>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</si>
  <si>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</si>
  <si>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</si>
  <si>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</si>
  <si>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</si>
  <si>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</si>
  <si>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</si>
  <si>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</si>
  <si>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</si>
  <si>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</si>
  <si>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</si>
  <si>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</si>
  <si>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</si>
  <si>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</si>
  <si>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</si>
  <si>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</si>
  <si>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</si>
  <si>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</si>
  <si>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</si>
  <si>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</si>
  <si>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</si>
  <si>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</si>
  <si>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</si>
  <si>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</si>
  <si>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</si>
  <si>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</si>
  <si>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</si>
  <si>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</si>
  <si>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</si>
  <si>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</si>
  <si>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</si>
  <si>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</si>
  <si>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</si>
  <si>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</si>
  <si>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</si>
  <si>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</si>
  <si>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</si>
  <si>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</si>
  <si>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</si>
  <si>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</si>
  <si>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</si>
  <si>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</si>
  <si>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</si>
  <si>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</si>
  <si>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</si>
  <si>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</si>
  <si>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</si>
  <si>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</si>
  <si>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</si>
  <si>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</si>
  <si>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</si>
  <si>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</si>
  <si>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</si>
  <si>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</si>
  <si>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</si>
  <si>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</si>
  <si>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</si>
  <si>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</si>
  <si>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</si>
  <si>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</si>
  <si>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</si>
  <si>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</si>
  <si>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</si>
  <si>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</si>
  <si>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</si>
  <si>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</si>
  <si>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</si>
  <si>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</si>
  <si>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</si>
  <si>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</si>
  <si>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</si>
  <si>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</si>
  <si>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</si>
  <si>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</si>
  <si>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</si>
  <si>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</si>
  <si>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</si>
  <si>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</si>
  <si>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</si>
  <si>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</si>
  <si>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</si>
  <si>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</si>
  <si>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</si>
  <si>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</si>
  <si>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</si>
  <si>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</si>
  <si>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</si>
  <si>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</si>
  <si>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</si>
  <si>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</si>
  <si>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</si>
  <si>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</si>
  <si>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</si>
  <si>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</si>
  <si>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</si>
  <si>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</si>
  <si>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</si>
  <si>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</si>
  <si>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</si>
  <si>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</si>
  <si>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</si>
  <si>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</si>
  <si>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</si>
  <si>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</si>
  <si>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</si>
  <si>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</si>
  <si>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</si>
  <si>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</si>
  <si>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</si>
  <si>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</si>
  <si>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</si>
  <si>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</si>
  <si>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</si>
  <si>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</si>
  <si>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</si>
  <si>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</si>
  <si>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</si>
  <si>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</si>
  <si>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</si>
  <si>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</si>
  <si>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</si>
  <si>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</si>
  <si>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</si>
  <si>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</si>
  <si>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</si>
  <si>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</si>
  <si>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</si>
  <si>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</si>
  <si>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</si>
  <si>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</si>
  <si>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</si>
  <si>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</si>
  <si>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</si>
  <si>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</si>
  <si>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</si>
  <si>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</si>
  <si>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</si>
  <si>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</si>
  <si>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</si>
  <si>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</si>
  <si>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</si>
  <si>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</si>
  <si>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</si>
  <si>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</si>
  <si>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</si>
  <si>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</si>
  <si>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</si>
  <si>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</si>
  <si>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</si>
  <si>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</si>
  <si>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</si>
  <si>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</si>
  <si>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</si>
  <si>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</si>
  <si>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</si>
  <si>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</si>
  <si>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</si>
  <si>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</si>
  <si>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</si>
  <si>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</si>
  <si>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</si>
  <si>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</si>
  <si>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</si>
  <si>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</si>
  <si>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</si>
  <si>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</si>
  <si>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</si>
  <si>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</si>
  <si>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</si>
  <si>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</si>
  <si>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</si>
  <si>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</si>
  <si>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</si>
  <si>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</si>
  <si>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</si>
  <si>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</si>
  <si>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</si>
  <si>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</si>
  <si>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</si>
  <si>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</si>
  <si>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</si>
  <si>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</si>
  <si>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</si>
  <si>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</si>
  <si>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</si>
  <si>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</si>
  <si>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</si>
  <si>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</si>
  <si>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</si>
  <si>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</si>
  <si>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</si>
  <si>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</si>
  <si>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</si>
  <si>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</si>
  <si>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</si>
  <si>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</si>
  <si>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</si>
  <si>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</si>
  <si>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</si>
  <si>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</si>
  <si>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</si>
  <si>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</si>
  <si>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</si>
  <si>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</si>
  <si>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</si>
  <si>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</si>
  <si>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</si>
  <si>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</si>
  <si>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</si>
  <si>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</si>
  <si>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</si>
  <si>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</si>
  <si>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</si>
  <si>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</si>
  <si>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</si>
  <si>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</si>
  <si>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</si>
  <si>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</si>
  <si>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</si>
  <si>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</si>
  <si>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</si>
  <si>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</si>
  <si>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</si>
  <si>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</si>
  <si>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</si>
  <si>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</si>
  <si>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</si>
  <si>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</si>
  <si>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</si>
  <si>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</si>
  <si>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</si>
  <si>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</si>
  <si>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</si>
  <si>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</si>
  <si>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</si>
  <si>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</si>
  <si>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</si>
  <si>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</si>
  <si>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</si>
  <si>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</si>
  <si>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</si>
  <si>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</si>
  <si>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</si>
  <si>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</si>
  <si>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</si>
  <si>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</si>
  <si>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</si>
  <si>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</si>
  <si>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</si>
  <si>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</si>
  <si>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</si>
  <si>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</si>
  <si>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</si>
  <si>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</si>
  <si>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</si>
  <si>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</si>
  <si>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</si>
  <si>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</si>
  <si>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</si>
  <si>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</si>
  <si>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</si>
  <si>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</si>
  <si>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</si>
  <si>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</si>
  <si>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</si>
  <si>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</si>
  <si>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</si>
  <si>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</si>
  <si>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</si>
  <si>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</si>
  <si>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</si>
  <si>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</si>
  <si>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</si>
  <si>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</si>
  <si>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</si>
  <si>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</si>
  <si>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</si>
  <si>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</si>
  <si>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</si>
  <si>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</si>
  <si>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</si>
  <si>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</si>
  <si>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</si>
  <si>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</si>
  <si>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</si>
  <si>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</si>
  <si>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</si>
  <si>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</si>
  <si>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</si>
  <si>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</si>
  <si>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</si>
  <si>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</si>
  <si>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</si>
  <si>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</si>
  <si>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</si>
  <si>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</si>
  <si>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</si>
  <si>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</si>
  <si>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</si>
  <si>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</si>
  <si>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</si>
  <si>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</si>
  <si>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</si>
  <si>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</si>
  <si>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</si>
  <si>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</si>
  <si>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</si>
  <si>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</si>
  <si>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</si>
  <si>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</si>
  <si>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</si>
  <si>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</si>
  <si>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</si>
  <si>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</si>
  <si>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</si>
  <si>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</si>
  <si>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</si>
  <si>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</si>
  <si>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</si>
  <si>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</si>
  <si>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</si>
  <si>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</si>
  <si>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</si>
  <si>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</si>
  <si>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</si>
  <si>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</si>
  <si>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</si>
  <si>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</si>
  <si>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</si>
  <si>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</si>
  <si>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</si>
  <si>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</si>
  <si>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</si>
  <si>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</si>
  <si>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</si>
  <si>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</si>
  <si>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</si>
  <si>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</si>
  <si>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</si>
  <si>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</si>
  <si>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</si>
  <si>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</si>
  <si>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</si>
  <si>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</si>
  <si>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</si>
  <si>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</si>
  <si>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</si>
  <si>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</si>
  <si>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</si>
  <si>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</si>
  <si>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</si>
  <si>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</si>
  <si>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</si>
  <si>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</si>
  <si>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</si>
  <si>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</si>
  <si>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</si>
  <si>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</si>
  <si>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</si>
  <si>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</si>
  <si>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</si>
  <si>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</si>
  <si>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</si>
  <si>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</si>
  <si>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</si>
  <si>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</si>
  <si>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</si>
  <si>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</si>
  <si>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</si>
  <si>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</si>
  <si>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</si>
  <si>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</si>
  <si>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</si>
  <si>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</si>
  <si>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</si>
  <si>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</si>
  <si>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</si>
  <si>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</si>
  <si>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</si>
  <si>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</si>
  <si>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</si>
  <si>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</si>
  <si>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</si>
  <si>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</si>
  <si>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</si>
  <si>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</si>
  <si>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</si>
  <si>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</si>
  <si>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</si>
  <si>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</si>
  <si>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</si>
  <si>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</si>
  <si>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</si>
  <si>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</si>
  <si>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</si>
  <si>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</si>
  <si>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</si>
  <si>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</si>
  <si>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</si>
  <si>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</si>
  <si>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</si>
  <si>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</si>
  <si>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</si>
  <si>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</si>
  <si>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</si>
  <si>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</si>
  <si>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</si>
  <si>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</si>
  <si>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</si>
  <si>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</si>
  <si>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</si>
  <si>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</si>
  <si>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</si>
  <si>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</si>
  <si>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</si>
  <si>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</si>
  <si>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</si>
  <si>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</si>
  <si>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</si>
  <si>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</si>
  <si>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</si>
  <si>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</si>
  <si>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</si>
  <si>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</si>
  <si>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</si>
  <si>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</si>
  <si>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</si>
  <si>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</si>
  <si>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</si>
  <si>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</si>
  <si>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</si>
  <si>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</si>
  <si>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</si>
  <si>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</si>
  <si>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</si>
  <si>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</si>
  <si>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</si>
  <si>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</si>
  <si>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</si>
  <si>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</si>
  <si>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</si>
  <si>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</si>
  <si>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</si>
  <si>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</si>
  <si>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</si>
  <si>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</si>
  <si>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</si>
  <si>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</si>
  <si>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</si>
  <si>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</si>
  <si>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</si>
  <si>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</si>
  <si>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</si>
  <si>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</si>
  <si>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</si>
  <si>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</si>
  <si>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</si>
  <si>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</si>
  <si>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</si>
  <si>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</si>
  <si>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</si>
  <si>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</si>
  <si>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</si>
  <si>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</si>
  <si>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</si>
  <si>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</si>
  <si>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</si>
  <si>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</si>
  <si>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</si>
  <si>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</si>
  <si>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</si>
  <si>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</si>
  <si>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</si>
  <si>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</si>
  <si>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</si>
  <si>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</si>
  <si>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</si>
  <si>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</si>
  <si>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</si>
  <si>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</si>
  <si>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</si>
  <si>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</si>
  <si>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</si>
  <si>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</si>
  <si>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</si>
  <si>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</si>
  <si>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</si>
  <si>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</si>
  <si>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</si>
  <si>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</si>
  <si>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</si>
  <si>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</si>
  <si>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</si>
  <si>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</si>
  <si>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</si>
  <si>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</si>
  <si>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</si>
  <si>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</si>
  <si>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</si>
  <si>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</si>
  <si>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</si>
  <si>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</si>
  <si>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</si>
  <si>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</si>
  <si>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</si>
  <si>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</si>
  <si>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</si>
  <si>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</si>
  <si>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</si>
  <si>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</si>
  <si>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</si>
  <si>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</si>
  <si>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</si>
  <si>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</si>
  <si>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</si>
  <si>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</si>
  <si>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</si>
  <si>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</si>
  <si>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</si>
  <si>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</si>
  <si>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</si>
  <si>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</si>
  <si>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</si>
  <si>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</si>
  <si>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</si>
  <si>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</si>
  <si>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</si>
  <si>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</si>
  <si>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</si>
  <si>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</si>
  <si>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</si>
  <si>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</si>
  <si>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</si>
  <si>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</si>
  <si>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</si>
  <si>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</si>
  <si>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</si>
  <si>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</si>
  <si>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</si>
  <si>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</si>
  <si>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</si>
  <si>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</si>
  <si>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</si>
  <si>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</si>
  <si>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</si>
  <si>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</si>
  <si>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</si>
  <si>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</si>
  <si>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</si>
  <si>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</si>
  <si>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</si>
  <si>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</si>
  <si>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</si>
  <si>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</si>
  <si>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</si>
  <si>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</si>
  <si>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</si>
  <si>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</si>
  <si>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</si>
  <si>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</si>
  <si>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</si>
  <si>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</si>
  <si>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</si>
  <si>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</si>
  <si>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</si>
  <si>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</si>
  <si>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</si>
  <si>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</si>
  <si>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</si>
  <si>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</si>
  <si>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</si>
  <si>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</si>
  <si>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</si>
  <si>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</si>
  <si>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</si>
  <si>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</si>
  <si>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</si>
  <si>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</si>
  <si>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</si>
  <si>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</si>
  <si>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</si>
  <si>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</si>
  <si>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</si>
  <si>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</si>
  <si>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</si>
  <si>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</si>
  <si>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</si>
  <si>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</si>
  <si>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</si>
  <si>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</si>
  <si>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</si>
  <si>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</si>
  <si>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</si>
  <si>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</si>
  <si>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</si>
  <si>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</si>
  <si>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</si>
  <si>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</si>
  <si>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</si>
  <si>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</si>
  <si>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</si>
  <si>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</si>
  <si>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</si>
  <si>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</si>
  <si>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</si>
  <si>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</si>
  <si>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</si>
  <si>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</si>
  <si>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</si>
  <si>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</si>
  <si>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</si>
  <si>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</si>
  <si>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</si>
  <si>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</si>
  <si>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</si>
  <si>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</si>
  <si>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</si>
  <si>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</si>
  <si>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</si>
  <si>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</si>
  <si>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</si>
  <si>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</si>
  <si>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</si>
  <si>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</si>
  <si>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</si>
  <si>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</si>
  <si>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</si>
  <si>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</si>
  <si>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</si>
  <si>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</si>
  <si>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</si>
  <si>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</si>
  <si>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</si>
  <si>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</si>
  <si>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</si>
  <si>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</si>
  <si>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</si>
  <si>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</si>
  <si>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</si>
  <si>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</si>
  <si>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</si>
  <si>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</si>
  <si>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</si>
  <si>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</si>
  <si>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</si>
  <si>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</si>
  <si>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</si>
  <si>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</si>
  <si>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</si>
  <si>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</si>
  <si>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</si>
  <si>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</si>
  <si>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</si>
  <si>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</si>
  <si>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</si>
  <si>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</si>
  <si>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</si>
  <si>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</si>
  <si>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</si>
  <si>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</si>
  <si>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</si>
  <si>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</si>
  <si>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</si>
  <si>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</si>
  <si>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</si>
  <si>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</si>
  <si>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</si>
  <si>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</si>
  <si>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</si>
  <si>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</si>
  <si>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</si>
  <si>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</si>
  <si>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</si>
  <si>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</si>
  <si>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</si>
  <si>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</si>
  <si>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</si>
  <si>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</si>
  <si>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</si>
  <si>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</si>
  <si>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</si>
  <si>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</si>
  <si>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</si>
  <si>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</si>
  <si>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</si>
  <si>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</si>
  <si>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</si>
  <si>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</si>
  <si>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</si>
  <si>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</si>
  <si>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</si>
  <si>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</si>
  <si>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</si>
  <si>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</si>
  <si>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</si>
  <si>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</si>
  <si>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</si>
  <si>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</si>
  <si>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</si>
  <si>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</si>
  <si>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</si>
  <si>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</si>
  <si>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</si>
  <si>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</si>
  <si>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</si>
  <si>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</si>
  <si>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</si>
  <si>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</si>
  <si>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</si>
  <si>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</si>
  <si>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</si>
  <si>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</si>
  <si>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</si>
  <si>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</si>
  <si>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</si>
  <si>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</si>
  <si>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</si>
  <si>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</si>
  <si>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</si>
  <si>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</si>
  <si>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</si>
  <si>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</si>
  <si>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</si>
  <si>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</si>
  <si>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</si>
  <si>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</si>
  <si>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</si>
  <si>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</si>
  <si>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</si>
  <si>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</si>
  <si>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</si>
  <si>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</si>
  <si>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</si>
  <si>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</si>
  <si>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</si>
  <si>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</si>
  <si>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</si>
  <si>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</si>
  <si>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</si>
  <si>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</si>
  <si>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</si>
  <si>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</si>
  <si>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</si>
  <si>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</si>
  <si>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</si>
  <si>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</si>
  <si>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</si>
  <si>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</si>
  <si>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</si>
  <si>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</si>
  <si>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</si>
  <si>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</si>
  <si>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</si>
  <si>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</si>
  <si>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</si>
  <si>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</si>
  <si>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</si>
  <si>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</si>
  <si>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</si>
  <si>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</si>
  <si>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</si>
  <si>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</si>
  <si>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</si>
  <si>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</si>
  <si>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</si>
  <si>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</si>
  <si>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</si>
  <si>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</si>
  <si>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</si>
  <si>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</si>
  <si>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</si>
  <si>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</si>
  <si>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</si>
  <si>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</si>
  <si>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</si>
  <si>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</si>
  <si>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</si>
  <si>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</si>
  <si>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</si>
  <si>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</si>
  <si>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</si>
  <si>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</si>
  <si>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</si>
  <si>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</si>
  <si>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</si>
  <si>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</si>
  <si>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</si>
  <si>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</si>
  <si>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</si>
  <si>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</si>
  <si>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</si>
  <si>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</si>
  <si>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</si>
  <si>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</si>
  <si>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</si>
  <si>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</si>
  <si>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</si>
  <si>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</si>
  <si>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</si>
  <si>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</si>
  <si>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</si>
  <si>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</si>
  <si>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</si>
  <si>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</si>
  <si>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</si>
  <si>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</si>
  <si>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</si>
  <si>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</si>
  <si>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</si>
  <si>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</si>
  <si>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</si>
  <si>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</si>
  <si>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</si>
  <si>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</si>
  <si>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</si>
  <si>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</si>
  <si>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</si>
  <si>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</si>
  <si>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</si>
  <si>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</si>
  <si>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</si>
  <si>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</si>
  <si>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</si>
  <si>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</si>
  <si>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</si>
  <si>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</si>
  <si>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</si>
  <si>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</si>
  <si>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</si>
  <si>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</si>
  <si>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</si>
  <si>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</si>
  <si>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</si>
  <si>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</si>
  <si>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</si>
  <si>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</si>
  <si>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</si>
  <si>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</si>
  <si>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</si>
  <si>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</si>
  <si>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</si>
  <si>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</si>
  <si>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</si>
  <si>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</si>
  <si>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</si>
  <si>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</si>
  <si>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</si>
  <si>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</si>
  <si>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</si>
  <si>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</si>
  <si>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</si>
  <si>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</si>
  <si>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</si>
  <si>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</si>
  <si>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</si>
  <si>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</si>
  <si>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</si>
  <si>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</si>
  <si>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</si>
  <si>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</si>
  <si>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</si>
  <si>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</si>
  <si>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</si>
  <si>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</si>
  <si>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</si>
  <si>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</si>
  <si>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</si>
  <si>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</si>
  <si>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</si>
  <si>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</si>
  <si>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</si>
  <si>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</si>
  <si>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</si>
  <si>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</si>
  <si>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</si>
  <si>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</si>
  <si>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</si>
  <si>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</si>
  <si>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</si>
  <si>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</si>
  <si>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</si>
  <si>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</si>
  <si>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</si>
  <si>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</si>
  <si>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</si>
  <si>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</si>
  <si>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</si>
  <si>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</si>
  <si>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</si>
  <si>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</si>
  <si>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</si>
  <si>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</si>
  <si>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</si>
  <si>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</si>
  <si>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</si>
  <si>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</si>
  <si>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</si>
  <si>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</si>
  <si>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</si>
  <si>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</si>
  <si>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</si>
  <si>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</si>
  <si>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</si>
  <si>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</si>
  <si>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</si>
  <si>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</si>
  <si>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</si>
  <si>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</si>
  <si>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</si>
  <si>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</si>
  <si>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</si>
  <si>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</si>
  <si>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</si>
  <si>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</si>
  <si>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</si>
  <si>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</si>
  <si>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</si>
  <si>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</si>
  <si>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</si>
  <si>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</si>
  <si>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</si>
  <si>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</si>
  <si>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</si>
  <si>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</si>
  <si>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</si>
  <si>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</si>
  <si>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</si>
  <si>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</si>
  <si>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</si>
  <si>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</si>
  <si>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</si>
  <si>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</si>
  <si>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</si>
  <si>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</si>
  <si>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</si>
  <si>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</si>
  <si>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</si>
  <si>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</si>
  <si>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</si>
  <si>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</si>
  <si>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</si>
  <si>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</si>
  <si>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</si>
  <si>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</si>
  <si>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</si>
  <si>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</si>
  <si>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</si>
  <si>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</si>
  <si>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</si>
  <si>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</si>
  <si>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</si>
  <si>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</si>
  <si>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</si>
  <si>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</si>
  <si>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</si>
  <si>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</si>
  <si>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</si>
  <si>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</si>
  <si>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</si>
  <si>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</si>
  <si>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</si>
  <si>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</si>
  <si>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</si>
  <si>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</si>
  <si>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</si>
  <si>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</si>
  <si>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</si>
  <si>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</si>
  <si>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</si>
  <si>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</si>
  <si>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</si>
  <si>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</si>
  <si>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</si>
  <si>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</si>
  <si>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</si>
  <si>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</si>
  <si>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</si>
  <si>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</si>
  <si>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</si>
  <si>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</si>
  <si>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</si>
  <si>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</si>
  <si>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</si>
  <si>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</si>
  <si>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</si>
  <si>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</si>
  <si>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</si>
  <si>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</si>
  <si>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</si>
  <si>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</si>
  <si>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</si>
  <si>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</si>
  <si>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</si>
  <si>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</si>
  <si>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</si>
  <si>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</si>
  <si>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</si>
  <si>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</si>
  <si>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</si>
  <si>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</si>
  <si>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</si>
  <si>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</si>
  <si>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</si>
  <si>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</si>
  <si>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</si>
  <si>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</si>
  <si>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</si>
  <si>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</si>
  <si>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</si>
  <si>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</si>
  <si>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</si>
  <si>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</si>
  <si>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</si>
  <si>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</si>
  <si>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</si>
  <si>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</si>
  <si>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</si>
  <si>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</si>
  <si>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</si>
  <si>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</si>
  <si>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</si>
  <si>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</si>
  <si>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</si>
  <si>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</si>
  <si>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</si>
  <si>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</si>
  <si>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</si>
  <si>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</si>
  <si>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</si>
  <si>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</si>
  <si>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</si>
  <si>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</si>
  <si>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</si>
  <si>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</si>
  <si>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</si>
  <si>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</si>
  <si>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</si>
  <si>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</si>
  <si>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</si>
  <si>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</si>
  <si>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</si>
  <si>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</si>
  <si>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</si>
  <si>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</si>
  <si>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</si>
  <si>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</si>
  <si>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</si>
  <si>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</si>
  <si>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</si>
  <si>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</si>
  <si>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</si>
  <si>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</si>
  <si>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</si>
  <si>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</si>
  <si>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</si>
  <si>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</si>
  <si>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</si>
  <si>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</si>
  <si>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</si>
  <si>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</si>
  <si>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</si>
  <si>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</si>
  <si>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</si>
  <si>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</si>
  <si>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</si>
  <si>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</si>
  <si>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</si>
  <si>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</si>
  <si>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</si>
  <si>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</si>
  <si>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</si>
  <si>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</si>
  <si>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</si>
  <si>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</si>
  <si>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</si>
  <si>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</si>
  <si>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</si>
  <si>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</si>
  <si>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</si>
  <si>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</si>
  <si>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</si>
  <si>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</si>
  <si>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</si>
  <si>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</si>
  <si>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</si>
  <si>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</si>
  <si>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</si>
  <si>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</si>
  <si>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</si>
  <si>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</si>
  <si>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</si>
  <si>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</si>
  <si>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</si>
  <si>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</si>
  <si>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</si>
  <si>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</si>
  <si>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</si>
  <si>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</si>
  <si>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</si>
  <si>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</si>
  <si>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</si>
  <si>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</si>
  <si>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</si>
  <si>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</si>
  <si>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</si>
  <si>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</si>
  <si>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</si>
  <si>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</si>
  <si>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</si>
  <si>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</si>
  <si>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</si>
  <si>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</si>
  <si>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</si>
  <si>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</si>
  <si>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</si>
  <si>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</si>
  <si>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</si>
  <si>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</si>
  <si>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</si>
  <si>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</si>
  <si>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</si>
  <si>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</si>
  <si>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</si>
  <si>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</si>
  <si>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</si>
  <si>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</si>
  <si>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</si>
  <si>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</si>
  <si>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</si>
  <si>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</si>
  <si>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</si>
  <si>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</si>
  <si>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</si>
  <si>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</si>
  <si>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</si>
  <si>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</si>
  <si>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</si>
  <si>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</si>
  <si>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</si>
  <si>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</si>
  <si>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</si>
  <si>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</si>
  <si>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</si>
  <si>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</si>
  <si>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</si>
  <si>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</si>
  <si>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</si>
  <si>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</si>
  <si>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</si>
  <si>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</si>
  <si>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</si>
  <si>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</si>
  <si>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</si>
  <si>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</si>
  <si>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</si>
  <si>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</si>
  <si>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</si>
  <si>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</si>
  <si>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</si>
  <si>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</si>
  <si>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</si>
  <si>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</si>
  <si>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</si>
  <si>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</si>
  <si>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</si>
  <si>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</si>
  <si>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</si>
  <si>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</si>
  <si>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</si>
  <si>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</si>
  <si>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</si>
  <si>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</si>
  <si>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</si>
  <si>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</si>
  <si>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</si>
  <si>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</si>
  <si>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</si>
  <si>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</si>
  <si>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</si>
  <si>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</si>
  <si>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</si>
  <si>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</si>
  <si>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</si>
  <si>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</si>
  <si>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</si>
  <si>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</si>
  <si>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</si>
  <si>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</si>
  <si>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</si>
  <si>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</si>
  <si>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</si>
  <si>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</si>
  <si>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</si>
  <si>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</si>
  <si>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</si>
  <si>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</si>
  <si>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</si>
  <si>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</si>
  <si>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</si>
  <si>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</si>
  <si>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</si>
  <si>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</si>
  <si>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</si>
  <si>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</si>
  <si>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</si>
  <si>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</si>
  <si>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</si>
  <si>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</si>
  <si>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</si>
  <si>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</si>
  <si>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</si>
  <si>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</si>
  <si>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</si>
  <si>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</si>
  <si>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</si>
  <si>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</si>
  <si>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</si>
  <si>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</si>
  <si>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</si>
  <si>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</si>
  <si>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</si>
  <si>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</si>
  <si>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</si>
  <si>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</si>
  <si>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</si>
  <si>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</si>
  <si>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</si>
  <si>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</si>
  <si>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</si>
  <si>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</si>
  <si>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</si>
  <si>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</si>
  <si>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</si>
  <si>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</si>
  <si>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</si>
  <si>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</si>
  <si>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</si>
  <si>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</si>
  <si>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</si>
  <si>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</si>
  <si>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</si>
  <si>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</si>
  <si>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</si>
  <si>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</si>
  <si>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</si>
  <si>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</si>
  <si>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</si>
  <si>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</si>
  <si>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</si>
  <si>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</si>
  <si>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</si>
  <si>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</si>
  <si>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</si>
  <si>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</si>
  <si>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</si>
  <si>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</si>
  <si>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</si>
  <si>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</si>
  <si>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</si>
  <si>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</si>
  <si>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</si>
  <si>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</si>
  <si>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</si>
  <si>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</si>
  <si>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</si>
  <si>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</si>
  <si>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</si>
  <si>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</si>
  <si>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</si>
  <si>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</si>
  <si>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</si>
  <si>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</si>
  <si>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</si>
  <si>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</si>
  <si>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</si>
  <si>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</si>
  <si>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</si>
  <si>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</si>
  <si>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</si>
  <si>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</si>
  <si>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</si>
  <si>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</si>
  <si>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</si>
  <si>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</si>
  <si>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</si>
  <si>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</si>
  <si>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</si>
  <si>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</si>
  <si>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</si>
  <si>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</si>
  <si>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</si>
  <si>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</si>
  <si>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</si>
  <si>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</si>
  <si>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</si>
  <si>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</si>
  <si>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</si>
  <si>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</si>
  <si>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</si>
  <si>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</si>
  <si>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</si>
  <si>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</si>
  <si>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</si>
  <si>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</si>
  <si>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</si>
  <si>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</si>
  <si>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</si>
  <si>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</si>
  <si>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</si>
  <si>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</si>
  <si>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</si>
  <si>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</si>
  <si>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</si>
  <si>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</si>
  <si>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</si>
  <si>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</si>
  <si>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</si>
  <si>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</si>
  <si>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</si>
  <si>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</si>
  <si>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</si>
  <si>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</si>
  <si>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</si>
  <si>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</si>
  <si>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</si>
  <si>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</si>
  <si>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</si>
  <si>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</si>
  <si>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</si>
  <si>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</si>
  <si>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</si>
  <si>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</si>
  <si>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</si>
  <si>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</si>
  <si>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</si>
  <si>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</si>
  <si>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</si>
  <si>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</si>
  <si>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</si>
  <si>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</si>
  <si>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</si>
  <si>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</si>
  <si>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</si>
  <si>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</si>
  <si>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</si>
  <si>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</si>
  <si>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</si>
  <si>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</si>
  <si>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</si>
  <si>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</si>
  <si>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</si>
  <si>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</si>
  <si>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</si>
  <si>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</si>
  <si>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</si>
  <si>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</si>
  <si>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</si>
  <si>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</si>
  <si>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</si>
  <si>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</si>
  <si>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</si>
  <si>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</si>
  <si>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</si>
  <si>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</si>
  <si>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</si>
  <si>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</si>
  <si>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</si>
  <si>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</si>
  <si>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</si>
  <si>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</si>
  <si>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</si>
  <si>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</si>
  <si>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</si>
  <si>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</si>
  <si>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</si>
  <si>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</si>
  <si>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</si>
  <si>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</si>
  <si>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</si>
  <si>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</si>
  <si>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</si>
  <si>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</si>
  <si>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</si>
  <si>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</si>
  <si>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</si>
  <si>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</si>
  <si>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</si>
  <si>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</si>
  <si>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</si>
  <si>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</si>
  <si>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</si>
  <si>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</si>
  <si>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</si>
  <si>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</si>
  <si>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</si>
  <si>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</si>
  <si>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</si>
  <si>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</si>
  <si>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</si>
  <si>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</si>
  <si>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</si>
  <si>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</si>
  <si>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</si>
  <si>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</si>
  <si>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</si>
  <si>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</si>
  <si>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</si>
  <si>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</si>
  <si>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</si>
  <si>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</si>
  <si>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</si>
  <si>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</si>
  <si>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</si>
  <si>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</si>
  <si>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</si>
  <si>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</si>
  <si>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</si>
  <si>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</si>
  <si>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</si>
  <si>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</si>
  <si>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</si>
  <si>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</si>
  <si>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</si>
  <si>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</si>
  <si>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</si>
  <si>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</si>
  <si>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</si>
  <si>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</si>
  <si>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</si>
  <si>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</si>
  <si>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</si>
  <si>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</si>
  <si>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</si>
  <si>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</si>
  <si>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</si>
  <si>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</si>
  <si>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</si>
  <si>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</si>
  <si>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</si>
  <si>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</si>
  <si>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</si>
  <si>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</si>
  <si>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</si>
  <si>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</si>
  <si>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</si>
  <si>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</si>
  <si>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</si>
  <si>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</si>
  <si>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</si>
  <si>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</si>
  <si>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</si>
  <si>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</si>
  <si>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</si>
  <si>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</si>
  <si>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</si>
  <si>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</si>
  <si>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</si>
  <si>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</si>
  <si>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</si>
  <si>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</si>
  <si>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</si>
  <si>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</si>
  <si>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</si>
  <si>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</si>
  <si>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</si>
  <si>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</si>
  <si>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</si>
  <si>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</si>
  <si>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</si>
  <si>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</si>
  <si>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</si>
  <si>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</si>
  <si>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</si>
  <si>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</si>
  <si>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</si>
  <si>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</si>
  <si>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</si>
  <si>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</si>
  <si>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</si>
  <si>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</si>
  <si>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</si>
  <si>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</si>
  <si>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</si>
  <si>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</si>
  <si>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</si>
  <si>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</si>
  <si>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</si>
  <si>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</si>
  <si>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</si>
  <si>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</si>
  <si>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</si>
  <si>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</si>
  <si>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</si>
  <si>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</si>
  <si>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</si>
  <si>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</si>
  <si>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</si>
  <si>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</si>
  <si>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</si>
  <si>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</si>
  <si>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</si>
  <si>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</si>
  <si>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</si>
  <si>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</si>
  <si>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</si>
  <si>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</si>
  <si>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</si>
  <si>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</si>
  <si>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</si>
  <si>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</si>
  <si>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</si>
  <si>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</si>
  <si>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</si>
  <si>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</si>
  <si>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</si>
  <si>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</si>
  <si>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</si>
  <si>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</si>
  <si>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</si>
  <si>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</si>
  <si>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</si>
  <si>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</si>
  <si>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</si>
  <si>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</si>
  <si>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</si>
  <si>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</si>
  <si>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</si>
  <si>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</si>
  <si>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</si>
  <si>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</si>
  <si>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</si>
  <si>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</si>
  <si>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</si>
  <si>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</si>
  <si>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</si>
  <si>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</si>
  <si>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</si>
  <si>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</si>
  <si>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</si>
  <si>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</si>
  <si>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</si>
  <si>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</si>
  <si>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</si>
  <si>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</si>
  <si>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</si>
  <si>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</si>
  <si>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</si>
  <si>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</si>
  <si>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</si>
  <si>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</si>
  <si>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</si>
  <si>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</si>
  <si>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</si>
  <si>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</si>
  <si>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</si>
  <si>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</si>
  <si>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</si>
  <si>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</si>
  <si>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</si>
  <si>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</si>
  <si>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</si>
  <si>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</si>
  <si>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</si>
  <si>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</si>
  <si>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</si>
  <si>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</si>
  <si>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</si>
  <si>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</si>
  <si>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</si>
  <si>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</si>
  <si>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</si>
  <si>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</si>
  <si>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</si>
  <si>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</si>
  <si>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</si>
  <si>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</si>
  <si>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</si>
  <si>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</si>
  <si>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</si>
  <si>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</si>
  <si>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</si>
  <si>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</si>
  <si>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</si>
  <si>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</si>
  <si>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</si>
  <si>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</si>
  <si>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</si>
  <si>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</si>
  <si>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</si>
  <si>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</si>
  <si>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</si>
  <si>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</si>
  <si>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</si>
  <si>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</si>
  <si>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</si>
  <si>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</si>
  <si>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</si>
  <si>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</si>
  <si>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</si>
  <si>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</si>
  <si>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</si>
  <si>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</si>
  <si>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</si>
  <si>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</si>
  <si>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</si>
  <si>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</si>
  <si>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</si>
  <si>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</si>
  <si>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</si>
  <si>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</si>
  <si>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</si>
  <si>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</si>
  <si>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</si>
  <si>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</si>
  <si>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</si>
  <si>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</si>
  <si>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</si>
  <si>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</si>
  <si>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</si>
  <si>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</si>
  <si>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</si>
  <si>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</si>
  <si>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</si>
  <si>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</si>
  <si>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</si>
  <si>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</si>
  <si>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</si>
  <si>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</si>
  <si>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</si>
  <si>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</si>
  <si>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</si>
  <si>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</si>
  <si>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</si>
  <si>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</si>
  <si>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</si>
  <si>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</si>
  <si>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</si>
  <si>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</si>
  <si>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</si>
  <si>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</si>
  <si>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</si>
  <si>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</si>
  <si>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</si>
  <si>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</si>
  <si>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</si>
  <si>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</si>
  <si>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</si>
  <si>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</si>
  <si>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</si>
  <si>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</si>
  <si>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</si>
  <si>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</si>
  <si>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</si>
  <si>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</si>
  <si>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</si>
  <si>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</si>
  <si>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</si>
  <si>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</si>
  <si>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</si>
  <si>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</si>
  <si>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</si>
  <si>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</si>
  <si>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</si>
  <si>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</si>
  <si>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</si>
  <si>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</si>
  <si>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</si>
  <si>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</si>
  <si>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</si>
  <si>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</si>
  <si>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</si>
  <si>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</si>
  <si>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</si>
  <si>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</si>
  <si>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</si>
  <si>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</si>
  <si>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</si>
  <si>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</si>
  <si>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</si>
  <si>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</si>
  <si>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</si>
  <si>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</si>
  <si>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</si>
  <si>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</si>
  <si>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</si>
  <si>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</si>
  <si>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</si>
  <si>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</si>
  <si>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</si>
  <si>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</si>
  <si>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</si>
  <si>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</si>
  <si>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</si>
  <si>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</si>
  <si>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</si>
  <si>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</si>
  <si>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</si>
  <si>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</si>
  <si>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</si>
  <si>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</si>
  <si>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</si>
  <si>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</si>
  <si>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</si>
  <si>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</si>
  <si>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</si>
  <si>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</si>
  <si>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</si>
  <si>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</si>
  <si>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</si>
  <si>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</si>
  <si>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</si>
  <si>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</si>
  <si>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</si>
  <si>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</si>
  <si>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</si>
  <si>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</si>
  <si>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</si>
  <si>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</si>
  <si>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</si>
  <si>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</si>
  <si>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</si>
  <si>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</si>
  <si>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</si>
  <si>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</si>
  <si>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</si>
  <si>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</si>
  <si>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</si>
  <si>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</si>
  <si>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</si>
  <si>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</si>
  <si>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</si>
  <si>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</si>
  <si>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</si>
  <si>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</si>
  <si>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</si>
  <si>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</si>
  <si>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</si>
  <si>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</si>
  <si>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</si>
  <si>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</si>
  <si>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</si>
  <si>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</si>
  <si>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</si>
  <si>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</si>
  <si>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</si>
  <si>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</si>
  <si>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</si>
  <si>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</si>
  <si>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</si>
  <si>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</si>
  <si>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</si>
  <si>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</si>
  <si>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</si>
  <si>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</si>
  <si>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</si>
  <si>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</si>
  <si>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</si>
  <si>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</si>
  <si>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</si>
  <si>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</si>
  <si>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</si>
  <si>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</si>
  <si>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</si>
  <si>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</si>
  <si>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</si>
  <si>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</si>
  <si>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</si>
  <si>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</si>
  <si>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</si>
  <si>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</si>
  <si>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</si>
  <si>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</si>
  <si>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</si>
  <si>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</si>
  <si>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</si>
  <si>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</si>
  <si>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</si>
  <si>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</si>
  <si>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</si>
  <si>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</si>
  <si>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</si>
  <si>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</si>
  <si>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</si>
  <si>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</si>
  <si>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</si>
  <si>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</si>
  <si>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</si>
  <si>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</si>
  <si>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</si>
  <si>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</si>
  <si>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</si>
  <si>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</si>
  <si>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</si>
  <si>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</si>
  <si>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</si>
  <si>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</si>
  <si>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</si>
  <si>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</si>
  <si>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</si>
  <si>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</si>
  <si>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</si>
  <si>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</si>
  <si>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</si>
  <si>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</si>
  <si>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</si>
  <si>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</si>
  <si>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</si>
  <si>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</si>
  <si>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</si>
  <si>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</si>
  <si>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</si>
  <si>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</si>
  <si>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</si>
  <si>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</si>
  <si>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</si>
  <si>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</si>
  <si>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</si>
  <si>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</si>
  <si>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</si>
  <si>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</si>
  <si>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</si>
  <si>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</si>
  <si>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</si>
  <si>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</si>
  <si>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</si>
  <si>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</si>
  <si>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</si>
  <si>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</si>
  <si>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</si>
  <si>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</si>
  <si>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</si>
  <si>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</si>
  <si>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</si>
  <si>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</si>
  <si>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</si>
  <si>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</si>
  <si>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</si>
  <si>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</si>
  <si>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</si>
  <si>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</si>
  <si>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</si>
  <si>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</si>
  <si>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</si>
  <si>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</si>
  <si>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</si>
  <si>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</si>
  <si>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</si>
  <si>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</si>
  <si>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</si>
  <si>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</si>
  <si>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</si>
  <si>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</si>
  <si>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</si>
  <si>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</si>
  <si>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</si>
  <si>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</si>
  <si>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</si>
  <si>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</si>
  <si>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</si>
  <si>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</si>
  <si>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</si>
  <si>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</si>
  <si>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</si>
  <si>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</si>
  <si>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</si>
  <si>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</si>
  <si>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</si>
  <si>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</si>
  <si>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</si>
  <si>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</si>
  <si>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</si>
  <si>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</si>
  <si>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</si>
  <si>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</si>
  <si>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</si>
  <si>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</si>
  <si>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</si>
  <si>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</si>
  <si>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</si>
  <si>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</si>
  <si>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</si>
  <si>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</si>
  <si>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</si>
  <si>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</si>
  <si>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</si>
  <si>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</si>
  <si>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</si>
  <si>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</si>
  <si>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</si>
  <si>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</si>
  <si>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</si>
  <si>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</si>
  <si>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</si>
  <si>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</si>
  <si>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</si>
  <si>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</si>
  <si>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</si>
  <si>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</si>
  <si>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</si>
  <si>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</si>
  <si>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</si>
  <si>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</si>
  <si>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</si>
  <si>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</si>
  <si>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</si>
  <si>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</si>
  <si>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</si>
  <si>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</si>
  <si>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</si>
  <si>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</si>
  <si>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</si>
  <si>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</si>
  <si>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</si>
  <si>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</si>
  <si>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</si>
  <si>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</si>
  <si>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</si>
  <si>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</si>
  <si>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</si>
  <si>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</si>
  <si>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</si>
  <si>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</si>
  <si>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</si>
  <si>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</si>
  <si>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</si>
  <si>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</si>
  <si>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</si>
  <si>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</si>
  <si>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</si>
  <si>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</si>
  <si>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</si>
  <si>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</si>
  <si>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</si>
  <si>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</si>
  <si>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</si>
  <si>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</si>
  <si>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</si>
  <si>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</si>
  <si>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</si>
  <si>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</si>
  <si>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</si>
  <si>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</si>
  <si>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</si>
  <si>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</si>
  <si>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</si>
  <si>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</si>
  <si>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</si>
  <si>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</si>
  <si>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</si>
  <si>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</si>
  <si>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</si>
  <si>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</si>
  <si>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</si>
  <si>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</si>
  <si>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</si>
  <si>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</si>
  <si>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</si>
  <si>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</si>
  <si>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</si>
  <si>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</si>
  <si>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</si>
  <si>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</si>
  <si>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</si>
  <si>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</si>
  <si>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</si>
  <si>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</si>
  <si>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</si>
  <si>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</si>
  <si>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</si>
  <si>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</si>
  <si>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</si>
  <si>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</si>
  <si>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</si>
  <si>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</si>
  <si>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</si>
  <si>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</si>
  <si>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</si>
  <si>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</si>
  <si>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</si>
  <si>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</si>
  <si>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</si>
  <si>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</si>
  <si>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</si>
  <si>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</si>
  <si>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</si>
  <si>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</si>
  <si>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</si>
  <si>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</si>
  <si>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</si>
  <si>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</si>
  <si>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</si>
  <si>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</si>
  <si>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</si>
  <si>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</si>
  <si>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</si>
  <si>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</si>
  <si>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</si>
  <si>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</si>
  <si>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</si>
  <si>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</si>
  <si>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</si>
  <si>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</si>
  <si>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</si>
  <si>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</si>
  <si>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</si>
  <si>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</si>
  <si>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</si>
  <si>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</si>
  <si>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</si>
  <si>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</si>
  <si>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</si>
  <si>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</si>
  <si>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</si>
  <si>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</si>
  <si>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</si>
  <si>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</si>
  <si>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</si>
  <si>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</si>
  <si>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</si>
  <si>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</si>
  <si>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</si>
  <si>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</si>
  <si>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</si>
  <si>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</si>
  <si>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</si>
  <si>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</si>
  <si>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</si>
  <si>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</si>
  <si>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</si>
  <si>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</si>
  <si>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</si>
  <si>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</si>
  <si>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</si>
  <si>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</si>
  <si>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</si>
  <si>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</si>
  <si>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</si>
  <si>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</si>
  <si>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</si>
  <si>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</si>
  <si>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</si>
  <si>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</si>
  <si>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</si>
  <si>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</si>
  <si>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</si>
  <si>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</si>
  <si>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</si>
  <si>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</si>
  <si>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</si>
  <si>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</si>
  <si>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</si>
  <si>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</si>
  <si>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</si>
  <si>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</si>
  <si>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</si>
  <si>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</si>
  <si>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</si>
  <si>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</si>
  <si>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</si>
  <si>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</si>
  <si>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</si>
  <si>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</si>
  <si>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</si>
  <si>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</si>
  <si>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</si>
  <si>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</si>
  <si>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</si>
  <si>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</si>
  <si>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</si>
  <si>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</si>
  <si>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</si>
  <si>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</si>
  <si>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</si>
  <si>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</si>
  <si>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</si>
  <si>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</si>
  <si>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</si>
  <si>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</si>
  <si>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</si>
  <si>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</si>
  <si>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</si>
  <si>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</si>
  <si>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</si>
  <si>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</si>
  <si>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</si>
  <si>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</si>
  <si>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</si>
  <si>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</si>
  <si>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</si>
  <si>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</si>
  <si>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</si>
  <si>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</si>
  <si>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</si>
  <si>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</si>
  <si>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</si>
  <si>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</si>
  <si>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</si>
  <si>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</si>
  <si>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</si>
  <si>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</si>
  <si>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</si>
  <si>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</si>
  <si>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</si>
  <si>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</si>
  <si>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</si>
  <si>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</si>
  <si>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</si>
  <si>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</si>
  <si>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</si>
  <si>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</si>
  <si>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</si>
  <si>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</si>
  <si>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</si>
  <si>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</si>
  <si>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</si>
  <si>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</si>
  <si>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</si>
  <si>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</si>
  <si>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</si>
  <si>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</si>
  <si>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</si>
  <si>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</si>
  <si>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</si>
  <si>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</si>
  <si>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</si>
  <si>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</si>
  <si>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</si>
  <si>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</si>
  <si>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</si>
  <si>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</si>
  <si>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</si>
  <si>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</si>
  <si>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</si>
  <si>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</si>
  <si>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</si>
  <si>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</si>
  <si>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</si>
  <si>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</si>
  <si>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</si>
  <si>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</si>
  <si>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</si>
  <si>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</si>
  <si>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</si>
  <si>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</si>
  <si>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</si>
  <si>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</si>
  <si>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</si>
  <si>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</si>
  <si>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</si>
  <si>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</si>
  <si>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</si>
  <si>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</si>
  <si>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</si>
  <si>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</si>
  <si>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</si>
  <si>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</si>
  <si>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</si>
  <si>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</si>
  <si>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</si>
  <si>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</si>
  <si>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</si>
  <si>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</si>
  <si>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</si>
  <si>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</si>
  <si>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</si>
  <si>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</si>
  <si>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</si>
  <si>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</si>
  <si>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</si>
  <si>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</si>
  <si>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</si>
  <si>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</si>
  <si>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</si>
  <si>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</si>
  <si>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</si>
  <si>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</si>
  <si>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</si>
  <si>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</si>
  <si>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</si>
  <si>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</si>
  <si>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</si>
  <si>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</si>
  <si>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</si>
  <si>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</si>
  <si>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</si>
  <si>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</si>
  <si>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</si>
  <si>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</si>
  <si>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</si>
  <si>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</si>
  <si>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</si>
  <si>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</si>
  <si>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</si>
  <si>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</si>
  <si>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 xml:space="preserve">Average Donation 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</si>
  <si>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</si>
  <si>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</si>
  <si>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</si>
  <si>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</si>
  <si>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</si>
  <si>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</si>
  <si>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</si>
  <si>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</si>
  <si>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 xml:space="preserve">Upper Quartile of Goal </t>
  </si>
  <si>
    <t>IQR of Goal</t>
  </si>
  <si>
    <t>Lower Quartile of Goal</t>
  </si>
  <si>
    <t xml:space="preserve">SD of Pledged </t>
  </si>
  <si>
    <t>Upper Quartile of Pledged</t>
  </si>
  <si>
    <t>Lower Quartile of Pledged</t>
  </si>
  <si>
    <t>IQR of Pledged</t>
  </si>
  <si>
    <t>Goal</t>
  </si>
  <si>
    <t xml:space="preserve">Number Successful </t>
  </si>
  <si>
    <t>Number Failed</t>
  </si>
  <si>
    <t xml:space="preserve">Number Canceled </t>
  </si>
  <si>
    <t xml:space="preserve">Total Projects </t>
  </si>
  <si>
    <t xml:space="preserve">Precentage Successful </t>
  </si>
  <si>
    <t xml:space="preserve">Precentage Failed </t>
  </si>
  <si>
    <t>Precentage Canceled</t>
  </si>
  <si>
    <t>Less Than 1000</t>
  </si>
  <si>
    <t xml:space="preserve">5000 to 9999 </t>
  </si>
  <si>
    <t>10000 to 14999</t>
  </si>
  <si>
    <t>15000 to 19999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</si>
  <si>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</si>
  <si>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</si>
  <si>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</si>
  <si>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</si>
  <si>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</si>
  <si>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</si>
  <si>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 to 4999</t>
  </si>
  <si>
    <t>20000 to 24999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</si>
</sst>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0" fontId="3" fillId="0" borderId="1" applyNumberFormat="0" applyFill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1" xfId="2"/>
    <xf numFmtId="165" fontId="0" fillId="0" borderId="0" xfId="0" applyNumberFormat="1"/>
    <xf numFmtId="0" fontId="3" fillId="0" borderId="0" xfId="2" applyFill="1" applyBorder="1"/>
    <xf numFmtId="166" fontId="4" fillId="0" borderId="0" xfId="0" applyNumberFormat="1" applyFont="1"/>
    <xf numFmtId="166" fontId="0" fillId="0" borderId="0" xfId="0" applyNumberFormat="1"/>
    <xf numFmtId="165" fontId="0" fillId="0" borderId="0" xfId="1" applyNumberFormat="1" applyFont="1"/>
    <xf numFmtId="44" fontId="0" fillId="0" borderId="0" xfId="1" applyFont="1"/>
    <xf numFmtId="9" fontId="0" fillId="0" borderId="0" xfId="3" applyFont="1"/>
  </cellXfs>
  <cellStyles count="4">
    <cellStyle name="Currency" xfId="1" builtinId="4"/>
    <cellStyle name="Heading 2" xfId="2" builtinId="17"/>
    <cellStyle name="Normal" xfId="0" builtinId="0"/>
    <cellStyle name="Percent" xfId="3" builtinId="5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 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0.63567839195979903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8A-4D1A-8CCB-8C1C8848778A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 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0.36432160804020103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8A-4D1A-8CCB-8C1C8848778A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 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8A-4D1A-8CCB-8C1C88487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6760944"/>
        <c:axId val="386771760"/>
      </c:lineChart>
      <c:catAx>
        <c:axId val="38676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71760"/>
        <c:crosses val="autoZero"/>
        <c:auto val="1"/>
        <c:lblAlgn val="ctr"/>
        <c:lblOffset val="100"/>
        <c:noMultiLvlLbl val="0"/>
      </c:catAx>
      <c:valAx>
        <c:axId val="38677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6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13331933508311461"/>
          <c:y val="3.501994495302403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B9-433A-91D5-74062AECD31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B9-433A-91D5-74062AECD31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B9-433A-91D5-74062AECD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76703"/>
        <c:axId val="202078367"/>
      </c:lineChart>
      <c:catAx>
        <c:axId val="20207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78367"/>
        <c:crosses val="autoZero"/>
        <c:auto val="1"/>
        <c:lblAlgn val="ctr"/>
        <c:lblOffset val="100"/>
        <c:noMultiLvlLbl val="0"/>
      </c:catAx>
      <c:valAx>
        <c:axId val="20207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7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Ratings</a:t>
            </a:r>
            <a:r>
              <a:rPr lang="en-US" baseline="0"/>
              <a:t> per Category Outcomes</a:t>
            </a:r>
            <a:endParaRPr lang="en-US"/>
          </a:p>
        </c:rich>
      </c:tx>
      <c:layout>
        <c:manualLayout>
          <c:xMode val="edge"/>
          <c:yMode val="edge"/>
          <c:x val="0.25617759355359848"/>
          <c:y val="9.836687080781568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8-485B-BA2F-B268D1E9DB6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88-485B-BA2F-B268D1E9DB6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88-485B-BA2F-B268D1E9DB6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88-485B-BA2F-B268D1E9D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5336848"/>
        <c:axId val="515337176"/>
      </c:barChart>
      <c:catAx>
        <c:axId val="51533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337176"/>
        <c:crosses val="autoZero"/>
        <c:auto val="1"/>
        <c:lblAlgn val="ctr"/>
        <c:lblOffset val="100"/>
        <c:noMultiLvlLbl val="0"/>
      </c:catAx>
      <c:valAx>
        <c:axId val="515337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33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67-4A44-884D-C3F82C107F7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67-4A44-884D-C3F82C107F7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67-4A44-884D-C3F82C107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6524392"/>
        <c:axId val="506522096"/>
      </c:barChart>
      <c:catAx>
        <c:axId val="506524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22096"/>
        <c:crosses val="autoZero"/>
        <c:auto val="1"/>
        <c:lblAlgn val="ctr"/>
        <c:lblOffset val="100"/>
        <c:noMultiLvlLbl val="0"/>
      </c:catAx>
      <c:valAx>
        <c:axId val="50652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24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3637475421271037"/>
          <c:y val="3.84531047543107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09-456C-9E03-8CD00AC4DD2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09-456C-9E03-8CD00AC4DD2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09-456C-9E03-8CD00AC4DD2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09-456C-9E03-8CD00AC4D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0693208"/>
        <c:axId val="760692552"/>
      </c:lineChart>
      <c:catAx>
        <c:axId val="760693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692552"/>
        <c:crosses val="autoZero"/>
        <c:auto val="1"/>
        <c:lblAlgn val="ctr"/>
        <c:lblOffset val="100"/>
        <c:noMultiLvlLbl val="0"/>
      </c:catAx>
      <c:valAx>
        <c:axId val="76069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693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15</xdr:row>
      <xdr:rowOff>161925</xdr:rowOff>
    </xdr:from>
    <xdr:to>
      <xdr:col>8</xdr:col>
      <xdr:colOff>93345</xdr:colOff>
      <xdr:row>32</xdr:row>
      <xdr:rowOff>73342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3CCF86-6D5F-40EF-91A1-6C80B314B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12</xdr:row>
      <xdr:rowOff>90487</xdr:rowOff>
    </xdr:from>
    <xdr:to>
      <xdr:col>13</xdr:col>
      <xdr:colOff>476250</xdr:colOff>
      <xdr:row>27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75DECD-06A5-47F5-BDA0-532201447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500062</xdr:colOff>
      <xdr:row>12</xdr:row>
      <xdr:rowOff>114300</xdr:rowOff>
    </xdr:from>
    <xdr:to>
      <xdr:col>16</xdr:col>
      <xdr:colOff>304800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5</xdr:row>
      <xdr:rowOff>95250</xdr:rowOff>
    </xdr:from>
    <xdr:to>
      <xdr:col>17</xdr:col>
      <xdr:colOff>85724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3</xdr:row>
      <xdr:rowOff>76200</xdr:rowOff>
    </xdr:from>
    <xdr:to>
      <xdr:col>15</xdr:col>
      <xdr:colOff>138112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mir Parham" refreshedDate="44437.843960648148" createdVersion="7" refreshedVersion="7" minRefreshableVersion="3" recordCount="4114" xr:uid="{1EB8AA41-D09D-4344-B1E9-CBEB69AB1DF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3816B0-0060-49EF-9894-AF3EEAFA807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34AC9-051D-4DD3-80BE-BD46EF8C8C65}">
  <dimension ref="B1:I13"/>
  <sheetViews>
    <sheetView tabSelected="1" workbookViewId="0">
      <selection activeCell="C4" sqref="C4"/>
    </sheetView>
  </sheetViews>
  <sheetFormatPr defaultRowHeight="14.4" x14ac:dyDescent="0.3"/>
  <cols>
    <col min="1" max="1" width="9.6640625" bestFit="1" customWidth="1"/>
    <col min="2" max="2" width="17.33203125" bestFit="1" customWidth="1"/>
    <col min="3" max="3" width="18" bestFit="1" customWidth="1"/>
    <col min="4" max="4" width="13.88671875" bestFit="1" customWidth="1"/>
    <col min="5" max="5" width="17.109375" bestFit="1" customWidth="1"/>
    <col min="6" max="6" width="13.21875" bestFit="1" customWidth="1"/>
    <col min="7" max="7" width="20.77734375" bestFit="1" customWidth="1"/>
    <col min="8" max="8" width="17.109375" bestFit="1" customWidth="1"/>
    <col min="9" max="9" width="19.33203125" bestFit="1" customWidth="1"/>
  </cols>
  <sheetData>
    <row r="1" spans="2:9" x14ac:dyDescent="0.3"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  <c r="I1" t="s">
        <v>8407</v>
      </c>
    </row>
    <row r="2" spans="2:9" x14ac:dyDescent="0.3">
      <c r="B2" t="s">
        <v>8408</v>
      </c>
      <c r="C2">
        <f>COUNTIFS(Kickstarter!$D:$D,"&gt;1000",Kickstarter!$F:$F,"successful",Kickstarter!$R:$R,"plays")</f>
        <v>506</v>
      </c>
      <c r="D2">
        <f>COUNTIFS(Kickstarter!$D:$D,"&gt;1000",Kickstarter!$F:$F,"failed",Kickstarter!$R:$R,"plays")</f>
        <v>290</v>
      </c>
      <c r="E2">
        <f>COUNTIFS(Kickstarter!$D:$D,"&gt;1000",Kickstarter!$F:$F,"canceled",Kickstarter!$R:$R,"plays")</f>
        <v>0</v>
      </c>
      <c r="F2">
        <f>SUM(C2:D2)</f>
        <v>796</v>
      </c>
      <c r="G2" s="23">
        <f>C2/F2</f>
        <v>0.63567839195979903</v>
      </c>
      <c r="H2" s="23">
        <f>D2/F2</f>
        <v>0.36432160804020103</v>
      </c>
      <c r="I2" s="23">
        <v>0</v>
      </c>
    </row>
    <row r="3" spans="2:9" x14ac:dyDescent="0.3">
      <c r="B3" t="s">
        <v>8418</v>
      </c>
      <c r="C3">
        <f>COUNTIFS(Kickstarter!$D:$D,"&gt;=1000",Kickstarter!$F:$F,"successful",Kickstarter!$D:$D,"&lt;=4999",Kickstarter!$R:$R,"plays")</f>
        <v>388</v>
      </c>
      <c r="D3">
        <f>COUNTIFS(Kickstarter!$D:$D,"&gt;=1000",Kickstarter!$F:$F,"failed",Kickstarter!$D:$D,"&lt;=4999",Kickstarter!$R:$R,"plays")</f>
        <v>146</v>
      </c>
      <c r="E3">
        <f>COUNTIFS(Kickstarter!$D:$D,"&gt;=1000",Kickstarter!$F:$F,"canceled",Kickstarter!$D:$D,"&lt;=4999",Kickstarter!$R:$R,"plays")</f>
        <v>0</v>
      </c>
      <c r="F3">
        <f t="shared" ref="F3:F13" si="0">SUM(C3:D3)</f>
        <v>534</v>
      </c>
      <c r="G3" s="23">
        <f t="shared" ref="G3:G13" si="1">C3/F3</f>
        <v>0.72659176029962547</v>
      </c>
      <c r="H3" s="23">
        <f t="shared" ref="H3:H13" si="2">D3/F3</f>
        <v>0.27340823970037453</v>
      </c>
      <c r="I3" s="23">
        <v>0</v>
      </c>
    </row>
    <row r="4" spans="2:9" x14ac:dyDescent="0.3">
      <c r="B4" t="s">
        <v>8409</v>
      </c>
      <c r="C4">
        <f>COUNTIFS(Kickstarter!$D:$D,"&gt;=5000",Kickstarter!$F:$F,"successful",Kickstarter!$D:$D,"&lt;=9999",Kickstarter!$R:$R,"plays")</f>
        <v>93</v>
      </c>
      <c r="D4">
        <f>COUNTIFS(Kickstarter!$D:$D,"&gt;=5000",Kickstarter!$F:$F,"failed",Kickstarter!$D:$D,"&lt;=9999",Kickstarter!$R:$R,"plays")</f>
        <v>76</v>
      </c>
      <c r="E4">
        <f>COUNTIFS(Kickstarter!$D:$D,"&gt;=5000",Kickstarter!$F:$F,"canceled",Kickstarter!$D:$D,"&lt;=9999",Kickstarter!$R:$R,"plays")</f>
        <v>0</v>
      </c>
      <c r="F4">
        <f t="shared" si="0"/>
        <v>169</v>
      </c>
      <c r="G4" s="23">
        <f t="shared" si="1"/>
        <v>0.55029585798816572</v>
      </c>
      <c r="H4" s="23">
        <f t="shared" si="2"/>
        <v>0.44970414201183434</v>
      </c>
      <c r="I4" s="23">
        <v>0</v>
      </c>
    </row>
    <row r="5" spans="2:9" x14ac:dyDescent="0.3">
      <c r="B5" t="s">
        <v>8410</v>
      </c>
      <c r="C5">
        <f>COUNTIFS(Kickstarter!$D:$D,"&gt;=10000",Kickstarter!$F:$F,"successful",Kickstarter!$D:$D,"&lt;=14999",Kickstarter!$R:$R,"plays")</f>
        <v>39</v>
      </c>
      <c r="D5">
        <f>COUNTIFS(Kickstarter!$D:$D,"&gt;=10000",Kickstarter!$F:$F,"failed",Kickstarter!$D:$D,"&lt;=14999",Kickstarter!$R:$R,"plays")</f>
        <v>33</v>
      </c>
      <c r="E5">
        <f>COUNTIFS(Kickstarter!$D:$D,"&gt;=10000",Kickstarter!$F:$F,"canceled",Kickstarter!$D:$D,"&lt;=14999",Kickstarter!$R:$R,"plays")</f>
        <v>0</v>
      </c>
      <c r="F5">
        <f t="shared" si="0"/>
        <v>72</v>
      </c>
      <c r="G5" s="23">
        <f t="shared" si="1"/>
        <v>0.54166666666666663</v>
      </c>
      <c r="H5" s="23">
        <f t="shared" si="2"/>
        <v>0.45833333333333331</v>
      </c>
      <c r="I5" s="23">
        <v>0</v>
      </c>
    </row>
    <row r="6" spans="2:9" x14ac:dyDescent="0.3">
      <c r="B6" t="s">
        <v>8411</v>
      </c>
      <c r="C6">
        <f>COUNTIFS(Kickstarter!$D:$D,"&gt;=15000",Kickstarter!$F:$F,"successful",Kickstarter!$D:$D,"&lt;=19999",Kickstarter!$R:$R,"plays")</f>
        <v>12</v>
      </c>
      <c r="D6">
        <f>COUNTIFS(Kickstarter!$D:$D,"&gt;=15000",Kickstarter!$F:$F,"failed",Kickstarter!$D:$D,"&lt;=19999",Kickstarter!$R:$R,"plays")</f>
        <v>12</v>
      </c>
      <c r="E6">
        <f>COUNTIFS(Kickstarter!$D:$D,"&gt;=15000",Kickstarter!$F:$F,"canceled",Kickstarter!$D:$D,"&lt;=19999",Kickstarter!$R:$R,"plays")</f>
        <v>0</v>
      </c>
      <c r="F6">
        <f t="shared" si="0"/>
        <v>24</v>
      </c>
      <c r="G6" s="23">
        <f t="shared" si="1"/>
        <v>0.5</v>
      </c>
      <c r="H6" s="23">
        <f t="shared" si="2"/>
        <v>0.5</v>
      </c>
      <c r="I6" s="23">
        <v>0</v>
      </c>
    </row>
    <row r="7" spans="2:9" x14ac:dyDescent="0.3">
      <c r="B7" t="s">
        <v>8419</v>
      </c>
      <c r="C7">
        <f>COUNTIFS(Kickstarter!$D:$D,"&gt;=20000",Kickstarter!$F:$F,"successful",Kickstarter!$D:$D,"&lt;=24999",Kickstarter!$R:$R,"plays")</f>
        <v>9</v>
      </c>
      <c r="D7">
        <f>COUNTIFS(Kickstarter!$D:$D,"&gt;=20000",Kickstarter!$F:$F,"failed",Kickstarter!$D:$D,"&lt;=24999",Kickstarter!$R:$R,"plays")</f>
        <v>11</v>
      </c>
      <c r="E7">
        <f>COUNTIFS(Kickstarter!$D:$D,"&gt;=20000",Kickstarter!$F:$F,"canceled",Kickstarter!$D:$D,"&lt;=24999",Kickstarter!$R:$R,"plays")</f>
        <v>0</v>
      </c>
      <c r="F7">
        <f t="shared" si="0"/>
        <v>20</v>
      </c>
      <c r="G7" s="23">
        <f t="shared" si="1"/>
        <v>0.45</v>
      </c>
      <c r="H7" s="23">
        <f t="shared" si="2"/>
        <v>0.55000000000000004</v>
      </c>
      <c r="I7" s="23">
        <v>0</v>
      </c>
    </row>
    <row r="8" spans="2:9" x14ac:dyDescent="0.3">
      <c r="B8" t="s">
        <v>8412</v>
      </c>
      <c r="C8">
        <f>COUNTIFS(Kickstarter!$D:$D,"&gt;=25000",Kickstarter!$F:$F,"successful",Kickstarter!$D:$D,"&lt;=29999",Kickstarter!$R:$R,"plays")</f>
        <v>1</v>
      </c>
      <c r="D8">
        <f>COUNTIFS(Kickstarter!$D:$D,"&gt;=25000",Kickstarter!$F:$F,"failed",Kickstarter!$D:$D,"&lt;=29999",Kickstarter!$R:$R,"plays")</f>
        <v>4</v>
      </c>
      <c r="E8">
        <f>COUNTIFS(Kickstarter!$D:$D,"&gt;=25000",Kickstarter!$F:$F,"canceled",Kickstarter!$D:$D,"&lt;=29999",Kickstarter!$R:$R,"plays")</f>
        <v>0</v>
      </c>
      <c r="F8">
        <f t="shared" si="0"/>
        <v>5</v>
      </c>
      <c r="G8" s="23">
        <f t="shared" si="1"/>
        <v>0.2</v>
      </c>
      <c r="H8" s="23">
        <f t="shared" si="2"/>
        <v>0.8</v>
      </c>
      <c r="I8" s="23">
        <v>0</v>
      </c>
    </row>
    <row r="9" spans="2:9" x14ac:dyDescent="0.3">
      <c r="B9" t="s">
        <v>8413</v>
      </c>
      <c r="C9">
        <f>COUNTIFS(Kickstarter!$D:$D,"&gt;=30000",Kickstarter!$F:$F,"successful",Kickstarter!$D:$D,"&lt;=34999",Kickstarter!$R:$R,"plays")</f>
        <v>3</v>
      </c>
      <c r="D9">
        <f>COUNTIFS(Kickstarter!$D:$D,"&gt;=30000",Kickstarter!$F:$F,"failed",Kickstarter!$D:$D,"&lt;=34999",Kickstarter!$R:$R,"plays")</f>
        <v>8</v>
      </c>
      <c r="E9">
        <f>COUNTIFS(Kickstarter!$D:$D,"&gt;=30000",Kickstarter!$F:$F,"canceled",Kickstarter!$D:$D,"&lt;=34999",Kickstarter!$R:$R,"plays")</f>
        <v>0</v>
      </c>
      <c r="F9">
        <f t="shared" si="0"/>
        <v>11</v>
      </c>
      <c r="G9" s="23">
        <f t="shared" si="1"/>
        <v>0.27272727272727271</v>
      </c>
      <c r="H9" s="23">
        <f t="shared" si="2"/>
        <v>0.72727272727272729</v>
      </c>
      <c r="I9" s="23">
        <v>0</v>
      </c>
    </row>
    <row r="10" spans="2:9" x14ac:dyDescent="0.3">
      <c r="B10" t="s">
        <v>8414</v>
      </c>
      <c r="C10">
        <f>COUNTIFS(Kickstarter!$D:$D,"&gt;=35000",Kickstarter!$F:$F,"successful",Kickstarter!$D:$D,"&lt;=39999",Kickstarter!$R:$R,"plays")</f>
        <v>4</v>
      </c>
      <c r="D10">
        <f>COUNTIFS(Kickstarter!$D:$D,"&gt;=35000",Kickstarter!$F:$F,"failed",Kickstarter!$D:$D,"&lt;=39999",Kickstarter!$R:$R,"plays")</f>
        <v>2</v>
      </c>
      <c r="E10">
        <f>COUNTIFS(Kickstarter!$D:$D,"&gt;=35000",Kickstarter!$F:$F,"canceled",Kickstarter!$D:$D,"&lt;=39999",Kickstarter!$R:$R,"plays")</f>
        <v>0</v>
      </c>
      <c r="F10">
        <f t="shared" si="0"/>
        <v>6</v>
      </c>
      <c r="G10" s="23">
        <f t="shared" si="1"/>
        <v>0.66666666666666663</v>
      </c>
      <c r="H10" s="23">
        <f t="shared" si="2"/>
        <v>0.33333333333333331</v>
      </c>
      <c r="I10" s="23">
        <v>0</v>
      </c>
    </row>
    <row r="11" spans="2:9" x14ac:dyDescent="0.3">
      <c r="B11" t="s">
        <v>8415</v>
      </c>
      <c r="C11">
        <f>COUNTIFS(Kickstarter!$D:$D,"&gt;=40000",Kickstarter!$F:$F,"successful",Kickstarter!$D:$D,"&lt;=44999",Kickstarter!$R:$R,"plays")</f>
        <v>2</v>
      </c>
      <c r="D11">
        <f>COUNTIFS(Kickstarter!$D:$D,"&gt;=40000",Kickstarter!$F:$F,"failed",Kickstarter!$D:$D,"&lt;=44999",Kickstarter!$R:$R,"plays")</f>
        <v>1</v>
      </c>
      <c r="E11">
        <f>COUNTIFS(Kickstarter!$D:$D,"&gt;=40000",Kickstarter!$F:$F,"canceled",Kickstarter!$D:$D,"&lt;=44999",Kickstarter!$R:$R,"plays")</f>
        <v>0</v>
      </c>
      <c r="F11">
        <f t="shared" si="0"/>
        <v>3</v>
      </c>
      <c r="G11" s="23">
        <f t="shared" si="1"/>
        <v>0.66666666666666663</v>
      </c>
      <c r="H11" s="23">
        <f t="shared" si="2"/>
        <v>0.33333333333333331</v>
      </c>
      <c r="I11" s="23">
        <v>0</v>
      </c>
    </row>
    <row r="12" spans="2:9" x14ac:dyDescent="0.3">
      <c r="B12" t="s">
        <v>8416</v>
      </c>
      <c r="C12">
        <f>COUNTIFS(Kickstarter!$D:$D,"&gt;=45000",Kickstarter!$F:$F,"successful",Kickstarter!$D:$D,"&lt;=49999",Kickstarter!$R:$R,"plays")</f>
        <v>0</v>
      </c>
      <c r="D12">
        <f>COUNTIFS(Kickstarter!$D:$D,"&gt;=45000",Kickstarter!$F:$F,"failed",Kickstarter!$D:$D,"&lt;=49999",Kickstarter!$R:$R,"plays")</f>
        <v>1</v>
      </c>
      <c r="E12">
        <f>COUNTIFS(Kickstarter!$D:$D,"&gt;=45000",Kickstarter!$F:$F,"canceled",Kickstarter!$D:$D,"&lt;=49999",Kickstarter!$R:$R,"plays")</f>
        <v>0</v>
      </c>
      <c r="F12">
        <f t="shared" si="0"/>
        <v>1</v>
      </c>
      <c r="G12" s="23">
        <f t="shared" si="1"/>
        <v>0</v>
      </c>
      <c r="H12" s="23">
        <f t="shared" si="2"/>
        <v>1</v>
      </c>
      <c r="I12" s="23">
        <v>0</v>
      </c>
    </row>
    <row r="13" spans="2:9" x14ac:dyDescent="0.3">
      <c r="B13" t="s">
        <v>8417</v>
      </c>
      <c r="C13">
        <f>COUNTIFS(Kickstarter!$D:$D,"&gt;=50000",Kickstarter!$F:$F,"successful",Kickstarter!$R:$R,"plays")</f>
        <v>2</v>
      </c>
      <c r="D13">
        <f>COUNTIFS(Kickstarter!$D:$D,"&gt;=50000",Kickstarter!$F:$F,"failed",Kickstarter!$R:$R,"plays")</f>
        <v>14</v>
      </c>
      <c r="E13">
        <f>COUNTIFS(Kickstarter!$D:$D,"&gt;=50000",Kickstarter!$F:$F,"canceled",Kickstarter!$R:$R,"plays")</f>
        <v>0</v>
      </c>
      <c r="F13">
        <f t="shared" si="0"/>
        <v>16</v>
      </c>
      <c r="G13" s="23">
        <f t="shared" si="1"/>
        <v>0.125</v>
      </c>
      <c r="H13" s="23">
        <f t="shared" si="2"/>
        <v>0.875</v>
      </c>
      <c r="I13" s="23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0EF7B-3CC7-41FA-9A66-F7EC01F45716}">
  <dimension ref="A1:E18"/>
  <sheetViews>
    <sheetView workbookViewId="0">
      <selection activeCell="F28" sqref="F2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60" zoomScaleNormal="60" workbookViewId="0">
      <pane ySplit="1" topLeftCell="A2" activePane="bottomLeft" state="frozen"/>
      <selection activeCell="D1" sqref="D1"/>
      <selection pane="bottomLeft" activeCell="U2" sqref="U2"/>
    </sheetView>
  </sheetViews>
  <sheetFormatPr defaultColWidth="8.88671875" defaultRowHeight="14.4" x14ac:dyDescent="0.3"/>
  <cols>
    <col min="2" max="2" width="38.44140625" style="3" customWidth="1"/>
    <col min="3" max="3" width="40.33203125" style="3" customWidth="1"/>
    <col min="4" max="4" width="15.6640625" style="5" bestFit="1" customWidth="1"/>
    <col min="5" max="5" width="12.88671875" style="7" bestFit="1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3.88671875" bestFit="1" customWidth="1"/>
    <col min="16" max="16" width="22.5546875" bestFit="1" customWidth="1"/>
    <col min="17" max="17" width="41.109375" customWidth="1"/>
    <col min="18" max="18" width="19.109375" bestFit="1" customWidth="1"/>
    <col min="19" max="19" width="32.33203125" bestFit="1" customWidth="1"/>
    <col min="20" max="20" width="31.5546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0</v>
      </c>
      <c r="B2" s="8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00000000-0009-0000-0000-000000000000}"/>
  <sortState xmlns:xlrd2="http://schemas.microsoft.com/office/spreadsheetml/2017/richdata2" ref="A2:N4115">
    <sortCondition ref="E1"/>
  </sortState>
  <conditionalFormatting sqref="F1:F1048576">
    <cfRule type="cellIs" dxfId="3" priority="2" operator="equal">
      <formula>"cancelled"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S1: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4"/>
  <sheetViews>
    <sheetView workbookViewId="0">
      <selection activeCell="B2" sqref="B2"/>
    </sheetView>
  </sheetViews>
  <sheetFormatPr defaultRowHeight="14.4" x14ac:dyDescent="0.3"/>
  <cols>
    <col min="1" max="1" width="24.33203125" bestFit="1" customWidth="1"/>
    <col min="2" max="2" width="15.5546875" bestFit="1" customWidth="1"/>
    <col min="3" max="3" width="11.5546875" bestFit="1" customWidth="1"/>
  </cols>
  <sheetData>
    <row r="1" spans="1:3" x14ac:dyDescent="0.3">
      <c r="B1" t="s">
        <v>8386</v>
      </c>
      <c r="C1" t="s">
        <v>8387</v>
      </c>
    </row>
    <row r="2" spans="1:3" x14ac:dyDescent="0.3">
      <c r="A2" t="s">
        <v>8388</v>
      </c>
      <c r="B2" s="19" t="e">
        <f>AVERAGE(#REF!)</f>
        <v>#REF!</v>
      </c>
      <c r="C2" s="20" t="e">
        <f>AVERAGE(#REF!)</f>
        <v>#REF!</v>
      </c>
    </row>
    <row r="3" spans="1:3" x14ac:dyDescent="0.3">
      <c r="A3" t="s">
        <v>8389</v>
      </c>
      <c r="B3" s="20" t="e">
        <f>MEDIAN(#REF!)</f>
        <v>#REF!</v>
      </c>
      <c r="C3" s="20" t="e">
        <f>MEDIAN(#REF!)</f>
        <v>#REF!</v>
      </c>
    </row>
    <row r="4" spans="1:3" x14ac:dyDescent="0.3">
      <c r="A4" t="s">
        <v>8392</v>
      </c>
      <c r="B4" s="20" t="e">
        <f>_xlfn.STDEV.P(#REF!)</f>
        <v>#REF!</v>
      </c>
      <c r="C4" s="20" t="e">
        <f>_xlfn.STDEV.P(#REF!)</f>
        <v>#REF!</v>
      </c>
    </row>
    <row r="5" spans="1:3" x14ac:dyDescent="0.3">
      <c r="A5" t="s">
        <v>8393</v>
      </c>
      <c r="B5" s="20" t="e">
        <f>_xlfn.QUARTILE.EXC(#REF!, 3)</f>
        <v>#REF!</v>
      </c>
      <c r="C5" s="20" t="e">
        <f>_xlfn.QUARTILE.EXC(#REF!, 3)</f>
        <v>#REF!</v>
      </c>
    </row>
    <row r="6" spans="1:3" x14ac:dyDescent="0.3">
      <c r="A6" t="s">
        <v>8395</v>
      </c>
      <c r="B6" s="20" t="e">
        <f>_xlfn.QUARTILE.EXC(#REF!, 1)</f>
        <v>#REF!</v>
      </c>
      <c r="C6" s="20" t="e">
        <f>_xlfn.QUARTILE.EXC(#REF!, 1)</f>
        <v>#REF!</v>
      </c>
    </row>
    <row r="7" spans="1:3" x14ac:dyDescent="0.3">
      <c r="A7" t="s">
        <v>8394</v>
      </c>
      <c r="B7" s="20" t="e">
        <f>B5-B6</f>
        <v>#REF!</v>
      </c>
      <c r="C7" s="20" t="e">
        <f>C5-C6</f>
        <v>#REF!</v>
      </c>
    </row>
    <row r="9" spans="1:3" x14ac:dyDescent="0.3">
      <c r="A9" t="s">
        <v>8390</v>
      </c>
      <c r="B9" s="17" t="e">
        <f>AVERAGE(#REF!)</f>
        <v>#REF!</v>
      </c>
      <c r="C9" s="17" t="e">
        <f>AVERAGE(#REF!)</f>
        <v>#REF!</v>
      </c>
    </row>
    <row r="10" spans="1:3" x14ac:dyDescent="0.3">
      <c r="A10" t="s">
        <v>8391</v>
      </c>
      <c r="B10" s="17" t="e">
        <f>MEDIAN(#REF!)</f>
        <v>#REF!</v>
      </c>
      <c r="C10" s="21" t="e">
        <f>MEDIAN(#REF!)</f>
        <v>#REF!</v>
      </c>
    </row>
    <row r="11" spans="1:3" x14ac:dyDescent="0.3">
      <c r="A11" t="s">
        <v>8396</v>
      </c>
      <c r="B11" s="22" t="e">
        <f>_xlfn.STDEV.P(#REF!)</f>
        <v>#REF!</v>
      </c>
      <c r="C11" s="22" t="e">
        <f>_xlfn.STDEV.P(#REF!)</f>
        <v>#REF!</v>
      </c>
    </row>
    <row r="12" spans="1:3" x14ac:dyDescent="0.3">
      <c r="A12" t="s">
        <v>8397</v>
      </c>
      <c r="B12" s="22" t="e">
        <f>_xlfn.QUARTILE.EXC(#REF!, 3)</f>
        <v>#REF!</v>
      </c>
      <c r="C12" s="22" t="e">
        <f>_xlfn.QUARTILE.EXC(#REF!, 3)</f>
        <v>#REF!</v>
      </c>
    </row>
    <row r="13" spans="1:3" x14ac:dyDescent="0.3">
      <c r="A13" t="s">
        <v>8398</v>
      </c>
      <c r="B13" s="22" t="e">
        <f>_xlfn.QUARTILE.EXC(#REF!, 1)</f>
        <v>#REF!</v>
      </c>
      <c r="C13" s="22" t="e">
        <f>_xlfn.QUARTILE.EXC(#REF!, 1)</f>
        <v>#REF!</v>
      </c>
    </row>
    <row r="14" spans="1:3" x14ac:dyDescent="0.3">
      <c r="A14" t="s">
        <v>8399</v>
      </c>
      <c r="B14" s="22" t="e">
        <f>B12-B13</f>
        <v>#REF!</v>
      </c>
      <c r="C14" s="22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6"/>
  <sheetViews>
    <sheetView workbookViewId="0">
      <selection activeCell="B11" sqref="B11"/>
    </sheetView>
  </sheetViews>
  <sheetFormatPr defaultRowHeight="14.4" x14ac:dyDescent="0.3"/>
  <cols>
    <col min="1" max="1" width="34.109375" bestFit="1" customWidth="1"/>
    <col min="2" max="2" width="128.44140625" bestFit="1" customWidth="1"/>
    <col min="3" max="4" width="10.109375" bestFit="1" customWidth="1"/>
    <col min="5" max="5" width="20.33203125" bestFit="1" customWidth="1"/>
    <col min="6" max="6" width="20.88671875" bestFit="1" customWidth="1"/>
  </cols>
  <sheetData>
    <row r="1" spans="1:6" ht="18" thickBot="1" x14ac:dyDescent="0.4">
      <c r="A1" s="16" t="s">
        <v>8380</v>
      </c>
      <c r="B1" s="16" t="s">
        <v>8381</v>
      </c>
      <c r="C1" s="16" t="s">
        <v>8382</v>
      </c>
      <c r="D1" s="16" t="s">
        <v>8383</v>
      </c>
      <c r="E1" s="18" t="s">
        <v>8384</v>
      </c>
      <c r="F1" s="18" t="s">
        <v>8385</v>
      </c>
    </row>
    <row r="2" spans="1:6" ht="15" thickTop="1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6"/>
  <sheetViews>
    <sheetView workbookViewId="0">
      <selection activeCell="C3" sqref="C3:F3"/>
    </sheetView>
  </sheetViews>
  <sheetFormatPr defaultRowHeight="14.4" x14ac:dyDescent="0.3"/>
  <cols>
    <col min="1" max="1" width="18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7"/>
  <sheetViews>
    <sheetView workbookViewId="0">
      <selection activeCell="A5" sqref="A5"/>
    </sheetView>
  </sheetViews>
  <sheetFormatPr defaultRowHeight="14.4" x14ac:dyDescent="0.3"/>
  <cols>
    <col min="1" max="1" width="18" bestFit="1" customWidth="1"/>
    <col min="2" max="2" width="16.33203125" customWidth="1"/>
    <col min="3" max="3" width="4.33203125" customWidth="1"/>
    <col min="4" max="4" width="10" bestFit="1" customWidth="1"/>
    <col min="5" max="6" width="11.3320312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8"/>
  <sheetViews>
    <sheetView topLeftCell="A4" workbookViewId="0">
      <selection activeCell="Q9" sqref="Q9"/>
    </sheetView>
  </sheetViews>
  <sheetFormatPr defaultRowHeight="14.4" x14ac:dyDescent="0.3"/>
  <cols>
    <col min="1" max="1" width="18" bestFit="1" customWidth="1"/>
    <col min="2" max="2" width="16.33203125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Goals</vt:lpstr>
      <vt:lpstr>Theater Outcomes by Launch Date</vt:lpstr>
      <vt:lpstr>Kickstarter</vt:lpstr>
      <vt:lpstr>Descriptive Statistics</vt:lpstr>
      <vt:lpstr>Edingburgh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Shamir Parham</cp:lastModifiedBy>
  <dcterms:created xsi:type="dcterms:W3CDTF">2017-04-20T15:17:24Z</dcterms:created>
  <dcterms:modified xsi:type="dcterms:W3CDTF">2021-09-02T11:55:50Z</dcterms:modified>
</cp:coreProperties>
</file>