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205"/>
  </bookViews>
  <sheets>
    <sheet name="Лист1" sheetId="1" r:id="rId1"/>
    <sheet name="Лист2" sheetId="2" r:id="rId2"/>
  </sheets>
  <definedNames>
    <definedName name="_xlnm.Print_Area" localSheetId="0">Лист1!$A$1:$O$169</definedName>
    <definedName name="_xlnm.Print_Area" localSheetId="1">Лист2!$A$1:$M$38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00" i="1" l="1"/>
  <c r="N99" i="1"/>
  <c r="N98" i="1"/>
  <c r="N97" i="1"/>
  <c r="N96" i="1"/>
  <c r="N94" i="1"/>
  <c r="N93" i="1"/>
  <c r="N92" i="1"/>
  <c r="N91" i="1"/>
  <c r="N90" i="1"/>
  <c r="N89" i="1"/>
  <c r="N88" i="1"/>
  <c r="N87" i="1"/>
  <c r="N86" i="1"/>
  <c r="H7" i="1"/>
  <c r="H8" i="1"/>
  <c r="H9" i="1"/>
  <c r="H11" i="1"/>
  <c r="H13" i="1"/>
  <c r="H15" i="1"/>
  <c r="H17" i="1"/>
  <c r="H18" i="1"/>
  <c r="H19" i="1"/>
  <c r="G154" i="1" l="1"/>
  <c r="G153" i="1"/>
  <c r="G151" i="1"/>
  <c r="G150" i="1"/>
  <c r="G149" i="1"/>
  <c r="G148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1" i="1"/>
  <c r="G130" i="1"/>
  <c r="G128" i="1"/>
  <c r="G122" i="1"/>
  <c r="G121" i="1"/>
  <c r="G120" i="1"/>
  <c r="G119" i="1"/>
  <c r="G118" i="1"/>
  <c r="G116" i="1"/>
  <c r="G115" i="1"/>
  <c r="G113" i="1"/>
  <c r="G110" i="1"/>
  <c r="G109" i="1"/>
  <c r="G108" i="1"/>
  <c r="G107" i="1"/>
  <c r="G106" i="1"/>
  <c r="G105" i="1"/>
  <c r="G104" i="1"/>
  <c r="G100" i="1"/>
  <c r="G99" i="1"/>
  <c r="G98" i="1"/>
  <c r="G97" i="1"/>
  <c r="G96" i="1"/>
  <c r="G94" i="1"/>
  <c r="G93" i="1"/>
  <c r="G92" i="1"/>
  <c r="G91" i="1"/>
  <c r="G90" i="1"/>
  <c r="G89" i="1"/>
  <c r="G88" i="1"/>
  <c r="G87" i="1"/>
  <c r="G86" i="1"/>
  <c r="G85" i="1"/>
  <c r="G79" i="1"/>
  <c r="G77" i="1"/>
  <c r="G76" i="1"/>
  <c r="G74" i="1"/>
  <c r="G73" i="1"/>
  <c r="G72" i="1"/>
  <c r="G71" i="1"/>
  <c r="G69" i="1"/>
  <c r="G68" i="1"/>
  <c r="G67" i="1"/>
  <c r="G66" i="1"/>
  <c r="G65" i="1"/>
  <c r="G64" i="1"/>
  <c r="G62" i="1"/>
  <c r="G61" i="1"/>
  <c r="G60" i="1"/>
  <c r="G58" i="1"/>
  <c r="G57" i="1"/>
  <c r="G52" i="1"/>
  <c r="G51" i="1"/>
  <c r="G48" i="1"/>
  <c r="G47" i="1"/>
  <c r="G45" i="1"/>
  <c r="G43" i="1"/>
  <c r="G42" i="1"/>
  <c r="G41" i="1"/>
  <c r="G40" i="1"/>
  <c r="G39" i="1"/>
  <c r="G38" i="1"/>
  <c r="G36" i="1"/>
  <c r="G35" i="1"/>
  <c r="G34" i="1"/>
  <c r="G33" i="1"/>
  <c r="G31" i="1"/>
  <c r="G30" i="1"/>
  <c r="G29" i="1"/>
  <c r="G27" i="1"/>
  <c r="G26" i="1"/>
  <c r="G25" i="1"/>
  <c r="G19" i="1" l="1"/>
  <c r="G18" i="1"/>
  <c r="G17" i="1"/>
  <c r="G15" i="1"/>
  <c r="G13" i="1"/>
  <c r="G11" i="1"/>
  <c r="G9" i="1"/>
  <c r="G8" i="1"/>
  <c r="G7" i="1"/>
  <c r="G6" i="1"/>
  <c r="M21" i="2" l="1"/>
  <c r="K21" i="2"/>
  <c r="I21" i="2"/>
  <c r="G21" i="2"/>
  <c r="E21" i="2"/>
  <c r="C21" i="2"/>
  <c r="M18" i="2" l="1"/>
  <c r="C19" i="2" l="1"/>
  <c r="C18" i="2"/>
  <c r="F157" i="1" l="1"/>
  <c r="L9" i="2" l="1"/>
  <c r="M16" i="2"/>
  <c r="M15" i="2"/>
  <c r="M14" i="2"/>
  <c r="M13" i="2"/>
  <c r="M12" i="2"/>
  <c r="M11" i="2"/>
  <c r="M10" i="2"/>
  <c r="M9" i="2"/>
  <c r="M8" i="2"/>
  <c r="M7" i="2"/>
  <c r="K16" i="2"/>
  <c r="K15" i="2"/>
  <c r="K14" i="2"/>
  <c r="K13" i="2"/>
  <c r="K12" i="2"/>
  <c r="K11" i="2"/>
  <c r="K8" i="2"/>
  <c r="K7" i="2"/>
  <c r="J10" i="2"/>
  <c r="K10" i="2" s="1"/>
  <c r="J9" i="2"/>
  <c r="K9" i="2" s="1"/>
  <c r="M17" i="2" l="1"/>
  <c r="M19" i="2" s="1"/>
  <c r="I15" i="2"/>
  <c r="I16" i="2"/>
  <c r="I14" i="2"/>
  <c r="I13" i="2"/>
  <c r="I12" i="2"/>
  <c r="I11" i="2"/>
  <c r="I8" i="2"/>
  <c r="I7" i="2"/>
  <c r="H10" i="2"/>
  <c r="F10" i="2"/>
  <c r="G10" i="2" s="1"/>
  <c r="D10" i="2"/>
  <c r="E10" i="2" s="1"/>
  <c r="B10" i="2"/>
  <c r="C10" i="2" s="1"/>
  <c r="H9" i="2"/>
  <c r="I9" i="2" s="1"/>
  <c r="L17" i="2"/>
  <c r="K17" i="2"/>
  <c r="K18" i="2" s="1"/>
  <c r="K19" i="2" s="1"/>
  <c r="J17" i="2"/>
  <c r="G16" i="2"/>
  <c r="G14" i="2"/>
  <c r="G13" i="2"/>
  <c r="G12" i="2"/>
  <c r="G11" i="2"/>
  <c r="G8" i="2"/>
  <c r="G7" i="2"/>
  <c r="F9" i="2"/>
  <c r="G9" i="2" s="1"/>
  <c r="E16" i="2"/>
  <c r="E14" i="2"/>
  <c r="E13" i="2"/>
  <c r="E12" i="2"/>
  <c r="E11" i="2"/>
  <c r="E9" i="2"/>
  <c r="E8" i="2"/>
  <c r="E7" i="2"/>
  <c r="D9" i="2"/>
  <c r="D17" i="2" s="1"/>
  <c r="D2" i="2"/>
  <c r="C16" i="2"/>
  <c r="C14" i="2"/>
  <c r="C13" i="2"/>
  <c r="C12" i="2"/>
  <c r="C11" i="2"/>
  <c r="C8" i="2"/>
  <c r="C7" i="2"/>
  <c r="B9" i="2"/>
  <c r="B17" i="2" s="1"/>
  <c r="F2" i="2"/>
  <c r="H2" i="2" s="1"/>
  <c r="J2" i="2" s="1"/>
  <c r="L2" i="2" s="1"/>
  <c r="H17" i="2" l="1"/>
  <c r="C9" i="2"/>
  <c r="C17" i="2" s="1"/>
  <c r="M23" i="2" s="1"/>
  <c r="F17" i="2"/>
  <c r="I10" i="2"/>
  <c r="I17" i="2" s="1"/>
  <c r="I18" i="2" s="1"/>
  <c r="I19" i="2" s="1"/>
  <c r="E17" i="2"/>
  <c r="E18" i="2" s="1"/>
  <c r="E19" i="2" s="1"/>
  <c r="G17" i="2"/>
  <c r="G18" i="2" s="1"/>
  <c r="G19" i="2" s="1"/>
  <c r="K124" i="1" l="1"/>
  <c r="K101" i="1"/>
  <c r="K80" i="1"/>
  <c r="K54" i="1"/>
  <c r="K157" i="1"/>
  <c r="K22" i="1"/>
  <c r="H154" i="1"/>
  <c r="I154" i="1" s="1"/>
  <c r="J154" i="1" s="1"/>
  <c r="H153" i="1"/>
  <c r="I153" i="1" s="1"/>
  <c r="J153" i="1" s="1"/>
  <c r="H150" i="1"/>
  <c r="H148" i="1"/>
  <c r="I148" i="1" s="1"/>
  <c r="J148" i="1" s="1"/>
  <c r="H146" i="1"/>
  <c r="H145" i="1"/>
  <c r="H139" i="1"/>
  <c r="I139" i="1" s="1"/>
  <c r="J139" i="1" s="1"/>
  <c r="H151" i="1"/>
  <c r="H144" i="1"/>
  <c r="H140" i="1"/>
  <c r="I140" i="1" s="1"/>
  <c r="J140" i="1" s="1"/>
  <c r="H138" i="1"/>
  <c r="H137" i="1"/>
  <c r="I137" i="1" s="1"/>
  <c r="J137" i="1" s="1"/>
  <c r="H143" i="1"/>
  <c r="I143" i="1" s="1"/>
  <c r="J143" i="1" s="1"/>
  <c r="H149" i="1"/>
  <c r="H142" i="1"/>
  <c r="I142" i="1" s="1"/>
  <c r="J142" i="1" s="1"/>
  <c r="H141" i="1"/>
  <c r="H135" i="1"/>
  <c r="I135" i="1" s="1"/>
  <c r="J135" i="1" s="1"/>
  <c r="H134" i="1"/>
  <c r="I134" i="1" s="1"/>
  <c r="J134" i="1" s="1"/>
  <c r="H136" i="1"/>
  <c r="H133" i="1"/>
  <c r="H131" i="1"/>
  <c r="I131" i="1" s="1"/>
  <c r="J131" i="1" s="1"/>
  <c r="H130" i="1"/>
  <c r="H128" i="1"/>
  <c r="H122" i="1"/>
  <c r="I122" i="1" s="1"/>
  <c r="J122" i="1" s="1"/>
  <c r="H121" i="1"/>
  <c r="I121" i="1" s="1"/>
  <c r="J121" i="1" s="1"/>
  <c r="H120" i="1"/>
  <c r="I120" i="1" s="1"/>
  <c r="J120" i="1" s="1"/>
  <c r="H119" i="1"/>
  <c r="H118" i="1"/>
  <c r="I118" i="1" s="1"/>
  <c r="J118" i="1" s="1"/>
  <c r="H116" i="1"/>
  <c r="H113" i="1"/>
  <c r="H115" i="1"/>
  <c r="I115" i="1" s="1"/>
  <c r="J115" i="1" s="1"/>
  <c r="H110" i="1"/>
  <c r="I110" i="1" s="1"/>
  <c r="J110" i="1" s="1"/>
  <c r="H109" i="1"/>
  <c r="I109" i="1" s="1"/>
  <c r="J109" i="1" s="1"/>
  <c r="H108" i="1"/>
  <c r="I108" i="1" s="1"/>
  <c r="J108" i="1" s="1"/>
  <c r="H107" i="1"/>
  <c r="I107" i="1" s="1"/>
  <c r="J107" i="1" s="1"/>
  <c r="H106" i="1"/>
  <c r="I106" i="1" s="1"/>
  <c r="J106" i="1" s="1"/>
  <c r="H105" i="1"/>
  <c r="H104" i="1"/>
  <c r="I104" i="1" s="1"/>
  <c r="J104" i="1" s="1"/>
  <c r="H100" i="1"/>
  <c r="I100" i="1" s="1"/>
  <c r="J100" i="1" s="1"/>
  <c r="H99" i="1"/>
  <c r="H96" i="1"/>
  <c r="I96" i="1" s="1"/>
  <c r="J96" i="1" s="1"/>
  <c r="H94" i="1"/>
  <c r="I94" i="1" s="1"/>
  <c r="J94" i="1" s="1"/>
  <c r="H93" i="1"/>
  <c r="I93" i="1" s="1"/>
  <c r="J93" i="1" s="1"/>
  <c r="H92" i="1"/>
  <c r="I92" i="1" s="1"/>
  <c r="J92" i="1" s="1"/>
  <c r="H91" i="1"/>
  <c r="I91" i="1" s="1"/>
  <c r="J91" i="1" s="1"/>
  <c r="H89" i="1"/>
  <c r="H88" i="1"/>
  <c r="I88" i="1" s="1"/>
  <c r="H87" i="1"/>
  <c r="I87" i="1" s="1"/>
  <c r="J87" i="1" s="1"/>
  <c r="H86" i="1"/>
  <c r="I86" i="1" s="1"/>
  <c r="J86" i="1" s="1"/>
  <c r="H85" i="1"/>
  <c r="I151" i="1"/>
  <c r="J151" i="1" s="1"/>
  <c r="I150" i="1"/>
  <c r="J150" i="1" s="1"/>
  <c r="I149" i="1"/>
  <c r="J149" i="1" s="1"/>
  <c r="I147" i="1"/>
  <c r="J147" i="1" s="1"/>
  <c r="I146" i="1"/>
  <c r="J146" i="1" s="1"/>
  <c r="I145" i="1"/>
  <c r="J145" i="1" s="1"/>
  <c r="I144" i="1"/>
  <c r="J144" i="1" s="1"/>
  <c r="I141" i="1"/>
  <c r="J141" i="1" s="1"/>
  <c r="I138" i="1"/>
  <c r="J138" i="1" s="1"/>
  <c r="I136" i="1"/>
  <c r="J136" i="1" s="1"/>
  <c r="I133" i="1"/>
  <c r="J133" i="1" s="1"/>
  <c r="I132" i="1"/>
  <c r="J132" i="1" s="1"/>
  <c r="I130" i="1"/>
  <c r="J130" i="1" s="1"/>
  <c r="I129" i="1"/>
  <c r="J129" i="1" s="1"/>
  <c r="I127" i="1"/>
  <c r="J127" i="1" s="1"/>
  <c r="I123" i="1"/>
  <c r="J123" i="1" s="1"/>
  <c r="I119" i="1"/>
  <c r="J119" i="1" s="1"/>
  <c r="I117" i="1"/>
  <c r="J117" i="1" s="1"/>
  <c r="I116" i="1"/>
  <c r="J116" i="1" s="1"/>
  <c r="I114" i="1"/>
  <c r="J114" i="1" s="1"/>
  <c r="I113" i="1"/>
  <c r="J113" i="1" s="1"/>
  <c r="I112" i="1"/>
  <c r="J112" i="1" s="1"/>
  <c r="I111" i="1"/>
  <c r="J111" i="1" s="1"/>
  <c r="I105" i="1"/>
  <c r="J105" i="1" s="1"/>
  <c r="I99" i="1"/>
  <c r="J99" i="1" s="1"/>
  <c r="I95" i="1"/>
  <c r="J95" i="1" s="1"/>
  <c r="I89" i="1"/>
  <c r="J89" i="1" s="1"/>
  <c r="I85" i="1"/>
  <c r="J85" i="1" s="1"/>
  <c r="I78" i="1"/>
  <c r="J78" i="1" s="1"/>
  <c r="I75" i="1"/>
  <c r="J75" i="1" s="1"/>
  <c r="I70" i="1"/>
  <c r="J70" i="1" s="1"/>
  <c r="I63" i="1"/>
  <c r="J63" i="1" s="1"/>
  <c r="I59" i="1"/>
  <c r="J59" i="1" s="1"/>
  <c r="H79" i="1"/>
  <c r="I79" i="1" s="1"/>
  <c r="J79" i="1" s="1"/>
  <c r="H77" i="1"/>
  <c r="I77" i="1" s="1"/>
  <c r="J77" i="1" s="1"/>
  <c r="H76" i="1"/>
  <c r="I76" i="1" s="1"/>
  <c r="J76" i="1" s="1"/>
  <c r="H74" i="1"/>
  <c r="I74" i="1" s="1"/>
  <c r="J74" i="1" s="1"/>
  <c r="H73" i="1"/>
  <c r="H71" i="1"/>
  <c r="I71" i="1" s="1"/>
  <c r="J71" i="1" s="1"/>
  <c r="H69" i="1"/>
  <c r="I69" i="1" s="1"/>
  <c r="J69" i="1" s="1"/>
  <c r="H66" i="1"/>
  <c r="I66" i="1" s="1"/>
  <c r="J66" i="1" s="1"/>
  <c r="H65" i="1"/>
  <c r="I65" i="1" s="1"/>
  <c r="J65" i="1" s="1"/>
  <c r="H64" i="1"/>
  <c r="I64" i="1" s="1"/>
  <c r="J64" i="1" s="1"/>
  <c r="H62" i="1"/>
  <c r="I62" i="1" s="1"/>
  <c r="J62" i="1" s="1"/>
  <c r="H61" i="1"/>
  <c r="I61" i="1" s="1"/>
  <c r="J61" i="1" s="1"/>
  <c r="H68" i="1"/>
  <c r="I68" i="1" s="1"/>
  <c r="J68" i="1" s="1"/>
  <c r="H67" i="1"/>
  <c r="I67" i="1" s="1"/>
  <c r="J67" i="1" s="1"/>
  <c r="H60" i="1"/>
  <c r="I60" i="1" s="1"/>
  <c r="J60" i="1" s="1"/>
  <c r="H58" i="1"/>
  <c r="I58" i="1" s="1"/>
  <c r="J58" i="1" s="1"/>
  <c r="H72" i="1"/>
  <c r="I72" i="1" s="1"/>
  <c r="J72" i="1" s="1"/>
  <c r="H57" i="1"/>
  <c r="I57" i="1" s="1"/>
  <c r="H52" i="1"/>
  <c r="H51" i="1"/>
  <c r="H48" i="1"/>
  <c r="H47" i="1"/>
  <c r="H45" i="1"/>
  <c r="I45" i="1" s="1"/>
  <c r="J45" i="1" s="1"/>
  <c r="H43" i="1"/>
  <c r="I43" i="1" s="1"/>
  <c r="J43" i="1" s="1"/>
  <c r="H42" i="1"/>
  <c r="I42" i="1" s="1"/>
  <c r="J42" i="1" s="1"/>
  <c r="H41" i="1"/>
  <c r="H40" i="1"/>
  <c r="I40" i="1" s="1"/>
  <c r="J40" i="1" s="1"/>
  <c r="H39" i="1"/>
  <c r="I39" i="1" s="1"/>
  <c r="J39" i="1" s="1"/>
  <c r="H38" i="1"/>
  <c r="I38" i="1" s="1"/>
  <c r="J38" i="1" s="1"/>
  <c r="H36" i="1"/>
  <c r="I36" i="1" s="1"/>
  <c r="J36" i="1" s="1"/>
  <c r="H35" i="1"/>
  <c r="I35" i="1" s="1"/>
  <c r="J35" i="1" s="1"/>
  <c r="H34" i="1"/>
  <c r="H33" i="1"/>
  <c r="I33" i="1" s="1"/>
  <c r="J33" i="1" s="1"/>
  <c r="H31" i="1"/>
  <c r="H30" i="1"/>
  <c r="I30" i="1" s="1"/>
  <c r="J30" i="1" s="1"/>
  <c r="H29" i="1"/>
  <c r="I29" i="1" s="1"/>
  <c r="J29" i="1" s="1"/>
  <c r="H27" i="1"/>
  <c r="H26" i="1"/>
  <c r="H25" i="1"/>
  <c r="I53" i="1"/>
  <c r="J53" i="1" s="1"/>
  <c r="I52" i="1"/>
  <c r="J52" i="1" s="1"/>
  <c r="I51" i="1"/>
  <c r="J51" i="1" s="1"/>
  <c r="I50" i="1"/>
  <c r="J50" i="1" s="1"/>
  <c r="I49" i="1"/>
  <c r="I48" i="1"/>
  <c r="J48" i="1" s="1"/>
  <c r="I47" i="1"/>
  <c r="J47" i="1" s="1"/>
  <c r="I46" i="1"/>
  <c r="J46" i="1" s="1"/>
  <c r="I44" i="1"/>
  <c r="J44" i="1" s="1"/>
  <c r="I41" i="1"/>
  <c r="J41" i="1" s="1"/>
  <c r="I37" i="1"/>
  <c r="J37" i="1" s="1"/>
  <c r="I34" i="1"/>
  <c r="J34" i="1" s="1"/>
  <c r="I32" i="1"/>
  <c r="J32" i="1" s="1"/>
  <c r="I31" i="1"/>
  <c r="J31" i="1" s="1"/>
  <c r="I28" i="1"/>
  <c r="J28" i="1" s="1"/>
  <c r="I27" i="1"/>
  <c r="J27" i="1" s="1"/>
  <c r="I26" i="1"/>
  <c r="J26" i="1" s="1"/>
  <c r="I25" i="1"/>
  <c r="J25" i="1" s="1"/>
  <c r="I21" i="1"/>
  <c r="J21" i="1" s="1"/>
  <c r="I20" i="1"/>
  <c r="J20" i="1" s="1"/>
  <c r="I16" i="1"/>
  <c r="J16" i="1" s="1"/>
  <c r="I14" i="1"/>
  <c r="J14" i="1" s="1"/>
  <c r="I12" i="1"/>
  <c r="J12" i="1" s="1"/>
  <c r="I10" i="1"/>
  <c r="J10" i="1" s="1"/>
  <c r="I15" i="1"/>
  <c r="J15" i="1" s="1"/>
  <c r="I19" i="1"/>
  <c r="J19" i="1" s="1"/>
  <c r="I18" i="1"/>
  <c r="I17" i="1"/>
  <c r="J17" i="1" s="1"/>
  <c r="I13" i="1"/>
  <c r="J13" i="1" s="1"/>
  <c r="I8" i="1"/>
  <c r="J8" i="1" s="1"/>
  <c r="I11" i="1"/>
  <c r="J11" i="1" s="1"/>
  <c r="I9" i="1"/>
  <c r="J9" i="1" s="1"/>
  <c r="I7" i="1"/>
  <c r="J7" i="1" s="1"/>
  <c r="H6" i="1"/>
  <c r="I6" i="1" s="1"/>
  <c r="J49" i="1"/>
  <c r="F80" i="1"/>
  <c r="F54" i="1"/>
  <c r="F22" i="1"/>
  <c r="C80" i="1"/>
  <c r="C22" i="1"/>
  <c r="C54" i="1"/>
  <c r="E58" i="1"/>
  <c r="E60" i="1"/>
  <c r="E61" i="1"/>
  <c r="E62" i="1"/>
  <c r="E64" i="1"/>
  <c r="E65" i="1"/>
  <c r="E66" i="1"/>
  <c r="E67" i="1"/>
  <c r="E68" i="1"/>
  <c r="E69" i="1"/>
  <c r="E71" i="1"/>
  <c r="E72" i="1"/>
  <c r="E73" i="1"/>
  <c r="E74" i="1"/>
  <c r="E76" i="1"/>
  <c r="E77" i="1"/>
  <c r="E79" i="1"/>
  <c r="M78" i="1" s="1"/>
  <c r="E57" i="1"/>
  <c r="E26" i="1"/>
  <c r="E27" i="1"/>
  <c r="E29" i="1"/>
  <c r="E30" i="1"/>
  <c r="E31" i="1"/>
  <c r="E33" i="1"/>
  <c r="E34" i="1"/>
  <c r="E35" i="1"/>
  <c r="E36" i="1"/>
  <c r="E38" i="1"/>
  <c r="E39" i="1"/>
  <c r="E40" i="1"/>
  <c r="E41" i="1"/>
  <c r="E42" i="1"/>
  <c r="E43" i="1"/>
  <c r="E45" i="1"/>
  <c r="E47" i="1"/>
  <c r="E48" i="1"/>
  <c r="E51" i="1"/>
  <c r="E52" i="1"/>
  <c r="E25" i="1"/>
  <c r="M25" i="1" s="1"/>
  <c r="E8" i="1"/>
  <c r="M8" i="1" s="1"/>
  <c r="E9" i="1"/>
  <c r="E11" i="1"/>
  <c r="E13" i="1"/>
  <c r="E15" i="1"/>
  <c r="E16" i="1"/>
  <c r="E17" i="1"/>
  <c r="E18" i="1"/>
  <c r="E19" i="1"/>
  <c r="E7" i="1"/>
  <c r="E85" i="1"/>
  <c r="E86" i="1"/>
  <c r="E87" i="1"/>
  <c r="E88" i="1"/>
  <c r="E6" i="1"/>
  <c r="J6" i="1" l="1"/>
  <c r="M57" i="1"/>
  <c r="M75" i="1"/>
  <c r="M9" i="1"/>
  <c r="M26" i="1"/>
  <c r="M70" i="1"/>
  <c r="M6" i="1"/>
  <c r="M85" i="1"/>
  <c r="M35" i="1"/>
  <c r="H124" i="1"/>
  <c r="H157" i="1"/>
  <c r="I128" i="1"/>
  <c r="J128" i="1" s="1"/>
  <c r="J157" i="1" s="1"/>
  <c r="H22" i="1"/>
  <c r="H54" i="1"/>
  <c r="H80" i="1"/>
  <c r="I73" i="1"/>
  <c r="J73" i="1" s="1"/>
  <c r="I124" i="1"/>
  <c r="J124" i="1"/>
  <c r="J88" i="1"/>
  <c r="J57" i="1"/>
  <c r="J54" i="1"/>
  <c r="I54" i="1"/>
  <c r="J18" i="1"/>
  <c r="I22" i="1"/>
  <c r="E54" i="1"/>
  <c r="E80" i="1"/>
  <c r="E22" i="1"/>
  <c r="F23" i="1" s="1"/>
  <c r="F55" i="1" s="1"/>
  <c r="H90" i="1"/>
  <c r="I90" i="1" s="1"/>
  <c r="J90" i="1" s="1"/>
  <c r="H98" i="1"/>
  <c r="I98" i="1" s="1"/>
  <c r="J98" i="1" s="1"/>
  <c r="H97" i="1"/>
  <c r="I97" i="1" s="1"/>
  <c r="J97" i="1" s="1"/>
  <c r="I157" i="1" l="1"/>
  <c r="J22" i="1"/>
  <c r="J23" i="1" s="1"/>
  <c r="J55" i="1" s="1"/>
  <c r="F81" i="1"/>
  <c r="M80" i="1"/>
  <c r="M54" i="1"/>
  <c r="I80" i="1"/>
  <c r="J101" i="1"/>
  <c r="J80" i="1"/>
  <c r="I101" i="1"/>
  <c r="H101" i="1"/>
  <c r="C23" i="1"/>
  <c r="C55" i="1" s="1"/>
  <c r="C81" i="1" s="1"/>
  <c r="E128" i="1"/>
  <c r="C157" i="1"/>
  <c r="E154" i="1"/>
  <c r="E153" i="1"/>
  <c r="E151" i="1"/>
  <c r="E150" i="1"/>
  <c r="E149" i="1"/>
  <c r="E148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1" i="1"/>
  <c r="E130" i="1"/>
  <c r="J81" i="1" l="1"/>
  <c r="M131" i="1"/>
  <c r="J102" i="1"/>
  <c r="J125" i="1" s="1"/>
  <c r="J158" i="1" s="1"/>
  <c r="M153" i="1"/>
  <c r="M141" i="1"/>
  <c r="M127" i="1"/>
  <c r="E157" i="1"/>
  <c r="F124" i="1"/>
  <c r="M157" i="1" l="1"/>
  <c r="C124" i="1"/>
  <c r="E122" i="1"/>
  <c r="E121" i="1"/>
  <c r="E120" i="1"/>
  <c r="E119" i="1"/>
  <c r="E118" i="1"/>
  <c r="E116" i="1"/>
  <c r="E115" i="1"/>
  <c r="E113" i="1"/>
  <c r="M112" i="1" s="1"/>
  <c r="E110" i="1"/>
  <c r="E109" i="1"/>
  <c r="E108" i="1"/>
  <c r="E107" i="1"/>
  <c r="E106" i="1"/>
  <c r="E105" i="1"/>
  <c r="E104" i="1"/>
  <c r="M104" i="1" l="1"/>
  <c r="M118" i="1"/>
  <c r="M120" i="1"/>
  <c r="E124" i="1"/>
  <c r="F101" i="1"/>
  <c r="E97" i="1"/>
  <c r="C101" i="1"/>
  <c r="E100" i="1"/>
  <c r="E99" i="1"/>
  <c r="E98" i="1"/>
  <c r="E96" i="1"/>
  <c r="E94" i="1"/>
  <c r="E93" i="1"/>
  <c r="E92" i="1"/>
  <c r="E91" i="1"/>
  <c r="E90" i="1"/>
  <c r="E89" i="1"/>
  <c r="M87" i="1" l="1"/>
  <c r="M93" i="1"/>
  <c r="M101" i="1" s="1"/>
  <c r="M124" i="1"/>
  <c r="E101" i="1"/>
  <c r="C102" i="1" s="1"/>
  <c r="F102" i="1" l="1"/>
  <c r="F125" i="1" s="1"/>
  <c r="F158" i="1" s="1"/>
  <c r="M158" i="1"/>
  <c r="C125" i="1"/>
</calcChain>
</file>

<file path=xl/sharedStrings.xml><?xml version="1.0" encoding="utf-8"?>
<sst xmlns="http://schemas.openxmlformats.org/spreadsheetml/2006/main" count="371" uniqueCount="227">
  <si>
    <t>Сана</t>
  </si>
  <si>
    <t>Корхона номи</t>
  </si>
  <si>
    <t>Жами:</t>
  </si>
  <si>
    <t>х</t>
  </si>
  <si>
    <t>2018 йил</t>
  </si>
  <si>
    <t>2017 йил</t>
  </si>
  <si>
    <t>04.01.2018</t>
  </si>
  <si>
    <t>12.01.2018</t>
  </si>
  <si>
    <t>28.01.2018</t>
  </si>
  <si>
    <t>31.01.2018</t>
  </si>
  <si>
    <t>05.02.2018</t>
  </si>
  <si>
    <t>02.03.2018</t>
  </si>
  <si>
    <t>05.03.2018</t>
  </si>
  <si>
    <t>30.05.2018</t>
  </si>
  <si>
    <t>19.06.2018</t>
  </si>
  <si>
    <t>22.06.2018</t>
  </si>
  <si>
    <t>27.07.2018</t>
  </si>
  <si>
    <t>17.09.2018</t>
  </si>
  <si>
    <t>19.10.2018</t>
  </si>
  <si>
    <t>27.11.2018</t>
  </si>
  <si>
    <t>12.12.2018</t>
  </si>
  <si>
    <t>28.03.2018</t>
  </si>
  <si>
    <t>28.05.2018</t>
  </si>
  <si>
    <t>21.12.2018</t>
  </si>
  <si>
    <t>2019 йил</t>
  </si>
  <si>
    <t xml:space="preserve">МЧЖ шаклидаги "GUZOR YI JIE" хориж корхонасини ягона солиқ тўлови бўйича хисоб китоби </t>
  </si>
  <si>
    <t>Ягона солиқ ставкаси</t>
  </si>
  <si>
    <t>Ягона солиқ учун тўлов (сум)</t>
  </si>
  <si>
    <t>ЯГОНА СОЛИҚ ТЎЛОВИ</t>
  </si>
  <si>
    <t>Ғишт учун тўлов</t>
  </si>
  <si>
    <t>15.06.2017</t>
  </si>
  <si>
    <t>28.06.2017</t>
  </si>
  <si>
    <t>24.07.2017</t>
  </si>
  <si>
    <t>26.07.2017</t>
  </si>
  <si>
    <t>21.08.2017</t>
  </si>
  <si>
    <t>22.08.2017</t>
  </si>
  <si>
    <t>29.09.2017</t>
  </si>
  <si>
    <t>28.10.2017</t>
  </si>
  <si>
    <t>22.11.2017</t>
  </si>
  <si>
    <t>23.11.2017</t>
  </si>
  <si>
    <t>07.12.2017</t>
  </si>
  <si>
    <t>20.12.2017</t>
  </si>
  <si>
    <t>26.12.2017</t>
  </si>
  <si>
    <t>Ғишт сони</t>
  </si>
  <si>
    <t>Карши Иншоат Таъмир Курилиш МЧЖ</t>
  </si>
  <si>
    <t>ПАЙВАНДЛАШ ХУСУСИЙ КИЧИК КОРХОНАСИ</t>
  </si>
  <si>
    <t>12.11.2014</t>
  </si>
  <si>
    <t>Меликов Акобир Кеш МЧЖ</t>
  </si>
  <si>
    <t>27.11.2014</t>
  </si>
  <si>
    <t>'UGAM DRILLING' МЧЖ</t>
  </si>
  <si>
    <t>29.11.2014</t>
  </si>
  <si>
    <t>'Umumiy neftegaz qurilish' мчж</t>
  </si>
  <si>
    <t>05.12.2014</t>
  </si>
  <si>
    <t>12.12.2014</t>
  </si>
  <si>
    <t>22.12.2014</t>
  </si>
  <si>
    <t>21.11.2014</t>
  </si>
  <si>
    <t>Гузор туман ДСИ</t>
  </si>
  <si>
    <t>25.12.2014</t>
  </si>
  <si>
    <t>27.12.2014</t>
  </si>
  <si>
    <t>26.01.2015</t>
  </si>
  <si>
    <t>ХИЗМАТ ФИРМАСИ</t>
  </si>
  <si>
    <t>06.04.2015</t>
  </si>
  <si>
    <t>'СИФАТ ГРАНТ УСТО МЕЪМОР' КТК ККИ 2015 й Шуртан массиви</t>
  </si>
  <si>
    <t>08.04.2015</t>
  </si>
  <si>
    <t>04.05.2015</t>
  </si>
  <si>
    <t>26.05.2015</t>
  </si>
  <si>
    <t>03.06.2015</t>
  </si>
  <si>
    <t>05.06.2015</t>
  </si>
  <si>
    <t>29.06.2015</t>
  </si>
  <si>
    <t>ГУЗОР ТУМАН ' ЕР ТУЗИШ ВА КУЧМАС МУЛК КАДАСТР ДАВ</t>
  </si>
  <si>
    <t>03.07.2015</t>
  </si>
  <si>
    <t>07.07.2015</t>
  </si>
  <si>
    <t>13.07.2015</t>
  </si>
  <si>
    <t>14.07.2015</t>
  </si>
  <si>
    <t>20.07.2015</t>
  </si>
  <si>
    <t>27.07.2015</t>
  </si>
  <si>
    <t>29.07.2015</t>
  </si>
  <si>
    <t>07.08.2015</t>
  </si>
  <si>
    <t>20.08.2015</t>
  </si>
  <si>
    <t>23.09.2015</t>
  </si>
  <si>
    <t>'LT TEXTILE INTERNATIONAL' МЧЖ шаклдигаги хорижий</t>
  </si>
  <si>
    <t>30.09.2015</t>
  </si>
  <si>
    <t>'Сатурн курилиш инвест' хусусий корхонаси - Гузор тумани 'Ма</t>
  </si>
  <si>
    <t>Бобомуродов Номоз Тухтаевич х/ф Cчет ссудных обяза</t>
  </si>
  <si>
    <t>17.04.2015</t>
  </si>
  <si>
    <t>Гузор т ДСИ</t>
  </si>
  <si>
    <t>04.06.2015</t>
  </si>
  <si>
    <t>21.08.2015</t>
  </si>
  <si>
    <t>25.09.2015</t>
  </si>
  <si>
    <t>12.10.2015</t>
  </si>
  <si>
    <t>04.02.2016</t>
  </si>
  <si>
    <t>27.01.2016</t>
  </si>
  <si>
    <t>Тоштемиров Жахонгир Бунёдкор курувчи ККИ 2016 й Карши т Чавк</t>
  </si>
  <si>
    <t>11.02.2016</t>
  </si>
  <si>
    <t>15.02.2016</t>
  </si>
  <si>
    <t>'NEFTEGAZ SUV INSHOAT QURILISH' хусусий корхонаси</t>
  </si>
  <si>
    <t>SHOXRUXBEK INBEST PLUS MCHJ</t>
  </si>
  <si>
    <t>18.02.2016</t>
  </si>
  <si>
    <t>Месет-4 хусусий улгуржи ишлаб чикариш корхонаси</t>
  </si>
  <si>
    <t>22.02.2016</t>
  </si>
  <si>
    <t>23.02.2016</t>
  </si>
  <si>
    <t>24.02.2016</t>
  </si>
  <si>
    <t>25.02.2016</t>
  </si>
  <si>
    <t>25.03.2016</t>
  </si>
  <si>
    <t>ASINZA-BZ Масулияти чекланган жамияти</t>
  </si>
  <si>
    <t>29.04.2016</t>
  </si>
  <si>
    <t>05.05.2016</t>
  </si>
  <si>
    <t>10.06.2016</t>
  </si>
  <si>
    <t>28.06.2016</t>
  </si>
  <si>
    <t>29.08.2016</t>
  </si>
  <si>
    <t>'NEFTEGAZ SOF-SAVDO' МЧЖ Cчет ссудных обязательств</t>
  </si>
  <si>
    <t>28.09.2016</t>
  </si>
  <si>
    <t>20.12.2016</t>
  </si>
  <si>
    <t>28.04.2016</t>
  </si>
  <si>
    <t>11.07.2016</t>
  </si>
  <si>
    <t>ИТОГО:</t>
  </si>
  <si>
    <t>2016 йил</t>
  </si>
  <si>
    <t>2015 йил</t>
  </si>
  <si>
    <t>2014 йил</t>
  </si>
  <si>
    <t>31.10.2014</t>
  </si>
  <si>
    <t>13.11.2014</t>
  </si>
  <si>
    <t>11.08.2015</t>
  </si>
  <si>
    <t>16.02.2016</t>
  </si>
  <si>
    <t>25.10.2016</t>
  </si>
  <si>
    <t>Казначейство Министерство Финансов РУз</t>
  </si>
  <si>
    <t>16.01.2019</t>
  </si>
  <si>
    <t>25.01.2019</t>
  </si>
  <si>
    <t>26.03.2019</t>
  </si>
  <si>
    <t>29.03.2019</t>
  </si>
  <si>
    <t>22.05.2019</t>
  </si>
  <si>
    <t>28.05.2019</t>
  </si>
  <si>
    <t>03.06.2019</t>
  </si>
  <si>
    <t>04.06.2019</t>
  </si>
  <si>
    <t>10.06.2019</t>
  </si>
  <si>
    <t>14.06.2019</t>
  </si>
  <si>
    <t>17.06.2019</t>
  </si>
  <si>
    <t>19.06.2019</t>
  </si>
  <si>
    <t>02.07.2019</t>
  </si>
  <si>
    <t>03.07.2019</t>
  </si>
  <si>
    <t>16.07.2019</t>
  </si>
  <si>
    <t>17.07.2019</t>
  </si>
  <si>
    <t>25.07.2019</t>
  </si>
  <si>
    <t>26.07.2019</t>
  </si>
  <si>
    <t>29.07.2019</t>
  </si>
  <si>
    <t>02.08.2019</t>
  </si>
  <si>
    <t>19.08.2019</t>
  </si>
  <si>
    <t>30.08.2019</t>
  </si>
  <si>
    <t>08.10.2019</t>
  </si>
  <si>
    <t>06.11.2019</t>
  </si>
  <si>
    <t>ставка</t>
  </si>
  <si>
    <t>Хисобланди</t>
  </si>
  <si>
    <t>Ягона солиқ тўлови</t>
  </si>
  <si>
    <t>Тўланди</t>
  </si>
  <si>
    <t>Ер қаридан фойдаланганлиги учун солиқ тўлови</t>
  </si>
  <si>
    <t>12.09.2019</t>
  </si>
  <si>
    <t>Казначейство Министерства финансов Республики Узбекистан</t>
  </si>
  <si>
    <t>01.01.2015 колдик</t>
  </si>
  <si>
    <t>01.01.2016 йил холатига қолдиқ</t>
  </si>
  <si>
    <t>01.01.2017 йил холатига қолдиқ</t>
  </si>
  <si>
    <t>01.01.2018 йил холатига қолдиқ</t>
  </si>
  <si>
    <t>01.01.2019 йил холатига қолдиқ</t>
  </si>
  <si>
    <t>DILFAYZ FIRMASI</t>
  </si>
  <si>
    <t>МУБОРАК ГАЗ-ПЕНО ИНВЕСТ МЧЖ</t>
  </si>
  <si>
    <t>KESH KELAJAK MONTAJ МЧЖ</t>
  </si>
  <si>
    <t>ИССИҚЛИК ТАРМОҒИ ҚУРИЛИШ МЧЖ</t>
  </si>
  <si>
    <t>ҚАРШИ АВИА ҚУРИЛИШ МОНТАЖ МЧЖ</t>
  </si>
  <si>
    <t>ПАЙВАЙНДЛАШ ХУСУСИЙ КИЧИК КОРХОНАСИ</t>
  </si>
  <si>
    <t xml:space="preserve"> МУБОРАК ГАЗ-ПЕНО ИНВЕСТ МЧЖ</t>
  </si>
  <si>
    <t>САЙЁР ХУСУСИЙ И/Ч КОРХОНАСИ</t>
  </si>
  <si>
    <t>СИФАТ ГРАНТ УСТА МЕЪМОР курилиш таъмир корхонси</t>
  </si>
  <si>
    <t xml:space="preserve"> KESH KELAJAK MONTAJ МЧЖ</t>
  </si>
  <si>
    <t>ООО KESH KELAJAK MONTAJ</t>
  </si>
  <si>
    <t>PAXTA SANOAT MEBEL M.CH.J</t>
  </si>
  <si>
    <t>Муборак Газ-Пено Инвест МЧЖ</t>
  </si>
  <si>
    <t>KESH DILFAYZ INVEST Мах.ихтисос.кур . таъ. МЧЖ Янги бог массиви</t>
  </si>
  <si>
    <t>ДИЛФАЙЗ ФИРМА</t>
  </si>
  <si>
    <t>Бетон авто транс хусусий корхонаси</t>
  </si>
  <si>
    <t>ҒУЗОР БУНЁДКОРИ ҚУРИЛИШ КОРХОНАСИ</t>
  </si>
  <si>
    <t>ҚАМАШИ ТАЪМИНОТ ВА ТИЖОРАТ МЧЖ</t>
  </si>
  <si>
    <t>Florensiya-Samarkand Масъулияти чек ланган жамият</t>
  </si>
  <si>
    <t>ПАЙВАНДЛАШ ХУСУСИЙ КОРХОНАСИ</t>
  </si>
  <si>
    <t>НАСАФ НЕФТЕГАЗ ҚУРИЛИШ ТАЪМИР  МЧЖ</t>
  </si>
  <si>
    <t xml:space="preserve"> НАСАФ НЕФТЕГАЗ ҚУРИЛИШ ТАЪМИР  МЧЖ</t>
  </si>
  <si>
    <t>CPP NBCC PROJECT PE</t>
  </si>
  <si>
    <t>ИННАВАЦИОН ҚУРИЛИШ ВА ТАЪМИРЛАШ МЧЖ</t>
  </si>
  <si>
    <t xml:space="preserve"> ТОШТЕМИРОВ ЖАХОНГИР БУНЁДКОР ҚУРУВЧИ</t>
  </si>
  <si>
    <t>ТОШТЕМИРОВ ЖАХОНГИР БУНЁДКОР ҚУРУВЧИ</t>
  </si>
  <si>
    <t>БЕТОН АВТОТРАНС Х/К</t>
  </si>
  <si>
    <t>РЕАЛ ПРОМ Х/К</t>
  </si>
  <si>
    <t>ЗАЛАТАЯ ИЗБА Х/К</t>
  </si>
  <si>
    <t>НОРСАФАРОВ ЗАФАР МЕРГАНОВИЧ</t>
  </si>
  <si>
    <t>II</t>
  </si>
  <si>
    <t>III</t>
  </si>
  <si>
    <t>IV</t>
  </si>
  <si>
    <t>I</t>
  </si>
  <si>
    <t>Итого:</t>
  </si>
  <si>
    <t>Всего</t>
  </si>
  <si>
    <t>Квартал</t>
  </si>
  <si>
    <t>Квартал йигиндиси</t>
  </si>
  <si>
    <t>Хисобланди (3х4)</t>
  </si>
  <si>
    <t>Хисобланди 8х4000</t>
  </si>
  <si>
    <t xml:space="preserve">Изох:    1). 350 (1 м3 тупрокдан чикадиган ишт сони 350;                         2) 1,63 (1м3 тупрок огирлиги 1,63 тонна) </t>
  </si>
  <si>
    <t>Тупроқ (кг) 7/350*1,63 (жами сотилган гишт сонини 350 (1м3 дан чикадиган гишт сони)га булиниб, 1,63 тонна (1 м3даги тупрок огирлиги) га купайтирилади)</t>
  </si>
  <si>
    <t>Электр энергияси</t>
  </si>
  <si>
    <t>Иш хаки</t>
  </si>
  <si>
    <t>Кумир харажати</t>
  </si>
  <si>
    <t>Ягона ижтимоий тулов</t>
  </si>
  <si>
    <t>Ер солиги</t>
  </si>
  <si>
    <t>Банк харажатлари</t>
  </si>
  <si>
    <t>Бошка харажатлар</t>
  </si>
  <si>
    <t>Харажат турлари</t>
  </si>
  <si>
    <t>1 м3</t>
  </si>
  <si>
    <t>1 м3 тупрокдан олинадиган гишт сони</t>
  </si>
  <si>
    <t>Плёнка харажати</t>
  </si>
  <si>
    <t>Туланиши керак булган недра солиги суммаси</t>
  </si>
  <si>
    <t>Хакикатда туланган недра солиги суммаси</t>
  </si>
  <si>
    <t>Хакикатда сотилган гишт  микдори м3 дона</t>
  </si>
  <si>
    <t>Пенсия фонди</t>
  </si>
  <si>
    <t>Транспорт хизмати</t>
  </si>
  <si>
    <t>кг</t>
  </si>
  <si>
    <t>дона</t>
  </si>
  <si>
    <t>Жами тўланиши керак бўлган недра солиғи суммаси:</t>
  </si>
  <si>
    <t>НЕДРА СОЛИҒИНИ ХИСОБЛАШ ТАРТИБИ</t>
  </si>
  <si>
    <t>ЯГОНА СОЛИҚ ТЎЛОВИ наличка</t>
  </si>
  <si>
    <t>Бир дона гишт учун недра солиги 3,5%</t>
  </si>
  <si>
    <t>Жами сотилган гишт учун недра солиги 3,5%</t>
  </si>
  <si>
    <t>1 дона гишт бахоси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</si>
</sst>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.000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4" fontId="2" fillId="0" borderId="1" xfId="0" applyNumberFormat="1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right" vertical="center" wrapText="1"/>
    </xf>
    <xf numFmtId="49" fontId="5" fillId="0" borderId="1" xfId="0" applyNumberFormat="1" applyFont="1" applyBorder="1" applyAlignment="1">
      <alignment vertical="center" wrapText="1"/>
    </xf>
    <xf numFmtId="2" fontId="5" fillId="0" borderId="1" xfId="0" applyNumberFormat="1" applyFont="1" applyBorder="1" applyAlignment="1">
      <alignment vertical="center" wrapText="1"/>
    </xf>
    <xf numFmtId="0" fontId="0" fillId="0" borderId="1" xfId="0" applyBorder="1"/>
    <xf numFmtId="49" fontId="6" fillId="0" borderId="1" xfId="0" applyNumberFormat="1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4" fontId="7" fillId="0" borderId="1" xfId="0" applyNumberFormat="1" applyFont="1" applyBorder="1" applyAlignment="1">
      <alignment horizontal="center" vertical="center"/>
    </xf>
    <xf numFmtId="9" fontId="7" fillId="0" borderId="1" xfId="0" applyNumberFormat="1" applyFont="1" applyBorder="1" applyAlignment="1">
      <alignment horizontal="center" vertical="center"/>
    </xf>
    <xf numFmtId="4" fontId="1" fillId="0" borderId="3" xfId="0" applyNumberFormat="1" applyFont="1" applyBorder="1" applyAlignment="1">
      <alignment horizontal="center" vertical="center"/>
    </xf>
    <xf numFmtId="4" fontId="2" fillId="0" borderId="3" xfId="0" applyNumberFormat="1" applyFont="1" applyBorder="1" applyAlignment="1">
      <alignment horizontal="center" vertical="center"/>
    </xf>
    <xf numFmtId="4" fontId="7" fillId="0" borderId="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49" fontId="5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4" fontId="1" fillId="0" borderId="1" xfId="0" applyNumberFormat="1" applyFont="1" applyBorder="1" applyAlignment="1">
      <alignment horizontal="center" vertical="center"/>
    </xf>
    <xf numFmtId="4" fontId="1" fillId="0" borderId="7" xfId="0" applyNumberFormat="1" applyFont="1" applyBorder="1" applyAlignment="1">
      <alignment horizontal="center" vertical="center"/>
    </xf>
    <xf numFmtId="4" fontId="2" fillId="0" borderId="3" xfId="0" applyNumberFormat="1" applyFont="1" applyBorder="1" applyAlignment="1">
      <alignment horizontal="center" vertical="center" wrapText="1"/>
    </xf>
    <xf numFmtId="14" fontId="5" fillId="0" borderId="8" xfId="0" applyNumberFormat="1" applyFont="1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4" fontId="1" fillId="0" borderId="9" xfId="0" applyNumberFormat="1" applyFont="1" applyBorder="1" applyAlignment="1">
      <alignment horizontal="center" vertical="center"/>
    </xf>
    <xf numFmtId="9" fontId="1" fillId="0" borderId="9" xfId="0" applyNumberFormat="1" applyFont="1" applyBorder="1" applyAlignment="1">
      <alignment horizontal="center" vertical="center"/>
    </xf>
    <xf numFmtId="4" fontId="1" fillId="0" borderId="10" xfId="0" applyNumberFormat="1" applyFont="1" applyBorder="1" applyAlignment="1">
      <alignment horizontal="center" vertical="center"/>
    </xf>
    <xf numFmtId="14" fontId="5" fillId="0" borderId="13" xfId="0" applyNumberFormat="1" applyFont="1" applyBorder="1" applyAlignment="1">
      <alignment vertical="center" wrapText="1"/>
    </xf>
    <xf numFmtId="4" fontId="1" fillId="0" borderId="15" xfId="0" applyNumberFormat="1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4" fontId="7" fillId="0" borderId="15" xfId="0" applyNumberFormat="1" applyFont="1" applyBorder="1" applyAlignment="1">
      <alignment horizontal="center" vertical="center"/>
    </xf>
    <xf numFmtId="14" fontId="1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4" fontId="7" fillId="0" borderId="17" xfId="0" applyNumberFormat="1" applyFont="1" applyBorder="1" applyAlignment="1">
      <alignment horizontal="center" vertical="center"/>
    </xf>
    <xf numFmtId="9" fontId="1" fillId="0" borderId="17" xfId="0" applyNumberFormat="1" applyFont="1" applyBorder="1" applyAlignment="1">
      <alignment horizontal="center" vertical="center"/>
    </xf>
    <xf numFmtId="4" fontId="1" fillId="0" borderId="17" xfId="0" applyNumberFormat="1" applyFont="1" applyBorder="1" applyAlignment="1">
      <alignment horizontal="center" vertical="center"/>
    </xf>
    <xf numFmtId="4" fontId="2" fillId="0" borderId="17" xfId="0" applyNumberFormat="1" applyFont="1" applyBorder="1" applyAlignment="1">
      <alignment horizontal="center" vertical="center"/>
    </xf>
    <xf numFmtId="4" fontId="2" fillId="0" borderId="18" xfId="0" applyNumberFormat="1" applyFont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0" xfId="0" applyBorder="1"/>
    <xf numFmtId="0" fontId="0" fillId="0" borderId="26" xfId="0" applyBorder="1"/>
    <xf numFmtId="4" fontId="2" fillId="0" borderId="15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0" fontId="0" fillId="0" borderId="9" xfId="0" applyBorder="1"/>
    <xf numFmtId="14" fontId="2" fillId="0" borderId="13" xfId="0" applyNumberFormat="1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9" fontId="2" fillId="0" borderId="17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4" fontId="4" fillId="0" borderId="13" xfId="0" applyNumberFormat="1" applyFont="1" applyBorder="1" applyAlignment="1">
      <alignment horizontal="left" vertical="center" wrapText="1"/>
    </xf>
    <xf numFmtId="4" fontId="2" fillId="0" borderId="27" xfId="0" applyNumberFormat="1" applyFont="1" applyBorder="1" applyAlignment="1">
      <alignment horizontal="center" vertical="center"/>
    </xf>
    <xf numFmtId="0" fontId="7" fillId="0" borderId="5" xfId="0" applyNumberFormat="1" applyFont="1" applyBorder="1" applyAlignment="1">
      <alignment horizontal="center" vertical="center" wrapText="1"/>
    </xf>
    <xf numFmtId="14" fontId="1" fillId="0" borderId="28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4" fontId="7" fillId="0" borderId="0" xfId="0" applyNumberFormat="1" applyFont="1" applyBorder="1" applyAlignment="1">
      <alignment horizontal="center" vertical="center"/>
    </xf>
    <xf numFmtId="9" fontId="1" fillId="0" borderId="0" xfId="0" applyNumberFormat="1" applyFont="1" applyBorder="1" applyAlignment="1">
      <alignment horizontal="center" vertical="center"/>
    </xf>
    <xf numFmtId="4" fontId="1" fillId="0" borderId="0" xfId="0" applyNumberFormat="1" applyFont="1" applyBorder="1" applyAlignment="1">
      <alignment horizontal="center" vertical="center"/>
    </xf>
    <xf numFmtId="4" fontId="2" fillId="0" borderId="0" xfId="0" applyNumberFormat="1" applyFont="1" applyBorder="1" applyAlignment="1">
      <alignment horizontal="center" vertical="center"/>
    </xf>
    <xf numFmtId="0" fontId="9" fillId="0" borderId="1" xfId="0" applyFont="1" applyBorder="1"/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" fontId="12" fillId="0" borderId="1" xfId="0" applyNumberFormat="1" applyFont="1" applyBorder="1"/>
    <xf numFmtId="4" fontId="7" fillId="0" borderId="1" xfId="0" applyNumberFormat="1" applyFont="1" applyBorder="1"/>
    <xf numFmtId="0" fontId="10" fillId="0" borderId="1" xfId="0" applyFont="1" applyBorder="1"/>
    <xf numFmtId="164" fontId="12" fillId="0" borderId="1" xfId="0" applyNumberFormat="1" applyFont="1" applyBorder="1" applyAlignment="1">
      <alignment horizontal="right" vertical="center"/>
    </xf>
    <xf numFmtId="4" fontId="12" fillId="0" borderId="1" xfId="0" applyNumberFormat="1" applyFont="1" applyBorder="1" applyAlignment="1">
      <alignment horizontal="right"/>
    </xf>
    <xf numFmtId="4" fontId="12" fillId="0" borderId="1" xfId="0" applyNumberFormat="1" applyFont="1" applyBorder="1" applyAlignment="1">
      <alignment horizontal="right" vertical="center"/>
    </xf>
    <xf numFmtId="4" fontId="7" fillId="0" borderId="1" xfId="0" applyNumberFormat="1" applyFont="1" applyBorder="1" applyAlignment="1">
      <alignment horizontal="right"/>
    </xf>
    <xf numFmtId="4" fontId="7" fillId="0" borderId="1" xfId="0" applyNumberFormat="1" applyFont="1" applyBorder="1" applyAlignment="1">
      <alignment horizontal="right" vertical="center"/>
    </xf>
    <xf numFmtId="0" fontId="0" fillId="0" borderId="0" xfId="0" applyAlignment="1">
      <alignment horizontal="right"/>
    </xf>
    <xf numFmtId="4" fontId="7" fillId="0" borderId="0" xfId="0" applyNumberFormat="1" applyFont="1" applyBorder="1" applyAlignment="1">
      <alignment horizontal="right" vertical="center"/>
    </xf>
    <xf numFmtId="0" fontId="12" fillId="0" borderId="1" xfId="0" applyFont="1" applyBorder="1" applyAlignment="1">
      <alignment horizontal="right" vertical="center" wrapText="1"/>
    </xf>
    <xf numFmtId="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64" fontId="12" fillId="0" borderId="3" xfId="0" applyNumberFormat="1" applyFont="1" applyBorder="1" applyAlignment="1">
      <alignment horizontal="right" vertical="center"/>
    </xf>
    <xf numFmtId="164" fontId="12" fillId="0" borderId="0" xfId="0" applyNumberFormat="1" applyFont="1" applyFill="1" applyBorder="1" applyAlignment="1">
      <alignment horizontal="right" vertical="center"/>
    </xf>
    <xf numFmtId="4" fontId="12" fillId="0" borderId="0" xfId="0" applyNumberFormat="1" applyFont="1" applyBorder="1"/>
    <xf numFmtId="4" fontId="12" fillId="0" borderId="0" xfId="0" applyNumberFormat="1" applyFont="1" applyBorder="1" applyAlignment="1">
      <alignment horizontal="right" vertical="center"/>
    </xf>
    <xf numFmtId="165" fontId="12" fillId="0" borderId="0" xfId="0" applyNumberFormat="1" applyFont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" fontId="12" fillId="0" borderId="0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 wrapText="1"/>
    </xf>
    <xf numFmtId="14" fontId="2" fillId="0" borderId="23" xfId="0" applyNumberFormat="1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 wrapText="1"/>
    </xf>
    <xf numFmtId="4" fontId="2" fillId="0" borderId="6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" fontId="1" fillId="0" borderId="15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center" vertical="center" wrapText="1"/>
    </xf>
    <xf numFmtId="14" fontId="2" fillId="0" borderId="21" xfId="0" applyNumberFormat="1" applyFont="1" applyBorder="1" applyAlignment="1">
      <alignment horizontal="center" vertical="center"/>
    </xf>
    <xf numFmtId="14" fontId="2" fillId="0" borderId="22" xfId="0" applyNumberFormat="1" applyFont="1" applyBorder="1" applyAlignment="1">
      <alignment horizontal="center" vertical="center"/>
    </xf>
    <xf numFmtId="14" fontId="2" fillId="0" borderId="23" xfId="0" applyNumberFormat="1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 wrapText="1"/>
    </xf>
    <xf numFmtId="4" fontId="2" fillId="0" borderId="6" xfId="0" applyNumberFormat="1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4" fontId="1" fillId="0" borderId="11" xfId="0" applyNumberFormat="1" applyFont="1" applyBorder="1" applyAlignment="1">
      <alignment horizontal="center" vertical="center"/>
    </xf>
    <xf numFmtId="4" fontId="1" fillId="0" borderId="6" xfId="0" applyNumberFormat="1" applyFont="1" applyBorder="1" applyAlignment="1">
      <alignment horizontal="center" vertical="center"/>
    </xf>
    <xf numFmtId="4" fontId="1" fillId="0" borderId="12" xfId="0" applyNumberFormat="1" applyFont="1" applyBorder="1" applyAlignment="1">
      <alignment horizontal="center" vertical="center"/>
    </xf>
    <xf numFmtId="4" fontId="1" fillId="0" borderId="14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right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8"/>
  <sheetViews>
    <sheetView tabSelected="1" view="pageBreakPreview" topLeftCell="A37" zoomScaleNormal="100" zoomScaleSheetLayoutView="100" workbookViewId="0">
      <selection activeCell="A25" sqref="A25:H54"/>
    </sheetView>
  </sheetViews>
  <sheetFormatPr defaultRowHeight="15" x14ac:dyDescent="0.25"/>
  <cols>
    <col min="1" max="1" width="10.140625" bestFit="1" customWidth="1"/>
    <col min="2" max="2" width="49.7109375" customWidth="1"/>
    <col min="3" max="3" width="12.42578125" customWidth="1"/>
    <col min="4" max="4" width="6" customWidth="1"/>
    <col min="5" max="5" width="12.42578125" customWidth="1"/>
    <col min="6" max="6" width="12.28515625" customWidth="1"/>
    <col min="7" max="7" width="11.85546875" customWidth="1"/>
    <col min="8" max="8" width="10" customWidth="1"/>
    <col min="9" max="9" width="12.5703125" customWidth="1"/>
    <col min="10" max="10" width="11.85546875" customWidth="1"/>
    <col min="11" max="11" width="11.28515625" customWidth="1"/>
    <col min="12" max="12" width="8.28515625" customWidth="1"/>
    <col min="13" max="13" width="12.42578125" customWidth="1"/>
    <col min="14" max="14" width="13.140625" customWidth="1"/>
  </cols>
  <sheetData>
    <row r="1" spans="1:13" ht="21" customHeight="1" x14ac:dyDescent="0.25">
      <c r="A1" s="99" t="s">
        <v>25</v>
      </c>
      <c r="B1" s="99"/>
      <c r="C1" s="99"/>
      <c r="D1" s="99"/>
      <c r="E1" s="99"/>
      <c r="F1" s="99"/>
      <c r="G1" s="99"/>
      <c r="H1" s="100"/>
      <c r="I1" s="100"/>
      <c r="J1" s="100"/>
      <c r="K1" s="100"/>
      <c r="L1" s="100"/>
      <c r="M1" s="100"/>
    </row>
    <row r="2" spans="1:13" ht="25.5" customHeight="1" x14ac:dyDescent="0.25">
      <c r="A2" s="113" t="s">
        <v>118</v>
      </c>
      <c r="B2" s="113"/>
      <c r="C2" s="113"/>
      <c r="D2" s="113"/>
      <c r="E2" s="113"/>
      <c r="F2" s="113"/>
      <c r="G2" s="113"/>
      <c r="H2" s="113"/>
      <c r="I2" s="113" t="s">
        <v>201</v>
      </c>
      <c r="J2" s="113"/>
      <c r="K2" s="113"/>
      <c r="L2" s="113"/>
      <c r="M2" s="113"/>
    </row>
    <row r="3" spans="1:13" ht="15.75" customHeight="1" x14ac:dyDescent="0.25">
      <c r="A3" s="101" t="s">
        <v>0</v>
      </c>
      <c r="B3" s="109" t="s">
        <v>1</v>
      </c>
      <c r="C3" s="109" t="s">
        <v>29</v>
      </c>
      <c r="D3" s="110" t="s">
        <v>151</v>
      </c>
      <c r="E3" s="110"/>
      <c r="F3" s="110"/>
      <c r="G3" s="91"/>
      <c r="H3" s="102" t="s">
        <v>153</v>
      </c>
      <c r="I3" s="102"/>
      <c r="J3" s="102"/>
      <c r="K3" s="102"/>
      <c r="L3" s="101" t="s">
        <v>197</v>
      </c>
      <c r="M3" s="101" t="s">
        <v>198</v>
      </c>
    </row>
    <row r="4" spans="1:13" ht="130.5" customHeight="1" x14ac:dyDescent="0.25">
      <c r="A4" s="101"/>
      <c r="B4" s="101"/>
      <c r="C4" s="101"/>
      <c r="D4" s="4" t="s">
        <v>149</v>
      </c>
      <c r="E4" s="4" t="s">
        <v>199</v>
      </c>
      <c r="F4" s="4" t="s">
        <v>152</v>
      </c>
      <c r="G4" s="88" t="s">
        <v>226</v>
      </c>
      <c r="H4" s="4" t="s">
        <v>43</v>
      </c>
      <c r="I4" s="4" t="s">
        <v>202</v>
      </c>
      <c r="J4" s="4" t="s">
        <v>200</v>
      </c>
      <c r="K4" s="4" t="s">
        <v>152</v>
      </c>
      <c r="L4" s="101"/>
      <c r="M4" s="101"/>
    </row>
    <row r="5" spans="1:13" ht="18.75" customHeight="1" thickBot="1" x14ac:dyDescent="0.3">
      <c r="A5" s="56">
        <v>1</v>
      </c>
      <c r="B5" s="56">
        <v>2</v>
      </c>
      <c r="C5" s="56">
        <v>3</v>
      </c>
      <c r="D5" s="56">
        <v>4</v>
      </c>
      <c r="E5" s="56">
        <v>5</v>
      </c>
      <c r="F5" s="56">
        <v>6</v>
      </c>
      <c r="G5" s="56"/>
      <c r="H5" s="56">
        <v>7</v>
      </c>
      <c r="I5" s="56">
        <v>8</v>
      </c>
      <c r="J5" s="56">
        <v>9</v>
      </c>
      <c r="K5" s="56">
        <v>10</v>
      </c>
      <c r="L5" s="56">
        <v>11</v>
      </c>
      <c r="M5" s="56">
        <v>12</v>
      </c>
    </row>
    <row r="6" spans="1:13" ht="15" customHeight="1" x14ac:dyDescent="0.25">
      <c r="A6" s="25">
        <v>41786</v>
      </c>
      <c r="B6" s="26" t="s">
        <v>44</v>
      </c>
      <c r="C6" s="27">
        <v>15000000</v>
      </c>
      <c r="D6" s="28">
        <v>0.05</v>
      </c>
      <c r="E6" s="27">
        <f>C6*D6</f>
        <v>750000</v>
      </c>
      <c r="F6" s="27"/>
      <c r="G6" s="27">
        <f>C6/H6</f>
        <v>400</v>
      </c>
      <c r="H6" s="27">
        <f>C6/400</f>
        <v>37500</v>
      </c>
      <c r="I6" s="27">
        <f>(H6/350*1.63)</f>
        <v>174.64285714285714</v>
      </c>
      <c r="J6" s="29">
        <f>I6*4000</f>
        <v>698571.42857142852</v>
      </c>
      <c r="K6" s="27"/>
      <c r="L6" s="114" t="s">
        <v>191</v>
      </c>
      <c r="M6" s="116">
        <f>E6+E7</f>
        <v>1000000</v>
      </c>
    </row>
    <row r="7" spans="1:13" ht="15" customHeight="1" x14ac:dyDescent="0.25">
      <c r="A7" s="30">
        <v>41820</v>
      </c>
      <c r="B7" s="1" t="s">
        <v>44</v>
      </c>
      <c r="C7" s="22">
        <v>5000000</v>
      </c>
      <c r="D7" s="5">
        <v>0.05</v>
      </c>
      <c r="E7" s="22">
        <f>C7*5%</f>
        <v>250000</v>
      </c>
      <c r="F7" s="22"/>
      <c r="G7" s="92">
        <f t="shared" ref="G7:G19" si="0">C7/H7</f>
        <v>400</v>
      </c>
      <c r="H7" s="22">
        <f>C7/400</f>
        <v>12500</v>
      </c>
      <c r="I7" s="22">
        <f t="shared" ref="I7:I21" si="1">(H7/350*1.63)</f>
        <v>58.214285714285715</v>
      </c>
      <c r="J7" s="16">
        <f t="shared" ref="J7:J21" si="2">I7*4000</f>
        <v>232857.14285714287</v>
      </c>
      <c r="K7" s="22"/>
      <c r="L7" s="115"/>
      <c r="M7" s="117"/>
    </row>
    <row r="8" spans="1:13" ht="15" customHeight="1" x14ac:dyDescent="0.25">
      <c r="A8" s="30">
        <v>41893</v>
      </c>
      <c r="B8" s="1" t="s">
        <v>45</v>
      </c>
      <c r="C8" s="22">
        <v>39600000</v>
      </c>
      <c r="D8" s="5">
        <v>0.05</v>
      </c>
      <c r="E8" s="22">
        <f t="shared" ref="E8:E19" si="3">C8*5%</f>
        <v>1980000</v>
      </c>
      <c r="F8" s="22"/>
      <c r="G8" s="92">
        <f t="shared" si="0"/>
        <v>360</v>
      </c>
      <c r="H8" s="22">
        <f>C8/360</f>
        <v>110000</v>
      </c>
      <c r="I8" s="22">
        <f t="shared" si="1"/>
        <v>512.28571428571422</v>
      </c>
      <c r="J8" s="16">
        <f t="shared" si="2"/>
        <v>2049142.8571428568</v>
      </c>
      <c r="K8" s="22"/>
      <c r="L8" s="22" t="s">
        <v>192</v>
      </c>
      <c r="M8" s="31">
        <f>E8</f>
        <v>1980000</v>
      </c>
    </row>
    <row r="9" spans="1:13" ht="15" customHeight="1" x14ac:dyDescent="0.25">
      <c r="A9" s="30">
        <v>41934</v>
      </c>
      <c r="B9" s="1" t="s">
        <v>44</v>
      </c>
      <c r="C9" s="22">
        <v>8000000</v>
      </c>
      <c r="D9" s="5">
        <v>0.05</v>
      </c>
      <c r="E9" s="22">
        <f t="shared" si="3"/>
        <v>400000</v>
      </c>
      <c r="F9" s="22"/>
      <c r="G9" s="92">
        <f t="shared" si="0"/>
        <v>370.00000000000006</v>
      </c>
      <c r="H9" s="22">
        <f>C9/370</f>
        <v>21621.62162162162</v>
      </c>
      <c r="I9" s="22">
        <f t="shared" si="1"/>
        <v>100.69498069498069</v>
      </c>
      <c r="J9" s="16">
        <f t="shared" si="2"/>
        <v>402779.92277992272</v>
      </c>
      <c r="K9" s="22"/>
      <c r="L9" s="98" t="s">
        <v>193</v>
      </c>
      <c r="M9" s="96">
        <f>E9+E11+E13+E15+E16+E17+E18+E19</f>
        <v>4790100</v>
      </c>
    </row>
    <row r="10" spans="1:13" ht="15" customHeight="1" x14ac:dyDescent="0.25">
      <c r="A10" s="30" t="s">
        <v>119</v>
      </c>
      <c r="B10" s="9" t="s">
        <v>56</v>
      </c>
      <c r="C10" s="22"/>
      <c r="D10" s="5"/>
      <c r="E10" s="22"/>
      <c r="F10" s="22">
        <v>275203.28999999998</v>
      </c>
      <c r="G10" s="92"/>
      <c r="H10" s="22"/>
      <c r="I10" s="22">
        <f t="shared" si="1"/>
        <v>0</v>
      </c>
      <c r="J10" s="16">
        <f t="shared" si="2"/>
        <v>0</v>
      </c>
      <c r="K10" s="22"/>
      <c r="L10" s="98"/>
      <c r="M10" s="96"/>
    </row>
    <row r="11" spans="1:13" ht="15" customHeight="1" x14ac:dyDescent="0.25">
      <c r="A11" s="30" t="s">
        <v>46</v>
      </c>
      <c r="B11" s="1" t="s">
        <v>44</v>
      </c>
      <c r="C11" s="22">
        <v>5000000</v>
      </c>
      <c r="D11" s="5">
        <v>0.05</v>
      </c>
      <c r="E11" s="22">
        <f t="shared" si="3"/>
        <v>250000</v>
      </c>
      <c r="F11" s="22"/>
      <c r="G11" s="92">
        <f t="shared" si="0"/>
        <v>370</v>
      </c>
      <c r="H11" s="22">
        <f>C11/370</f>
        <v>13513.513513513513</v>
      </c>
      <c r="I11" s="22">
        <f t="shared" si="1"/>
        <v>62.934362934362923</v>
      </c>
      <c r="J11" s="16">
        <f t="shared" si="2"/>
        <v>251737.45173745169</v>
      </c>
      <c r="K11" s="22"/>
      <c r="L11" s="98"/>
      <c r="M11" s="96"/>
    </row>
    <row r="12" spans="1:13" ht="15" customHeight="1" x14ac:dyDescent="0.25">
      <c r="A12" s="30" t="s">
        <v>120</v>
      </c>
      <c r="B12" s="9" t="s">
        <v>56</v>
      </c>
      <c r="C12" s="22"/>
      <c r="D12" s="5"/>
      <c r="E12" s="22"/>
      <c r="F12" s="22">
        <v>2114518.4500000002</v>
      </c>
      <c r="G12" s="92"/>
      <c r="H12" s="22"/>
      <c r="I12" s="22">
        <f t="shared" si="1"/>
        <v>0</v>
      </c>
      <c r="J12" s="16">
        <f t="shared" si="2"/>
        <v>0</v>
      </c>
      <c r="K12" s="22"/>
      <c r="L12" s="98"/>
      <c r="M12" s="96"/>
    </row>
    <row r="13" spans="1:13" ht="15" customHeight="1" x14ac:dyDescent="0.25">
      <c r="A13" s="30">
        <v>41961</v>
      </c>
      <c r="B13" s="1" t="s">
        <v>47</v>
      </c>
      <c r="C13" s="22">
        <v>11400000</v>
      </c>
      <c r="D13" s="5">
        <v>0.05</v>
      </c>
      <c r="E13" s="22">
        <f t="shared" si="3"/>
        <v>570000</v>
      </c>
      <c r="F13" s="22"/>
      <c r="G13" s="92">
        <f t="shared" si="0"/>
        <v>380</v>
      </c>
      <c r="H13" s="22">
        <f>C13/380</f>
        <v>30000</v>
      </c>
      <c r="I13" s="22">
        <f t="shared" si="1"/>
        <v>139.71428571428569</v>
      </c>
      <c r="J13" s="16">
        <f t="shared" si="2"/>
        <v>558857.14285714272</v>
      </c>
      <c r="K13" s="22"/>
      <c r="L13" s="98"/>
      <c r="M13" s="96"/>
    </row>
    <row r="14" spans="1:13" ht="15" customHeight="1" x14ac:dyDescent="0.25">
      <c r="A14" s="30" t="s">
        <v>55</v>
      </c>
      <c r="B14" s="1" t="s">
        <v>56</v>
      </c>
      <c r="C14" s="22"/>
      <c r="D14" s="5"/>
      <c r="E14" s="22"/>
      <c r="F14" s="22">
        <v>1200000</v>
      </c>
      <c r="G14" s="92"/>
      <c r="H14" s="22"/>
      <c r="I14" s="22">
        <f t="shared" si="1"/>
        <v>0</v>
      </c>
      <c r="J14" s="16">
        <f t="shared" si="2"/>
        <v>0</v>
      </c>
      <c r="K14" s="22">
        <v>590457</v>
      </c>
      <c r="L14" s="98"/>
      <c r="M14" s="96"/>
    </row>
    <row r="15" spans="1:13" ht="15" customHeight="1" x14ac:dyDescent="0.25">
      <c r="A15" s="30" t="s">
        <v>48</v>
      </c>
      <c r="B15" s="1" t="s">
        <v>49</v>
      </c>
      <c r="C15" s="22">
        <v>702000</v>
      </c>
      <c r="D15" s="5">
        <v>0.05</v>
      </c>
      <c r="E15" s="22">
        <f t="shared" si="3"/>
        <v>35100</v>
      </c>
      <c r="F15" s="22"/>
      <c r="G15" s="92">
        <f t="shared" si="0"/>
        <v>390</v>
      </c>
      <c r="H15" s="22">
        <f>C15/390</f>
        <v>1800</v>
      </c>
      <c r="I15" s="22">
        <f t="shared" si="1"/>
        <v>8.3828571428571426</v>
      </c>
      <c r="J15" s="16">
        <f t="shared" si="2"/>
        <v>33531.428571428572</v>
      </c>
      <c r="K15" s="22"/>
      <c r="L15" s="98"/>
      <c r="M15" s="96"/>
    </row>
    <row r="16" spans="1:13" ht="15" customHeight="1" x14ac:dyDescent="0.25">
      <c r="A16" s="30" t="s">
        <v>50</v>
      </c>
      <c r="B16" s="1" t="s">
        <v>51</v>
      </c>
      <c r="C16" s="22">
        <v>11700000</v>
      </c>
      <c r="D16" s="5">
        <v>0.05</v>
      </c>
      <c r="E16" s="22">
        <f t="shared" si="3"/>
        <v>585000</v>
      </c>
      <c r="F16" s="22"/>
      <c r="G16" s="92"/>
      <c r="H16" s="22"/>
      <c r="I16" s="22">
        <f t="shared" si="1"/>
        <v>0</v>
      </c>
      <c r="J16" s="16">
        <f t="shared" si="2"/>
        <v>0</v>
      </c>
      <c r="K16" s="22"/>
      <c r="L16" s="98"/>
      <c r="M16" s="96"/>
    </row>
    <row r="17" spans="1:13" ht="15" customHeight="1" x14ac:dyDescent="0.25">
      <c r="A17" s="30" t="s">
        <v>52</v>
      </c>
      <c r="B17" s="1" t="s">
        <v>47</v>
      </c>
      <c r="C17" s="22">
        <v>15000000</v>
      </c>
      <c r="D17" s="5">
        <v>0.05</v>
      </c>
      <c r="E17" s="22">
        <f t="shared" si="3"/>
        <v>750000</v>
      </c>
      <c r="F17" s="22"/>
      <c r="G17" s="92">
        <f t="shared" si="0"/>
        <v>380</v>
      </c>
      <c r="H17" s="22">
        <f t="shared" ref="H17:H19" si="4">C17/380</f>
        <v>39473.684210526313</v>
      </c>
      <c r="I17" s="22">
        <f t="shared" si="1"/>
        <v>183.83458646616538</v>
      </c>
      <c r="J17" s="16">
        <f t="shared" si="2"/>
        <v>735338.3458646615</v>
      </c>
      <c r="K17" s="22"/>
      <c r="L17" s="98"/>
      <c r="M17" s="96"/>
    </row>
    <row r="18" spans="1:13" ht="15" customHeight="1" x14ac:dyDescent="0.25">
      <c r="A18" s="30" t="s">
        <v>53</v>
      </c>
      <c r="B18" s="1" t="s">
        <v>47</v>
      </c>
      <c r="C18" s="22">
        <v>25000000</v>
      </c>
      <c r="D18" s="5">
        <v>0.05</v>
      </c>
      <c r="E18" s="22">
        <f t="shared" si="3"/>
        <v>1250000</v>
      </c>
      <c r="F18" s="22"/>
      <c r="G18" s="92">
        <f t="shared" si="0"/>
        <v>380.00000000000006</v>
      </c>
      <c r="H18" s="22">
        <f t="shared" si="4"/>
        <v>65789.473684210519</v>
      </c>
      <c r="I18" s="22">
        <f t="shared" si="1"/>
        <v>306.39097744360896</v>
      </c>
      <c r="J18" s="16">
        <f t="shared" si="2"/>
        <v>1225563.9097744359</v>
      </c>
      <c r="K18" s="22"/>
      <c r="L18" s="98"/>
      <c r="M18" s="96"/>
    </row>
    <row r="19" spans="1:13" ht="15" customHeight="1" x14ac:dyDescent="0.25">
      <c r="A19" s="30" t="s">
        <v>54</v>
      </c>
      <c r="B19" s="1" t="s">
        <v>47</v>
      </c>
      <c r="C19" s="22">
        <v>19000000</v>
      </c>
      <c r="D19" s="5">
        <v>0.05</v>
      </c>
      <c r="E19" s="22">
        <f t="shared" si="3"/>
        <v>950000</v>
      </c>
      <c r="F19" s="22"/>
      <c r="G19" s="92">
        <f t="shared" si="0"/>
        <v>380</v>
      </c>
      <c r="H19" s="22">
        <f t="shared" si="4"/>
        <v>50000</v>
      </c>
      <c r="I19" s="22">
        <f t="shared" si="1"/>
        <v>232.85714285714286</v>
      </c>
      <c r="J19" s="16">
        <f t="shared" si="2"/>
        <v>931428.57142857148</v>
      </c>
      <c r="K19" s="22"/>
      <c r="L19" s="98"/>
      <c r="M19" s="96"/>
    </row>
    <row r="20" spans="1:13" ht="15" customHeight="1" thickBot="1" x14ac:dyDescent="0.3">
      <c r="A20" s="30" t="s">
        <v>57</v>
      </c>
      <c r="B20" s="1" t="s">
        <v>56</v>
      </c>
      <c r="C20" s="22"/>
      <c r="D20" s="5"/>
      <c r="E20" s="22"/>
      <c r="F20" s="22">
        <v>3507900</v>
      </c>
      <c r="G20" s="92"/>
      <c r="H20" s="22"/>
      <c r="I20" s="22">
        <f t="shared" si="1"/>
        <v>0</v>
      </c>
      <c r="J20" s="16">
        <f t="shared" si="2"/>
        <v>0</v>
      </c>
      <c r="K20" s="22">
        <v>4183613</v>
      </c>
      <c r="L20" s="98"/>
      <c r="M20" s="96"/>
    </row>
    <row r="21" spans="1:13" ht="15" customHeight="1" x14ac:dyDescent="0.25">
      <c r="A21" s="30" t="s">
        <v>58</v>
      </c>
      <c r="B21" s="1" t="s">
        <v>56</v>
      </c>
      <c r="C21" s="22"/>
      <c r="D21" s="5"/>
      <c r="E21" s="22"/>
      <c r="F21" s="22">
        <v>950000</v>
      </c>
      <c r="G21" s="27"/>
      <c r="H21" s="22"/>
      <c r="I21" s="22">
        <f t="shared" si="1"/>
        <v>0</v>
      </c>
      <c r="J21" s="16">
        <f t="shared" si="2"/>
        <v>0</v>
      </c>
      <c r="K21" s="22">
        <v>665000</v>
      </c>
      <c r="L21" s="98"/>
      <c r="M21" s="96"/>
    </row>
    <row r="22" spans="1:13" ht="15" customHeight="1" x14ac:dyDescent="0.25">
      <c r="A22" s="32"/>
      <c r="B22" s="13" t="s">
        <v>2</v>
      </c>
      <c r="C22" s="14">
        <f>SUM(C6:C21)</f>
        <v>155402000</v>
      </c>
      <c r="D22" s="15"/>
      <c r="E22" s="14">
        <f>SUM(E6:E21)</f>
        <v>7770100</v>
      </c>
      <c r="F22" s="6">
        <f>SUM(F6:F21)</f>
        <v>8047621.7400000002</v>
      </c>
      <c r="G22" s="6"/>
      <c r="H22" s="6">
        <f t="shared" ref="H22:K22" si="5">SUM(H6:H21)</f>
        <v>382198.29302987194</v>
      </c>
      <c r="I22" s="6">
        <f t="shared" si="5"/>
        <v>1779.9520503962608</v>
      </c>
      <c r="J22" s="17">
        <f t="shared" si="5"/>
        <v>7119808.2015850423</v>
      </c>
      <c r="K22" s="6">
        <f t="shared" si="5"/>
        <v>5439070</v>
      </c>
      <c r="L22" s="14" t="s">
        <v>195</v>
      </c>
      <c r="M22" s="33">
        <v>7770100</v>
      </c>
    </row>
    <row r="23" spans="1:13" ht="15" customHeight="1" thickBot="1" x14ac:dyDescent="0.3">
      <c r="A23" s="34"/>
      <c r="B23" s="35" t="s">
        <v>156</v>
      </c>
      <c r="C23" s="36">
        <f>E22-F22</f>
        <v>-277521.74000000022</v>
      </c>
      <c r="D23" s="37"/>
      <c r="E23" s="38"/>
      <c r="F23" s="39">
        <f>F22-E22</f>
        <v>277521.74000000022</v>
      </c>
      <c r="G23" s="39"/>
      <c r="H23" s="38"/>
      <c r="I23" s="38"/>
      <c r="J23" s="40">
        <f>J22-K22</f>
        <v>1680738.2015850423</v>
      </c>
      <c r="K23" s="38"/>
      <c r="L23" s="41"/>
      <c r="M23" s="42"/>
    </row>
    <row r="24" spans="1:13" ht="15" customHeight="1" x14ac:dyDescent="0.25">
      <c r="A24" s="106" t="s">
        <v>117</v>
      </c>
      <c r="B24" s="107"/>
      <c r="C24" s="107"/>
      <c r="D24" s="107"/>
      <c r="E24" s="107"/>
      <c r="F24" s="108"/>
      <c r="G24" s="90"/>
      <c r="H24" s="27"/>
      <c r="I24" s="27"/>
      <c r="J24" s="29"/>
      <c r="K24" s="27"/>
      <c r="L24" s="43"/>
      <c r="M24" s="44"/>
    </row>
    <row r="25" spans="1:13" ht="15" customHeight="1" x14ac:dyDescent="0.25">
      <c r="A25" s="30" t="s">
        <v>59</v>
      </c>
      <c r="B25" s="1" t="s">
        <v>60</v>
      </c>
      <c r="C25" s="22">
        <v>8400000</v>
      </c>
      <c r="D25" s="5">
        <v>0.05</v>
      </c>
      <c r="E25" s="22">
        <f>C25*5%</f>
        <v>420000</v>
      </c>
      <c r="F25" s="22"/>
      <c r="G25" s="92">
        <f t="shared" ref="G25:G27" si="6">C25/H25</f>
        <v>420</v>
      </c>
      <c r="H25" s="22">
        <f>C25/420</f>
        <v>20000</v>
      </c>
      <c r="I25" s="22">
        <f t="shared" ref="I25:I53" si="7">(H25/350*1.63)</f>
        <v>93.142857142857139</v>
      </c>
      <c r="J25" s="16">
        <f t="shared" ref="J25:J53" si="8">I25*4000</f>
        <v>372571.42857142858</v>
      </c>
      <c r="K25" s="22"/>
      <c r="L25" s="22" t="s">
        <v>194</v>
      </c>
      <c r="M25" s="31">
        <f>E25</f>
        <v>420000</v>
      </c>
    </row>
    <row r="26" spans="1:13" ht="15" customHeight="1" x14ac:dyDescent="0.25">
      <c r="A26" s="30" t="s">
        <v>61</v>
      </c>
      <c r="B26" s="19" t="s">
        <v>62</v>
      </c>
      <c r="C26" s="22">
        <v>9000000</v>
      </c>
      <c r="D26" s="5">
        <v>0.05</v>
      </c>
      <c r="E26" s="22">
        <f t="shared" ref="E26:E52" si="9">C26*5%</f>
        <v>450000</v>
      </c>
      <c r="F26" s="22"/>
      <c r="G26" s="92">
        <f t="shared" si="6"/>
        <v>450</v>
      </c>
      <c r="H26" s="22">
        <f>C26/450</f>
        <v>20000</v>
      </c>
      <c r="I26" s="22">
        <f t="shared" si="7"/>
        <v>93.142857142857139</v>
      </c>
      <c r="J26" s="16">
        <f t="shared" si="8"/>
        <v>372571.42857142858</v>
      </c>
      <c r="K26" s="22"/>
      <c r="L26" s="98" t="s">
        <v>191</v>
      </c>
      <c r="M26" s="96">
        <f>E26+E27+E29+E30+E31+E33+E34</f>
        <v>2709500</v>
      </c>
    </row>
    <row r="27" spans="1:13" ht="15" customHeight="1" x14ac:dyDescent="0.25">
      <c r="A27" s="30" t="s">
        <v>63</v>
      </c>
      <c r="B27" s="19" t="s">
        <v>62</v>
      </c>
      <c r="C27" s="22">
        <v>4500000</v>
      </c>
      <c r="D27" s="5">
        <v>0.05</v>
      </c>
      <c r="E27" s="22">
        <f t="shared" si="9"/>
        <v>225000</v>
      </c>
      <c r="F27" s="22"/>
      <c r="G27" s="92">
        <f t="shared" si="6"/>
        <v>450</v>
      </c>
      <c r="H27" s="22">
        <f>C27/450</f>
        <v>10000</v>
      </c>
      <c r="I27" s="22">
        <f t="shared" si="7"/>
        <v>46.571428571428569</v>
      </c>
      <c r="J27" s="16">
        <f t="shared" si="8"/>
        <v>186285.71428571429</v>
      </c>
      <c r="K27" s="22"/>
      <c r="L27" s="95"/>
      <c r="M27" s="97"/>
    </row>
    <row r="28" spans="1:13" ht="15" customHeight="1" x14ac:dyDescent="0.25">
      <c r="A28" s="30" t="s">
        <v>84</v>
      </c>
      <c r="B28" s="1" t="s">
        <v>85</v>
      </c>
      <c r="C28" s="11"/>
      <c r="D28" s="5"/>
      <c r="E28" s="22"/>
      <c r="F28" s="22">
        <v>1120000</v>
      </c>
      <c r="G28" s="87"/>
      <c r="H28" s="22"/>
      <c r="I28" s="22">
        <f t="shared" si="7"/>
        <v>0</v>
      </c>
      <c r="J28" s="16">
        <f t="shared" si="8"/>
        <v>0</v>
      </c>
      <c r="K28" s="10">
        <v>220000</v>
      </c>
      <c r="L28" s="95"/>
      <c r="M28" s="97"/>
    </row>
    <row r="29" spans="1:13" ht="15" customHeight="1" x14ac:dyDescent="0.25">
      <c r="A29" s="30" t="s">
        <v>64</v>
      </c>
      <c r="B29" s="1" t="s">
        <v>44</v>
      </c>
      <c r="C29" s="22">
        <v>20000000</v>
      </c>
      <c r="D29" s="5">
        <v>0.05</v>
      </c>
      <c r="E29" s="22">
        <f t="shared" si="9"/>
        <v>1000000</v>
      </c>
      <c r="F29" s="22"/>
      <c r="G29" s="92">
        <f t="shared" ref="G29:G31" si="10">C29/H29</f>
        <v>400</v>
      </c>
      <c r="H29" s="22">
        <f>C29/400</f>
        <v>50000</v>
      </c>
      <c r="I29" s="22">
        <f t="shared" si="7"/>
        <v>232.85714285714286</v>
      </c>
      <c r="J29" s="16">
        <f t="shared" si="8"/>
        <v>931428.57142857148</v>
      </c>
      <c r="K29" s="22"/>
      <c r="L29" s="95"/>
      <c r="M29" s="97"/>
    </row>
    <row r="30" spans="1:13" ht="15" customHeight="1" x14ac:dyDescent="0.25">
      <c r="A30" s="30" t="s">
        <v>65</v>
      </c>
      <c r="B30" s="1" t="s">
        <v>44</v>
      </c>
      <c r="C30" s="22">
        <v>7000000</v>
      </c>
      <c r="D30" s="5">
        <v>0.05</v>
      </c>
      <c r="E30" s="22">
        <f t="shared" si="9"/>
        <v>350000</v>
      </c>
      <c r="F30" s="22"/>
      <c r="G30" s="92">
        <f t="shared" si="10"/>
        <v>400</v>
      </c>
      <c r="H30" s="22">
        <f t="shared" ref="H30:H33" si="11">C30/400</f>
        <v>17500</v>
      </c>
      <c r="I30" s="22">
        <f t="shared" si="7"/>
        <v>81.5</v>
      </c>
      <c r="J30" s="16">
        <f t="shared" si="8"/>
        <v>326000</v>
      </c>
      <c r="K30" s="22"/>
      <c r="L30" s="95"/>
      <c r="M30" s="97"/>
    </row>
    <row r="31" spans="1:13" ht="15" customHeight="1" x14ac:dyDescent="0.25">
      <c r="A31" s="30" t="s">
        <v>66</v>
      </c>
      <c r="B31" s="1" t="s">
        <v>44</v>
      </c>
      <c r="C31" s="22">
        <v>10000000</v>
      </c>
      <c r="D31" s="5">
        <v>0.05</v>
      </c>
      <c r="E31" s="22">
        <f t="shared" si="9"/>
        <v>500000</v>
      </c>
      <c r="F31" s="22"/>
      <c r="G31" s="92">
        <f t="shared" si="10"/>
        <v>400</v>
      </c>
      <c r="H31" s="22">
        <f t="shared" si="11"/>
        <v>25000</v>
      </c>
      <c r="I31" s="22">
        <f t="shared" si="7"/>
        <v>116.42857142857143</v>
      </c>
      <c r="J31" s="16">
        <f t="shared" si="8"/>
        <v>465714.28571428574</v>
      </c>
      <c r="K31" s="22"/>
      <c r="L31" s="95"/>
      <c r="M31" s="97"/>
    </row>
    <row r="32" spans="1:13" ht="15" customHeight="1" x14ac:dyDescent="0.25">
      <c r="A32" s="30" t="s">
        <v>86</v>
      </c>
      <c r="B32" s="1" t="s">
        <v>85</v>
      </c>
      <c r="C32" s="11"/>
      <c r="D32" s="5"/>
      <c r="E32" s="22"/>
      <c r="F32" s="22">
        <v>2220000</v>
      </c>
      <c r="G32" s="87"/>
      <c r="H32" s="22"/>
      <c r="I32" s="22">
        <f t="shared" si="7"/>
        <v>0</v>
      </c>
      <c r="J32" s="16">
        <f t="shared" si="8"/>
        <v>0</v>
      </c>
      <c r="K32" s="10">
        <v>1295000</v>
      </c>
      <c r="L32" s="95"/>
      <c r="M32" s="97"/>
    </row>
    <row r="33" spans="1:13" ht="15" customHeight="1" x14ac:dyDescent="0.25">
      <c r="A33" s="30" t="s">
        <v>67</v>
      </c>
      <c r="B33" s="1" t="s">
        <v>44</v>
      </c>
      <c r="C33" s="22">
        <v>3000000</v>
      </c>
      <c r="D33" s="5">
        <v>0.05</v>
      </c>
      <c r="E33" s="22">
        <f t="shared" si="9"/>
        <v>150000</v>
      </c>
      <c r="F33" s="22"/>
      <c r="G33" s="92">
        <f t="shared" ref="G33:G36" si="12">C33/H33</f>
        <v>400</v>
      </c>
      <c r="H33" s="22">
        <f t="shared" si="11"/>
        <v>7500</v>
      </c>
      <c r="I33" s="22">
        <f t="shared" si="7"/>
        <v>34.928571428571423</v>
      </c>
      <c r="J33" s="16">
        <f t="shared" si="8"/>
        <v>139714.28571428568</v>
      </c>
      <c r="K33" s="22"/>
      <c r="L33" s="95"/>
      <c r="M33" s="97"/>
    </row>
    <row r="34" spans="1:13" ht="15" customHeight="1" x14ac:dyDescent="0.25">
      <c r="A34" s="30" t="s">
        <v>68</v>
      </c>
      <c r="B34" s="19" t="s">
        <v>69</v>
      </c>
      <c r="C34" s="22">
        <v>690000</v>
      </c>
      <c r="D34" s="5">
        <v>0.05</v>
      </c>
      <c r="E34" s="22">
        <f t="shared" si="9"/>
        <v>34500</v>
      </c>
      <c r="F34" s="22"/>
      <c r="G34" s="92">
        <f t="shared" si="12"/>
        <v>400</v>
      </c>
      <c r="H34" s="22">
        <f>C34/400</f>
        <v>1725</v>
      </c>
      <c r="I34" s="22">
        <f t="shared" si="7"/>
        <v>8.0335714285714293</v>
      </c>
      <c r="J34" s="16">
        <f t="shared" si="8"/>
        <v>32134.285714285717</v>
      </c>
      <c r="K34" s="22"/>
      <c r="L34" s="95"/>
      <c r="M34" s="97"/>
    </row>
    <row r="35" spans="1:13" ht="15" customHeight="1" x14ac:dyDescent="0.25">
      <c r="A35" s="30" t="s">
        <v>70</v>
      </c>
      <c r="B35" s="19" t="s">
        <v>69</v>
      </c>
      <c r="C35" s="22">
        <v>660000</v>
      </c>
      <c r="D35" s="5">
        <v>0.05</v>
      </c>
      <c r="E35" s="22">
        <f t="shared" si="9"/>
        <v>33000</v>
      </c>
      <c r="F35" s="22"/>
      <c r="G35" s="92">
        <f t="shared" si="12"/>
        <v>400</v>
      </c>
      <c r="H35" s="22">
        <f t="shared" ref="H35:H45" si="13">C35/400</f>
        <v>1650</v>
      </c>
      <c r="I35" s="22">
        <f t="shared" si="7"/>
        <v>7.6842857142857142</v>
      </c>
      <c r="J35" s="16">
        <f t="shared" si="8"/>
        <v>30737.142857142855</v>
      </c>
      <c r="K35" s="22"/>
      <c r="L35" s="98" t="s">
        <v>192</v>
      </c>
      <c r="M35" s="96">
        <f>E35+E36+E38+E39+E40+E41+E42+E43+E45+E47+E48+E51+E52</f>
        <v>12762500</v>
      </c>
    </row>
    <row r="36" spans="1:13" ht="15" customHeight="1" x14ac:dyDescent="0.25">
      <c r="A36" s="30" t="s">
        <v>71</v>
      </c>
      <c r="B36" s="19" t="s">
        <v>69</v>
      </c>
      <c r="C36" s="22">
        <v>690000</v>
      </c>
      <c r="D36" s="5">
        <v>0.05</v>
      </c>
      <c r="E36" s="22">
        <f t="shared" si="9"/>
        <v>34500</v>
      </c>
      <c r="F36" s="22"/>
      <c r="G36" s="92">
        <f t="shared" si="12"/>
        <v>400</v>
      </c>
      <c r="H36" s="22">
        <f t="shared" si="13"/>
        <v>1725</v>
      </c>
      <c r="I36" s="22">
        <f t="shared" si="7"/>
        <v>8.0335714285714293</v>
      </c>
      <c r="J36" s="16">
        <f t="shared" si="8"/>
        <v>32134.285714285717</v>
      </c>
      <c r="K36" s="22"/>
      <c r="L36" s="95"/>
      <c r="M36" s="97"/>
    </row>
    <row r="37" spans="1:13" ht="15" customHeight="1" x14ac:dyDescent="0.25">
      <c r="A37" s="30" t="s">
        <v>71</v>
      </c>
      <c r="B37" s="19" t="s">
        <v>56</v>
      </c>
      <c r="C37" s="11"/>
      <c r="D37" s="5"/>
      <c r="E37" s="22"/>
      <c r="F37" s="22">
        <v>1532400</v>
      </c>
      <c r="G37" s="87"/>
      <c r="H37" s="22"/>
      <c r="I37" s="22">
        <f t="shared" si="7"/>
        <v>0</v>
      </c>
      <c r="J37" s="16">
        <f t="shared" si="8"/>
        <v>0</v>
      </c>
      <c r="K37" s="10">
        <v>895800</v>
      </c>
      <c r="L37" s="95"/>
      <c r="M37" s="97"/>
    </row>
    <row r="38" spans="1:13" ht="15" customHeight="1" x14ac:dyDescent="0.25">
      <c r="A38" s="30" t="s">
        <v>72</v>
      </c>
      <c r="B38" s="19" t="s">
        <v>69</v>
      </c>
      <c r="C38" s="22">
        <v>690000</v>
      </c>
      <c r="D38" s="5">
        <v>0.05</v>
      </c>
      <c r="E38" s="22">
        <f t="shared" si="9"/>
        <v>34500</v>
      </c>
      <c r="F38" s="22"/>
      <c r="G38" s="92">
        <f t="shared" ref="G38:G43" si="14">C38/H38</f>
        <v>400</v>
      </c>
      <c r="H38" s="22">
        <f t="shared" si="13"/>
        <v>1725</v>
      </c>
      <c r="I38" s="22">
        <f t="shared" si="7"/>
        <v>8.0335714285714293</v>
      </c>
      <c r="J38" s="16">
        <f t="shared" si="8"/>
        <v>32134.285714285717</v>
      </c>
      <c r="K38" s="22"/>
      <c r="L38" s="95"/>
      <c r="M38" s="97"/>
    </row>
    <row r="39" spans="1:13" ht="15" customHeight="1" x14ac:dyDescent="0.25">
      <c r="A39" s="30" t="s">
        <v>73</v>
      </c>
      <c r="B39" s="19" t="s">
        <v>69</v>
      </c>
      <c r="C39" s="22">
        <v>660000</v>
      </c>
      <c r="D39" s="5">
        <v>0.05</v>
      </c>
      <c r="E39" s="22">
        <f t="shared" si="9"/>
        <v>33000</v>
      </c>
      <c r="F39" s="22"/>
      <c r="G39" s="92">
        <f t="shared" si="14"/>
        <v>400</v>
      </c>
      <c r="H39" s="22">
        <f t="shared" si="13"/>
        <v>1650</v>
      </c>
      <c r="I39" s="22">
        <f t="shared" si="7"/>
        <v>7.6842857142857142</v>
      </c>
      <c r="J39" s="16">
        <f t="shared" si="8"/>
        <v>30737.142857142855</v>
      </c>
      <c r="K39" s="22"/>
      <c r="L39" s="95"/>
      <c r="M39" s="97"/>
    </row>
    <row r="40" spans="1:13" ht="15" customHeight="1" x14ac:dyDescent="0.25">
      <c r="A40" s="30" t="s">
        <v>74</v>
      </c>
      <c r="B40" s="19" t="s">
        <v>69</v>
      </c>
      <c r="C40" s="22">
        <v>705000</v>
      </c>
      <c r="D40" s="5">
        <v>0.05</v>
      </c>
      <c r="E40" s="22">
        <f t="shared" si="9"/>
        <v>35250</v>
      </c>
      <c r="F40" s="22"/>
      <c r="G40" s="92">
        <f t="shared" si="14"/>
        <v>400</v>
      </c>
      <c r="H40" s="22">
        <f t="shared" si="13"/>
        <v>1762.5</v>
      </c>
      <c r="I40" s="22">
        <f t="shared" si="7"/>
        <v>8.2082142857142841</v>
      </c>
      <c r="J40" s="16">
        <f t="shared" si="8"/>
        <v>32832.857142857138</v>
      </c>
      <c r="K40" s="22"/>
      <c r="L40" s="95"/>
      <c r="M40" s="97"/>
    </row>
    <row r="41" spans="1:13" ht="15" customHeight="1" x14ac:dyDescent="0.25">
      <c r="A41" s="30" t="s">
        <v>75</v>
      </c>
      <c r="B41" s="19" t="s">
        <v>69</v>
      </c>
      <c r="C41" s="22">
        <v>695000</v>
      </c>
      <c r="D41" s="5">
        <v>0.05</v>
      </c>
      <c r="E41" s="22">
        <f t="shared" si="9"/>
        <v>34750</v>
      </c>
      <c r="F41" s="22"/>
      <c r="G41" s="92">
        <f t="shared" si="14"/>
        <v>400</v>
      </c>
      <c r="H41" s="22">
        <f t="shared" si="13"/>
        <v>1737.5</v>
      </c>
      <c r="I41" s="22">
        <f t="shared" si="7"/>
        <v>8.0917857142857148</v>
      </c>
      <c r="J41" s="16">
        <f t="shared" si="8"/>
        <v>32367.142857142859</v>
      </c>
      <c r="K41" s="22"/>
      <c r="L41" s="95"/>
      <c r="M41" s="97"/>
    </row>
    <row r="42" spans="1:13" ht="15" customHeight="1" x14ac:dyDescent="0.25">
      <c r="A42" s="30" t="s">
        <v>76</v>
      </c>
      <c r="B42" s="19" t="s">
        <v>69</v>
      </c>
      <c r="C42" s="22">
        <v>680000</v>
      </c>
      <c r="D42" s="5">
        <v>0.05</v>
      </c>
      <c r="E42" s="22">
        <f t="shared" si="9"/>
        <v>34000</v>
      </c>
      <c r="F42" s="22"/>
      <c r="G42" s="92">
        <f t="shared" si="14"/>
        <v>400</v>
      </c>
      <c r="H42" s="22">
        <f t="shared" si="13"/>
        <v>1700</v>
      </c>
      <c r="I42" s="22">
        <f t="shared" si="7"/>
        <v>7.9171428571428564</v>
      </c>
      <c r="J42" s="16">
        <f t="shared" si="8"/>
        <v>31668.571428571424</v>
      </c>
      <c r="K42" s="22"/>
      <c r="L42" s="95"/>
      <c r="M42" s="97"/>
    </row>
    <row r="43" spans="1:13" ht="15" customHeight="1" x14ac:dyDescent="0.25">
      <c r="A43" s="30" t="s">
        <v>77</v>
      </c>
      <c r="B43" s="19" t="s">
        <v>69</v>
      </c>
      <c r="C43" s="22">
        <v>665000</v>
      </c>
      <c r="D43" s="5">
        <v>0.05</v>
      </c>
      <c r="E43" s="22">
        <f t="shared" si="9"/>
        <v>33250</v>
      </c>
      <c r="F43" s="22"/>
      <c r="G43" s="92">
        <f t="shared" si="14"/>
        <v>400</v>
      </c>
      <c r="H43" s="22">
        <f t="shared" si="13"/>
        <v>1662.5</v>
      </c>
      <c r="I43" s="22">
        <f t="shared" si="7"/>
        <v>7.7424999999999997</v>
      </c>
      <c r="J43" s="16">
        <f t="shared" si="8"/>
        <v>30970</v>
      </c>
      <c r="K43" s="22"/>
      <c r="L43" s="95"/>
      <c r="M43" s="97"/>
    </row>
    <row r="44" spans="1:13" ht="15" customHeight="1" x14ac:dyDescent="0.25">
      <c r="A44" s="30" t="s">
        <v>121</v>
      </c>
      <c r="B44" s="9" t="s">
        <v>56</v>
      </c>
      <c r="C44" s="22"/>
      <c r="D44" s="5"/>
      <c r="E44" s="22"/>
      <c r="F44" s="10">
        <v>3394.3</v>
      </c>
      <c r="G44" s="10"/>
      <c r="H44" s="22"/>
      <c r="I44" s="22">
        <f t="shared" si="7"/>
        <v>0</v>
      </c>
      <c r="J44" s="16">
        <f t="shared" si="8"/>
        <v>0</v>
      </c>
      <c r="K44" s="10">
        <v>120050</v>
      </c>
      <c r="L44" s="95"/>
      <c r="M44" s="97"/>
    </row>
    <row r="45" spans="1:13" ht="15" customHeight="1" x14ac:dyDescent="0.25">
      <c r="A45" s="30" t="s">
        <v>78</v>
      </c>
      <c r="B45" s="19" t="s">
        <v>69</v>
      </c>
      <c r="C45" s="22">
        <v>105000</v>
      </c>
      <c r="D45" s="5">
        <v>0.05</v>
      </c>
      <c r="E45" s="22">
        <f t="shared" si="9"/>
        <v>5250</v>
      </c>
      <c r="F45" s="22"/>
      <c r="G45" s="92">
        <f t="shared" ref="G45" si="15">C45/H45</f>
        <v>400</v>
      </c>
      <c r="H45" s="22">
        <f t="shared" si="13"/>
        <v>262.5</v>
      </c>
      <c r="I45" s="22">
        <f t="shared" si="7"/>
        <v>1.2224999999999999</v>
      </c>
      <c r="J45" s="16">
        <f t="shared" si="8"/>
        <v>4890</v>
      </c>
      <c r="K45" s="22"/>
      <c r="L45" s="95"/>
      <c r="M45" s="97"/>
    </row>
    <row r="46" spans="1:13" ht="15" customHeight="1" x14ac:dyDescent="0.25">
      <c r="A46" s="30" t="s">
        <v>87</v>
      </c>
      <c r="B46" s="19" t="s">
        <v>56</v>
      </c>
      <c r="C46" s="11"/>
      <c r="D46" s="5"/>
      <c r="E46" s="22"/>
      <c r="F46" s="22">
        <v>53296.32</v>
      </c>
      <c r="G46" s="87"/>
      <c r="H46" s="22"/>
      <c r="I46" s="22">
        <f t="shared" si="7"/>
        <v>0</v>
      </c>
      <c r="J46" s="16">
        <f t="shared" si="8"/>
        <v>0</v>
      </c>
      <c r="K46" s="22"/>
      <c r="L46" s="95"/>
      <c r="M46" s="97"/>
    </row>
    <row r="47" spans="1:13" ht="15" customHeight="1" x14ac:dyDescent="0.25">
      <c r="A47" s="30" t="s">
        <v>79</v>
      </c>
      <c r="B47" s="19" t="s">
        <v>80</v>
      </c>
      <c r="C47" s="22">
        <v>32805000</v>
      </c>
      <c r="D47" s="5">
        <v>0.05</v>
      </c>
      <c r="E47" s="22">
        <f t="shared" si="9"/>
        <v>1640250</v>
      </c>
      <c r="F47" s="22"/>
      <c r="G47" s="92">
        <f t="shared" ref="G47:G48" si="16">C47/H47</f>
        <v>405</v>
      </c>
      <c r="H47" s="22">
        <f>C47/405</f>
        <v>81000</v>
      </c>
      <c r="I47" s="22">
        <f t="shared" si="7"/>
        <v>377.2285714285714</v>
      </c>
      <c r="J47" s="16">
        <f t="shared" si="8"/>
        <v>1508914.2857142857</v>
      </c>
      <c r="K47" s="22"/>
      <c r="L47" s="95"/>
      <c r="M47" s="97"/>
    </row>
    <row r="48" spans="1:13" ht="15" customHeight="1" x14ac:dyDescent="0.25">
      <c r="A48" s="30" t="s">
        <v>79</v>
      </c>
      <c r="B48" s="19" t="s">
        <v>80</v>
      </c>
      <c r="C48" s="22">
        <v>185895000</v>
      </c>
      <c r="D48" s="5">
        <v>0.05</v>
      </c>
      <c r="E48" s="22">
        <f t="shared" si="9"/>
        <v>9294750</v>
      </c>
      <c r="F48" s="22"/>
      <c r="G48" s="92">
        <f t="shared" si="16"/>
        <v>405</v>
      </c>
      <c r="H48" s="22">
        <f>C48/405</f>
        <v>459000</v>
      </c>
      <c r="I48" s="22">
        <f t="shared" si="7"/>
        <v>2137.6285714285709</v>
      </c>
      <c r="J48" s="16">
        <f t="shared" si="8"/>
        <v>8550514.2857142836</v>
      </c>
      <c r="K48" s="22"/>
      <c r="L48" s="95"/>
      <c r="M48" s="97"/>
    </row>
    <row r="49" spans="1:13" ht="15" customHeight="1" x14ac:dyDescent="0.25">
      <c r="A49" s="30" t="s">
        <v>88</v>
      </c>
      <c r="B49" s="1" t="s">
        <v>56</v>
      </c>
      <c r="C49" s="11"/>
      <c r="D49" s="5"/>
      <c r="E49" s="22"/>
      <c r="F49" s="22">
        <v>149109.31</v>
      </c>
      <c r="G49" s="87"/>
      <c r="H49" s="22"/>
      <c r="I49" s="22">
        <f t="shared" si="7"/>
        <v>0</v>
      </c>
      <c r="J49" s="16">
        <f t="shared" si="8"/>
        <v>0</v>
      </c>
      <c r="K49" s="22"/>
      <c r="L49" s="95"/>
      <c r="M49" s="97"/>
    </row>
    <row r="50" spans="1:13" ht="15" customHeight="1" x14ac:dyDescent="0.25">
      <c r="A50" s="30" t="s">
        <v>88</v>
      </c>
      <c r="B50" s="1" t="s">
        <v>56</v>
      </c>
      <c r="C50" s="11"/>
      <c r="D50" s="5"/>
      <c r="E50" s="22"/>
      <c r="F50" s="10">
        <v>7.0000000000000007E-2</v>
      </c>
      <c r="G50" s="10"/>
      <c r="H50" s="22"/>
      <c r="I50" s="22">
        <f t="shared" si="7"/>
        <v>0</v>
      </c>
      <c r="J50" s="16">
        <f t="shared" si="8"/>
        <v>0</v>
      </c>
      <c r="K50" s="22"/>
      <c r="L50" s="95"/>
      <c r="M50" s="97"/>
    </row>
    <row r="51" spans="1:13" ht="15" customHeight="1" x14ac:dyDescent="0.25">
      <c r="A51" s="30" t="s">
        <v>81</v>
      </c>
      <c r="B51" s="19" t="s">
        <v>82</v>
      </c>
      <c r="C51" s="22">
        <v>11000000</v>
      </c>
      <c r="D51" s="5">
        <v>0.05</v>
      </c>
      <c r="E51" s="22">
        <f t="shared" si="9"/>
        <v>550000</v>
      </c>
      <c r="F51" s="22"/>
      <c r="G51" s="92">
        <f t="shared" ref="G51:G52" si="17">C51/H51</f>
        <v>385</v>
      </c>
      <c r="H51" s="22">
        <f>C51/385</f>
        <v>28571.428571428572</v>
      </c>
      <c r="I51" s="22">
        <f t="shared" si="7"/>
        <v>133.0612244897959</v>
      </c>
      <c r="J51" s="16">
        <f t="shared" si="8"/>
        <v>532244.89795918367</v>
      </c>
      <c r="K51" s="22"/>
      <c r="L51" s="95"/>
      <c r="M51" s="97"/>
    </row>
    <row r="52" spans="1:13" ht="15" customHeight="1" x14ac:dyDescent="0.25">
      <c r="A52" s="30" t="s">
        <v>81</v>
      </c>
      <c r="B52" s="19" t="s">
        <v>83</v>
      </c>
      <c r="C52" s="22">
        <v>20000000</v>
      </c>
      <c r="D52" s="5">
        <v>0.05</v>
      </c>
      <c r="E52" s="22">
        <f t="shared" si="9"/>
        <v>1000000</v>
      </c>
      <c r="F52" s="22"/>
      <c r="G52" s="92">
        <f t="shared" si="17"/>
        <v>375</v>
      </c>
      <c r="H52" s="22">
        <f>C52/375</f>
        <v>53333.333333333336</v>
      </c>
      <c r="I52" s="22">
        <f t="shared" si="7"/>
        <v>248.38095238095235</v>
      </c>
      <c r="J52" s="16">
        <f t="shared" si="8"/>
        <v>993523.80952380935</v>
      </c>
      <c r="K52" s="22"/>
      <c r="L52" s="95"/>
      <c r="M52" s="97"/>
    </row>
    <row r="53" spans="1:13" ht="15" customHeight="1" x14ac:dyDescent="0.25">
      <c r="A53" s="30" t="s">
        <v>89</v>
      </c>
      <c r="B53" s="1" t="s">
        <v>56</v>
      </c>
      <c r="C53" s="11"/>
      <c r="D53" s="5"/>
      <c r="E53" s="22"/>
      <c r="F53" s="22">
        <v>706200</v>
      </c>
      <c r="G53" s="87"/>
      <c r="H53" s="22"/>
      <c r="I53" s="22">
        <f t="shared" si="7"/>
        <v>0</v>
      </c>
      <c r="J53" s="16">
        <f t="shared" si="8"/>
        <v>0</v>
      </c>
      <c r="K53" s="10">
        <v>411950</v>
      </c>
      <c r="L53" s="45"/>
      <c r="M53" s="46"/>
    </row>
    <row r="54" spans="1:13" ht="15" customHeight="1" x14ac:dyDescent="0.25">
      <c r="A54" s="30"/>
      <c r="B54" s="12" t="s">
        <v>2</v>
      </c>
      <c r="C54" s="6">
        <f>SUM(C25:C53)</f>
        <v>317840000</v>
      </c>
      <c r="D54" s="5"/>
      <c r="E54" s="6">
        <f t="shared" ref="E54:K54" si="18">SUM(E25:E53)</f>
        <v>15892000</v>
      </c>
      <c r="F54" s="6">
        <f t="shared" si="18"/>
        <v>5784400</v>
      </c>
      <c r="G54" s="6"/>
      <c r="H54" s="6">
        <f t="shared" si="18"/>
        <v>787504.76190476189</v>
      </c>
      <c r="I54" s="6">
        <f t="shared" si="18"/>
        <v>3667.5221768707479</v>
      </c>
      <c r="J54" s="17">
        <f t="shared" si="18"/>
        <v>14670088.707482992</v>
      </c>
      <c r="K54" s="6">
        <f t="shared" si="18"/>
        <v>2942800</v>
      </c>
      <c r="L54" s="14" t="s">
        <v>195</v>
      </c>
      <c r="M54" s="47">
        <f>M25+M26+M35</f>
        <v>15892000</v>
      </c>
    </row>
    <row r="55" spans="1:13" ht="15" customHeight="1" thickBot="1" x14ac:dyDescent="0.3">
      <c r="A55" s="34"/>
      <c r="B55" s="35" t="s">
        <v>157</v>
      </c>
      <c r="C55" s="39">
        <f>C23+E54-F54</f>
        <v>9830078.2599999998</v>
      </c>
      <c r="D55" s="37"/>
      <c r="E55" s="38"/>
      <c r="F55" s="39">
        <f>F23+F54-E54</f>
        <v>-9830078.2599999998</v>
      </c>
      <c r="G55" s="39"/>
      <c r="H55" s="38"/>
      <c r="I55" s="38"/>
      <c r="J55" s="40">
        <f>J23+J54-K54</f>
        <v>13408026.909068033</v>
      </c>
      <c r="K55" s="38"/>
      <c r="L55" s="41"/>
      <c r="M55" s="42"/>
    </row>
    <row r="56" spans="1:13" ht="15" customHeight="1" x14ac:dyDescent="0.25">
      <c r="A56" s="106" t="s">
        <v>116</v>
      </c>
      <c r="B56" s="107"/>
      <c r="C56" s="107"/>
      <c r="D56" s="107"/>
      <c r="E56" s="107"/>
      <c r="F56" s="108"/>
      <c r="G56" s="90"/>
      <c r="H56" s="27"/>
      <c r="I56" s="27"/>
      <c r="J56" s="29"/>
      <c r="K56" s="27"/>
      <c r="L56" s="43"/>
      <c r="M56" s="44"/>
    </row>
    <row r="57" spans="1:13" ht="15" customHeight="1" x14ac:dyDescent="0.25">
      <c r="A57" s="30" t="s">
        <v>91</v>
      </c>
      <c r="B57" s="19" t="s">
        <v>47</v>
      </c>
      <c r="C57" s="22">
        <v>20000000</v>
      </c>
      <c r="D57" s="5">
        <v>0.05</v>
      </c>
      <c r="E57" s="22">
        <f>C57*5%</f>
        <v>1000000</v>
      </c>
      <c r="F57" s="22"/>
      <c r="G57" s="92">
        <f t="shared" ref="G57:G58" si="19">C57/H57</f>
        <v>420</v>
      </c>
      <c r="H57" s="22">
        <f>C57/420</f>
        <v>47619.047619047618</v>
      </c>
      <c r="I57" s="22">
        <f t="shared" ref="I57:I79" si="20">(H57/350*1.63)</f>
        <v>221.76870748299316</v>
      </c>
      <c r="J57" s="16">
        <f t="shared" ref="J57:J79" si="21">I57*4000</f>
        <v>887074.82993197266</v>
      </c>
      <c r="K57" s="22"/>
      <c r="L57" s="98" t="s">
        <v>194</v>
      </c>
      <c r="M57" s="96">
        <f>E57+E58+E59+E60+E61+E62+E63+E64+E65+E66+E67+E68+E69</f>
        <v>17440000</v>
      </c>
    </row>
    <row r="58" spans="1:13" ht="15" customHeight="1" x14ac:dyDescent="0.25">
      <c r="A58" s="30" t="s">
        <v>90</v>
      </c>
      <c r="B58" s="19" t="s">
        <v>92</v>
      </c>
      <c r="C58" s="22">
        <v>40000000</v>
      </c>
      <c r="D58" s="5">
        <v>0.05</v>
      </c>
      <c r="E58" s="22">
        <f t="shared" ref="E58:E79" si="22">C58*5%</f>
        <v>2000000</v>
      </c>
      <c r="F58" s="22"/>
      <c r="G58" s="92">
        <f t="shared" si="19"/>
        <v>395</v>
      </c>
      <c r="H58" s="22">
        <f>C58/395</f>
        <v>101265.82278481012</v>
      </c>
      <c r="I58" s="22">
        <f t="shared" si="20"/>
        <v>471.60940325497279</v>
      </c>
      <c r="J58" s="16">
        <f t="shared" si="21"/>
        <v>1886437.6130198911</v>
      </c>
      <c r="K58" s="22"/>
      <c r="L58" s="95"/>
      <c r="M58" s="97"/>
    </row>
    <row r="59" spans="1:13" ht="15" customHeight="1" x14ac:dyDescent="0.25">
      <c r="A59" s="30" t="s">
        <v>90</v>
      </c>
      <c r="B59" s="19" t="s">
        <v>56</v>
      </c>
      <c r="C59" s="22"/>
      <c r="D59" s="5"/>
      <c r="E59" s="22"/>
      <c r="F59" s="22">
        <v>12170430</v>
      </c>
      <c r="G59" s="87"/>
      <c r="H59" s="22"/>
      <c r="I59" s="22">
        <f t="shared" si="20"/>
        <v>0</v>
      </c>
      <c r="J59" s="16">
        <f t="shared" si="21"/>
        <v>0</v>
      </c>
      <c r="K59" s="22">
        <v>7099420</v>
      </c>
      <c r="L59" s="95"/>
      <c r="M59" s="97"/>
    </row>
    <row r="60" spans="1:13" ht="15" customHeight="1" x14ac:dyDescent="0.25">
      <c r="A60" s="30" t="s">
        <v>93</v>
      </c>
      <c r="B60" s="19" t="s">
        <v>92</v>
      </c>
      <c r="C60" s="22">
        <v>39000000</v>
      </c>
      <c r="D60" s="5">
        <v>0.05</v>
      </c>
      <c r="E60" s="22">
        <f t="shared" si="22"/>
        <v>1950000</v>
      </c>
      <c r="F60" s="22"/>
      <c r="G60" s="92">
        <f t="shared" ref="G60:G62" si="23">C60/H60</f>
        <v>395</v>
      </c>
      <c r="H60" s="22">
        <f>C60/395</f>
        <v>98734.177215189877</v>
      </c>
      <c r="I60" s="22">
        <f t="shared" si="20"/>
        <v>459.81916817359848</v>
      </c>
      <c r="J60" s="16">
        <f t="shared" si="21"/>
        <v>1839276.6726943939</v>
      </c>
      <c r="K60" s="22"/>
      <c r="L60" s="95"/>
      <c r="M60" s="97"/>
    </row>
    <row r="61" spans="1:13" ht="15" customHeight="1" x14ac:dyDescent="0.25">
      <c r="A61" s="30" t="s">
        <v>94</v>
      </c>
      <c r="B61" s="19" t="s">
        <v>95</v>
      </c>
      <c r="C61" s="22">
        <v>22680000</v>
      </c>
      <c r="D61" s="5">
        <v>0.05</v>
      </c>
      <c r="E61" s="22">
        <f t="shared" si="22"/>
        <v>1134000</v>
      </c>
      <c r="F61" s="22"/>
      <c r="G61" s="92">
        <f t="shared" si="23"/>
        <v>405</v>
      </c>
      <c r="H61" s="22">
        <f>C61/405</f>
        <v>56000</v>
      </c>
      <c r="I61" s="22">
        <f t="shared" si="20"/>
        <v>260.79999999999995</v>
      </c>
      <c r="J61" s="16">
        <f t="shared" si="21"/>
        <v>1043199.9999999998</v>
      </c>
      <c r="K61" s="22"/>
      <c r="L61" s="95"/>
      <c r="M61" s="97"/>
    </row>
    <row r="62" spans="1:13" ht="15" customHeight="1" x14ac:dyDescent="0.25">
      <c r="A62" s="30" t="s">
        <v>94</v>
      </c>
      <c r="B62" s="19" t="s">
        <v>96</v>
      </c>
      <c r="C62" s="22">
        <v>4200000</v>
      </c>
      <c r="D62" s="5">
        <v>0.05</v>
      </c>
      <c r="E62" s="22">
        <f t="shared" si="22"/>
        <v>210000</v>
      </c>
      <c r="F62" s="22"/>
      <c r="G62" s="92">
        <f t="shared" si="23"/>
        <v>420</v>
      </c>
      <c r="H62" s="22">
        <f>C62/420</f>
        <v>10000</v>
      </c>
      <c r="I62" s="22">
        <f t="shared" si="20"/>
        <v>46.571428571428569</v>
      </c>
      <c r="J62" s="16">
        <f t="shared" si="21"/>
        <v>186285.71428571429</v>
      </c>
      <c r="K62" s="22"/>
      <c r="L62" s="95"/>
      <c r="M62" s="97"/>
    </row>
    <row r="63" spans="1:13" ht="15" customHeight="1" x14ac:dyDescent="0.25">
      <c r="A63" s="30" t="s">
        <v>122</v>
      </c>
      <c r="B63" s="20" t="s">
        <v>56</v>
      </c>
      <c r="C63" s="10"/>
      <c r="D63" s="5"/>
      <c r="E63" s="22"/>
      <c r="F63" s="22">
        <v>255628</v>
      </c>
      <c r="G63" s="87"/>
      <c r="H63" s="22"/>
      <c r="I63" s="22">
        <f t="shared" si="20"/>
        <v>0</v>
      </c>
      <c r="J63" s="16">
        <f t="shared" si="21"/>
        <v>0</v>
      </c>
      <c r="K63" s="22"/>
      <c r="L63" s="95"/>
      <c r="M63" s="97"/>
    </row>
    <row r="64" spans="1:13" ht="15" customHeight="1" x14ac:dyDescent="0.25">
      <c r="A64" s="30" t="s">
        <v>97</v>
      </c>
      <c r="B64" s="19" t="s">
        <v>98</v>
      </c>
      <c r="C64" s="22">
        <v>90000000</v>
      </c>
      <c r="D64" s="5">
        <v>0.05</v>
      </c>
      <c r="E64" s="22">
        <f t="shared" si="22"/>
        <v>4500000</v>
      </c>
      <c r="F64" s="22"/>
      <c r="G64" s="92">
        <f t="shared" ref="G64:G69" si="24">C64/H64</f>
        <v>455</v>
      </c>
      <c r="H64" s="22">
        <f>C64/455</f>
        <v>197802.1978021978</v>
      </c>
      <c r="I64" s="22">
        <f t="shared" si="20"/>
        <v>921.19309262166394</v>
      </c>
      <c r="J64" s="16">
        <f t="shared" si="21"/>
        <v>3684772.3704866557</v>
      </c>
      <c r="K64" s="22"/>
      <c r="L64" s="95"/>
      <c r="M64" s="97"/>
    </row>
    <row r="65" spans="1:13" ht="15" customHeight="1" x14ac:dyDescent="0.25">
      <c r="A65" s="30" t="s">
        <v>99</v>
      </c>
      <c r="B65" s="19" t="s">
        <v>95</v>
      </c>
      <c r="C65" s="22">
        <v>17820000</v>
      </c>
      <c r="D65" s="5">
        <v>0.05</v>
      </c>
      <c r="E65" s="22">
        <f t="shared" si="22"/>
        <v>891000</v>
      </c>
      <c r="F65" s="22"/>
      <c r="G65" s="92">
        <f t="shared" si="24"/>
        <v>405</v>
      </c>
      <c r="H65" s="22">
        <f>C65/405</f>
        <v>44000</v>
      </c>
      <c r="I65" s="22">
        <f t="shared" si="20"/>
        <v>204.91428571428568</v>
      </c>
      <c r="J65" s="16">
        <f t="shared" si="21"/>
        <v>819657.14285714272</v>
      </c>
      <c r="K65" s="22"/>
      <c r="L65" s="95"/>
      <c r="M65" s="97"/>
    </row>
    <row r="66" spans="1:13" ht="15" customHeight="1" x14ac:dyDescent="0.25">
      <c r="A66" s="30" t="s">
        <v>100</v>
      </c>
      <c r="B66" s="19" t="s">
        <v>96</v>
      </c>
      <c r="C66" s="22">
        <v>12600000</v>
      </c>
      <c r="D66" s="5">
        <v>0.05</v>
      </c>
      <c r="E66" s="22">
        <f t="shared" si="22"/>
        <v>630000</v>
      </c>
      <c r="F66" s="22"/>
      <c r="G66" s="92">
        <f t="shared" si="24"/>
        <v>420</v>
      </c>
      <c r="H66" s="22">
        <f>C66/420</f>
        <v>30000</v>
      </c>
      <c r="I66" s="22">
        <f t="shared" si="20"/>
        <v>139.71428571428569</v>
      </c>
      <c r="J66" s="16">
        <f t="shared" si="21"/>
        <v>558857.14285714272</v>
      </c>
      <c r="K66" s="22"/>
      <c r="L66" s="95"/>
      <c r="M66" s="97"/>
    </row>
    <row r="67" spans="1:13" ht="15" customHeight="1" x14ac:dyDescent="0.25">
      <c r="A67" s="30" t="s">
        <v>101</v>
      </c>
      <c r="B67" s="19" t="s">
        <v>92</v>
      </c>
      <c r="C67" s="22">
        <v>15800000</v>
      </c>
      <c r="D67" s="5">
        <v>0.05</v>
      </c>
      <c r="E67" s="22">
        <f t="shared" si="22"/>
        <v>790000</v>
      </c>
      <c r="F67" s="22"/>
      <c r="G67" s="92">
        <f t="shared" si="24"/>
        <v>395</v>
      </c>
      <c r="H67" s="22">
        <f>C67/395</f>
        <v>40000</v>
      </c>
      <c r="I67" s="22">
        <f t="shared" si="20"/>
        <v>186.28571428571428</v>
      </c>
      <c r="J67" s="16">
        <f t="shared" si="21"/>
        <v>745142.85714285716</v>
      </c>
      <c r="K67" s="22"/>
      <c r="L67" s="95"/>
      <c r="M67" s="97"/>
    </row>
    <row r="68" spans="1:13" ht="15" customHeight="1" x14ac:dyDescent="0.25">
      <c r="A68" s="30" t="s">
        <v>102</v>
      </c>
      <c r="B68" s="19" t="s">
        <v>92</v>
      </c>
      <c r="C68" s="22">
        <v>23700000</v>
      </c>
      <c r="D68" s="5">
        <v>0.05</v>
      </c>
      <c r="E68" s="22">
        <f t="shared" si="22"/>
        <v>1185000</v>
      </c>
      <c r="F68" s="22"/>
      <c r="G68" s="92">
        <f t="shared" si="24"/>
        <v>395</v>
      </c>
      <c r="H68" s="22">
        <f>C68/395</f>
        <v>60000</v>
      </c>
      <c r="I68" s="22">
        <f t="shared" si="20"/>
        <v>279.42857142857139</v>
      </c>
      <c r="J68" s="16">
        <f t="shared" si="21"/>
        <v>1117714.2857142854</v>
      </c>
      <c r="K68" s="22"/>
      <c r="L68" s="95"/>
      <c r="M68" s="97"/>
    </row>
    <row r="69" spans="1:13" ht="15" customHeight="1" x14ac:dyDescent="0.25">
      <c r="A69" s="30" t="s">
        <v>103</v>
      </c>
      <c r="B69" s="19" t="s">
        <v>104</v>
      </c>
      <c r="C69" s="22">
        <v>63000000</v>
      </c>
      <c r="D69" s="5">
        <v>0.05</v>
      </c>
      <c r="E69" s="22">
        <f t="shared" si="22"/>
        <v>3150000</v>
      </c>
      <c r="F69" s="22"/>
      <c r="G69" s="92">
        <f t="shared" si="24"/>
        <v>420</v>
      </c>
      <c r="H69" s="22">
        <f>C69/420</f>
        <v>150000</v>
      </c>
      <c r="I69" s="22">
        <f t="shared" si="20"/>
        <v>698.57142857142856</v>
      </c>
      <c r="J69" s="16">
        <f t="shared" si="21"/>
        <v>2794285.7142857141</v>
      </c>
      <c r="K69" s="22"/>
      <c r="L69" s="95"/>
      <c r="M69" s="97"/>
    </row>
    <row r="70" spans="1:13" ht="15" customHeight="1" x14ac:dyDescent="0.25">
      <c r="A70" s="30" t="s">
        <v>113</v>
      </c>
      <c r="B70" s="19" t="s">
        <v>56</v>
      </c>
      <c r="C70" s="22"/>
      <c r="D70" s="5"/>
      <c r="E70" s="22"/>
      <c r="F70" s="22">
        <v>9791500</v>
      </c>
      <c r="G70" s="87"/>
      <c r="H70" s="22"/>
      <c r="I70" s="22">
        <f t="shared" si="20"/>
        <v>0</v>
      </c>
      <c r="J70" s="16">
        <f t="shared" si="21"/>
        <v>0</v>
      </c>
      <c r="K70" s="22">
        <v>9791500</v>
      </c>
      <c r="L70" s="98" t="s">
        <v>191</v>
      </c>
      <c r="M70" s="96">
        <f>E71+E72+E73+E74</f>
        <v>10753750</v>
      </c>
    </row>
    <row r="71" spans="1:13" ht="15" customHeight="1" x14ac:dyDescent="0.25">
      <c r="A71" s="30" t="s">
        <v>105</v>
      </c>
      <c r="B71" s="19" t="s">
        <v>95</v>
      </c>
      <c r="C71" s="22">
        <v>21060000</v>
      </c>
      <c r="D71" s="5">
        <v>0.05</v>
      </c>
      <c r="E71" s="22">
        <f t="shared" si="22"/>
        <v>1053000</v>
      </c>
      <c r="F71" s="22"/>
      <c r="G71" s="92">
        <f t="shared" ref="G71:G74" si="25">C71/H71</f>
        <v>405</v>
      </c>
      <c r="H71" s="22">
        <f>C71/405</f>
        <v>52000</v>
      </c>
      <c r="I71" s="22">
        <f t="shared" si="20"/>
        <v>242.17142857142858</v>
      </c>
      <c r="J71" s="16">
        <f t="shared" si="21"/>
        <v>968685.71428571432</v>
      </c>
      <c r="K71" s="22"/>
      <c r="L71" s="95"/>
      <c r="M71" s="97"/>
    </row>
    <row r="72" spans="1:13" ht="15" customHeight="1" x14ac:dyDescent="0.25">
      <c r="A72" s="30" t="s">
        <v>106</v>
      </c>
      <c r="B72" s="19" t="s">
        <v>47</v>
      </c>
      <c r="C72" s="22">
        <v>15015000</v>
      </c>
      <c r="D72" s="5">
        <v>0.05</v>
      </c>
      <c r="E72" s="22">
        <f t="shared" si="22"/>
        <v>750750</v>
      </c>
      <c r="F72" s="22"/>
      <c r="G72" s="92">
        <f t="shared" si="25"/>
        <v>420</v>
      </c>
      <c r="H72" s="22">
        <f>C72/420</f>
        <v>35750</v>
      </c>
      <c r="I72" s="22">
        <f t="shared" si="20"/>
        <v>166.49285714285713</v>
      </c>
      <c r="J72" s="16">
        <f t="shared" si="21"/>
        <v>665971.42857142852</v>
      </c>
      <c r="K72" s="22"/>
      <c r="L72" s="95"/>
      <c r="M72" s="97"/>
    </row>
    <row r="73" spans="1:13" ht="15" customHeight="1" x14ac:dyDescent="0.25">
      <c r="A73" s="30" t="s">
        <v>107</v>
      </c>
      <c r="B73" s="19" t="s">
        <v>104</v>
      </c>
      <c r="C73" s="22">
        <v>94500000</v>
      </c>
      <c r="D73" s="5">
        <v>0.05</v>
      </c>
      <c r="E73" s="22">
        <f t="shared" si="22"/>
        <v>4725000</v>
      </c>
      <c r="F73" s="22"/>
      <c r="G73" s="92">
        <f t="shared" si="25"/>
        <v>420</v>
      </c>
      <c r="H73" s="22">
        <f t="shared" ref="H73:H74" si="26">C73/420</f>
        <v>225000</v>
      </c>
      <c r="I73" s="22">
        <f t="shared" si="20"/>
        <v>1047.8571428571429</v>
      </c>
      <c r="J73" s="16">
        <f t="shared" si="21"/>
        <v>4191428.5714285714</v>
      </c>
      <c r="K73" s="22"/>
      <c r="L73" s="95"/>
      <c r="M73" s="97"/>
    </row>
    <row r="74" spans="1:13" ht="15" customHeight="1" x14ac:dyDescent="0.25">
      <c r="A74" s="30" t="s">
        <v>108</v>
      </c>
      <c r="B74" s="19" t="s">
        <v>104</v>
      </c>
      <c r="C74" s="22">
        <v>84500000</v>
      </c>
      <c r="D74" s="5">
        <v>0.05</v>
      </c>
      <c r="E74" s="22">
        <f t="shared" si="22"/>
        <v>4225000</v>
      </c>
      <c r="F74" s="22"/>
      <c r="G74" s="92">
        <f t="shared" si="25"/>
        <v>420</v>
      </c>
      <c r="H74" s="22">
        <f t="shared" si="26"/>
        <v>201190.47619047618</v>
      </c>
      <c r="I74" s="22">
        <f t="shared" si="20"/>
        <v>936.97278911564604</v>
      </c>
      <c r="J74" s="16">
        <f t="shared" si="21"/>
        <v>3747891.1564625842</v>
      </c>
      <c r="K74" s="22"/>
      <c r="L74" s="95"/>
      <c r="M74" s="97"/>
    </row>
    <row r="75" spans="1:13" ht="15" customHeight="1" x14ac:dyDescent="0.25">
      <c r="A75" s="30" t="s">
        <v>114</v>
      </c>
      <c r="B75" s="19" t="s">
        <v>56</v>
      </c>
      <c r="C75" s="22"/>
      <c r="D75" s="5"/>
      <c r="E75" s="22"/>
      <c r="F75" s="22">
        <v>10652250</v>
      </c>
      <c r="G75" s="87"/>
      <c r="H75" s="22"/>
      <c r="I75" s="22">
        <f t="shared" si="20"/>
        <v>0</v>
      </c>
      <c r="J75" s="16">
        <f t="shared" si="21"/>
        <v>0</v>
      </c>
      <c r="K75" s="22">
        <v>10652250</v>
      </c>
      <c r="L75" s="98" t="s">
        <v>192</v>
      </c>
      <c r="M75" s="96">
        <f>E76+E77</f>
        <v>7500000</v>
      </c>
    </row>
    <row r="76" spans="1:13" ht="15" customHeight="1" x14ac:dyDescent="0.25">
      <c r="A76" s="30" t="s">
        <v>109</v>
      </c>
      <c r="B76" s="19" t="s">
        <v>110</v>
      </c>
      <c r="C76" s="22">
        <v>50000000</v>
      </c>
      <c r="D76" s="5">
        <v>0.05</v>
      </c>
      <c r="E76" s="22">
        <f t="shared" si="22"/>
        <v>2500000</v>
      </c>
      <c r="F76" s="22"/>
      <c r="G76" s="92">
        <f t="shared" ref="G76:G77" si="27">C76/H76</f>
        <v>405</v>
      </c>
      <c r="H76" s="22">
        <f t="shared" ref="H76:H79" si="28">C76/405</f>
        <v>123456.79012345678</v>
      </c>
      <c r="I76" s="22">
        <f t="shared" si="20"/>
        <v>574.95590828924162</v>
      </c>
      <c r="J76" s="16">
        <f t="shared" si="21"/>
        <v>2299823.6331569664</v>
      </c>
      <c r="K76" s="22"/>
      <c r="L76" s="95"/>
      <c r="M76" s="97"/>
    </row>
    <row r="77" spans="1:13" ht="15" customHeight="1" x14ac:dyDescent="0.25">
      <c r="A77" s="30" t="s">
        <v>111</v>
      </c>
      <c r="B77" s="19" t="s">
        <v>110</v>
      </c>
      <c r="C77" s="22">
        <v>100000000</v>
      </c>
      <c r="D77" s="5">
        <v>0.05</v>
      </c>
      <c r="E77" s="22">
        <f t="shared" si="22"/>
        <v>5000000</v>
      </c>
      <c r="F77" s="22"/>
      <c r="G77" s="92">
        <f t="shared" si="27"/>
        <v>405</v>
      </c>
      <c r="H77" s="22">
        <f t="shared" si="28"/>
        <v>246913.58024691357</v>
      </c>
      <c r="I77" s="22">
        <f t="shared" si="20"/>
        <v>1149.9118165784832</v>
      </c>
      <c r="J77" s="16">
        <f t="shared" si="21"/>
        <v>4599647.2663139328</v>
      </c>
      <c r="K77" s="22"/>
      <c r="L77" s="95"/>
      <c r="M77" s="97"/>
    </row>
    <row r="78" spans="1:13" ht="15" customHeight="1" x14ac:dyDescent="0.25">
      <c r="A78" s="30" t="s">
        <v>123</v>
      </c>
      <c r="B78" s="20" t="s">
        <v>124</v>
      </c>
      <c r="C78" s="22"/>
      <c r="D78" s="5"/>
      <c r="E78" s="22"/>
      <c r="F78" s="22">
        <v>7500000</v>
      </c>
      <c r="G78" s="87"/>
      <c r="H78" s="22"/>
      <c r="I78" s="22">
        <f t="shared" si="20"/>
        <v>0</v>
      </c>
      <c r="J78" s="16">
        <f t="shared" si="21"/>
        <v>0</v>
      </c>
      <c r="K78" s="22">
        <v>7500000</v>
      </c>
      <c r="L78" s="98" t="s">
        <v>193</v>
      </c>
      <c r="M78" s="96">
        <f>E79</f>
        <v>2500000</v>
      </c>
    </row>
    <row r="79" spans="1:13" ht="15" customHeight="1" x14ac:dyDescent="0.25">
      <c r="A79" s="30" t="s">
        <v>112</v>
      </c>
      <c r="B79" s="19" t="s">
        <v>110</v>
      </c>
      <c r="C79" s="22">
        <v>50000000</v>
      </c>
      <c r="D79" s="5">
        <v>0.05</v>
      </c>
      <c r="E79" s="22">
        <f t="shared" si="22"/>
        <v>2500000</v>
      </c>
      <c r="F79" s="22"/>
      <c r="G79" s="92">
        <f t="shared" ref="G79" si="29">C79/H79</f>
        <v>405</v>
      </c>
      <c r="H79" s="22">
        <f t="shared" si="28"/>
        <v>123456.79012345678</v>
      </c>
      <c r="I79" s="22">
        <f t="shared" si="20"/>
        <v>574.95590828924162</v>
      </c>
      <c r="J79" s="16">
        <f t="shared" si="21"/>
        <v>2299823.6331569664</v>
      </c>
      <c r="K79" s="22"/>
      <c r="L79" s="95"/>
      <c r="M79" s="97"/>
    </row>
    <row r="80" spans="1:13" ht="15" customHeight="1" x14ac:dyDescent="0.25">
      <c r="A80" s="32"/>
      <c r="B80" s="13" t="s">
        <v>115</v>
      </c>
      <c r="C80" s="14">
        <f>SUM(C57:C79)</f>
        <v>763875000</v>
      </c>
      <c r="D80" s="15"/>
      <c r="E80" s="14">
        <f t="shared" ref="E80:K80" si="30">SUM(E57:E79)</f>
        <v>38193750</v>
      </c>
      <c r="F80" s="14">
        <f t="shared" si="30"/>
        <v>40369808</v>
      </c>
      <c r="G80" s="14"/>
      <c r="H80" s="14">
        <f t="shared" si="30"/>
        <v>1843188.8821055486</v>
      </c>
      <c r="I80" s="14">
        <f t="shared" si="30"/>
        <v>8583.9939366629842</v>
      </c>
      <c r="J80" s="18">
        <f t="shared" si="30"/>
        <v>34335975.746651933</v>
      </c>
      <c r="K80" s="14">
        <f t="shared" si="30"/>
        <v>35043170</v>
      </c>
      <c r="L80" s="14" t="s">
        <v>195</v>
      </c>
      <c r="M80" s="33">
        <f>M57+M70+M75+M78</f>
        <v>38193750</v>
      </c>
    </row>
    <row r="81" spans="1:14" ht="15" customHeight="1" thickBot="1" x14ac:dyDescent="0.3">
      <c r="A81" s="34"/>
      <c r="B81" s="35" t="s">
        <v>158</v>
      </c>
      <c r="C81" s="36">
        <f>C55+E80-F80</f>
        <v>7654020.2599999979</v>
      </c>
      <c r="D81" s="37"/>
      <c r="E81" s="38"/>
      <c r="F81" s="39">
        <f>F55+F80-E80</f>
        <v>-7654020.2599999979</v>
      </c>
      <c r="G81" s="39"/>
      <c r="H81" s="38"/>
      <c r="I81" s="38"/>
      <c r="J81" s="48">
        <f>J55+J80-K80</f>
        <v>12700832.655719966</v>
      </c>
      <c r="K81" s="38"/>
      <c r="L81" s="41"/>
      <c r="M81" s="42"/>
    </row>
    <row r="82" spans="1:14" ht="15" customHeight="1" thickBot="1" x14ac:dyDescent="0.3">
      <c r="A82" s="57"/>
      <c r="B82" s="58"/>
      <c r="C82" s="59"/>
      <c r="D82" s="60"/>
      <c r="E82" s="61"/>
      <c r="F82" s="62"/>
      <c r="G82" s="62"/>
      <c r="H82" s="61"/>
      <c r="I82" s="61"/>
      <c r="J82" s="59"/>
      <c r="K82" s="23"/>
      <c r="L82" s="45"/>
      <c r="M82" s="46"/>
    </row>
    <row r="83" spans="1:14" ht="15" customHeight="1" x14ac:dyDescent="0.25">
      <c r="A83" s="111" t="s">
        <v>5</v>
      </c>
      <c r="B83" s="112"/>
      <c r="C83" s="112"/>
      <c r="D83" s="112"/>
      <c r="E83" s="112"/>
      <c r="F83" s="112"/>
      <c r="G83" s="93"/>
      <c r="H83" s="43"/>
      <c r="I83" s="43"/>
      <c r="J83" s="43"/>
      <c r="K83" s="49"/>
      <c r="L83" s="43"/>
      <c r="M83" s="44"/>
    </row>
    <row r="84" spans="1:14" ht="44.25" customHeight="1" x14ac:dyDescent="0.25">
      <c r="A84" s="50" t="s">
        <v>0</v>
      </c>
      <c r="B84" s="2" t="s">
        <v>1</v>
      </c>
      <c r="C84" s="3" t="s">
        <v>29</v>
      </c>
      <c r="D84" s="4" t="s">
        <v>26</v>
      </c>
      <c r="E84" s="4" t="s">
        <v>150</v>
      </c>
      <c r="F84" s="4" t="s">
        <v>27</v>
      </c>
      <c r="G84" s="88"/>
      <c r="H84" s="4" t="s">
        <v>43</v>
      </c>
      <c r="I84" s="4"/>
      <c r="J84" s="24"/>
      <c r="K84" s="4"/>
      <c r="L84" s="45"/>
      <c r="M84" s="46"/>
    </row>
    <row r="85" spans="1:14" ht="15" customHeight="1" x14ac:dyDescent="0.25">
      <c r="A85" s="32" t="s">
        <v>30</v>
      </c>
      <c r="B85" s="19" t="s">
        <v>161</v>
      </c>
      <c r="C85" s="22">
        <v>16200000</v>
      </c>
      <c r="D85" s="5">
        <v>0.05</v>
      </c>
      <c r="E85" s="22">
        <f>C85*D85</f>
        <v>810000</v>
      </c>
      <c r="F85" s="22"/>
      <c r="G85" s="92">
        <f t="shared" ref="G85:G94" si="31">C85/H85</f>
        <v>430</v>
      </c>
      <c r="H85" s="22">
        <f>C85/430</f>
        <v>37674.41860465116</v>
      </c>
      <c r="I85" s="22">
        <f>(H85/350*1.63)</f>
        <v>175.45514950166111</v>
      </c>
      <c r="J85" s="16">
        <f t="shared" ref="J85:J100" si="32">I85*4000</f>
        <v>701820.5980066444</v>
      </c>
      <c r="K85" s="22"/>
      <c r="L85" s="95" t="s">
        <v>191</v>
      </c>
      <c r="M85" s="96">
        <f>E85+E86</f>
        <v>1210000</v>
      </c>
      <c r="N85" s="94"/>
    </row>
    <row r="86" spans="1:14" ht="15" customHeight="1" x14ac:dyDescent="0.25">
      <c r="A86" s="32" t="s">
        <v>31</v>
      </c>
      <c r="B86" s="19" t="s">
        <v>162</v>
      </c>
      <c r="C86" s="22">
        <v>8000000</v>
      </c>
      <c r="D86" s="5">
        <v>0.05</v>
      </c>
      <c r="E86" s="22">
        <f t="shared" ref="E86:E100" si="33">C86*D86</f>
        <v>400000</v>
      </c>
      <c r="F86" s="22"/>
      <c r="G86" s="92">
        <f t="shared" si="31"/>
        <v>400</v>
      </c>
      <c r="H86" s="22">
        <f>C86/400</f>
        <v>20000</v>
      </c>
      <c r="I86" s="22">
        <f t="shared" ref="I86:I100" si="34">(H86/350*1.63)</f>
        <v>93.142857142857139</v>
      </c>
      <c r="J86" s="16">
        <f t="shared" si="32"/>
        <v>372571.42857142858</v>
      </c>
      <c r="K86" s="22"/>
      <c r="L86" s="95"/>
      <c r="M86" s="97"/>
      <c r="N86" s="94">
        <f>I86/400</f>
        <v>0.23285714285714285</v>
      </c>
    </row>
    <row r="87" spans="1:14" ht="15" customHeight="1" x14ac:dyDescent="0.25">
      <c r="A87" s="32" t="s">
        <v>32</v>
      </c>
      <c r="B87" s="19" t="s">
        <v>163</v>
      </c>
      <c r="C87" s="22">
        <v>10000000</v>
      </c>
      <c r="D87" s="5">
        <v>0.05</v>
      </c>
      <c r="E87" s="22">
        <f t="shared" si="33"/>
        <v>500000</v>
      </c>
      <c r="F87" s="22"/>
      <c r="G87" s="92">
        <f t="shared" si="31"/>
        <v>420</v>
      </c>
      <c r="H87" s="22">
        <f>C87/420</f>
        <v>23809.523809523809</v>
      </c>
      <c r="I87" s="22">
        <f t="shared" si="34"/>
        <v>110.88435374149658</v>
      </c>
      <c r="J87" s="16">
        <f t="shared" si="32"/>
        <v>443537.41496598633</v>
      </c>
      <c r="K87" s="22"/>
      <c r="L87" s="95" t="s">
        <v>192</v>
      </c>
      <c r="M87" s="96">
        <f>E87+E88+E89+E90+E91+E92</f>
        <v>2904750</v>
      </c>
      <c r="N87" s="94">
        <f>I87/420</f>
        <v>0.26401036605118233</v>
      </c>
    </row>
    <row r="88" spans="1:14" ht="15" customHeight="1" x14ac:dyDescent="0.25">
      <c r="A88" s="32" t="s">
        <v>32</v>
      </c>
      <c r="B88" s="19" t="s">
        <v>164</v>
      </c>
      <c r="C88" s="22">
        <v>8000000</v>
      </c>
      <c r="D88" s="5">
        <v>0.05</v>
      </c>
      <c r="E88" s="22">
        <f t="shared" si="33"/>
        <v>400000</v>
      </c>
      <c r="F88" s="22"/>
      <c r="G88" s="92">
        <f t="shared" si="31"/>
        <v>430</v>
      </c>
      <c r="H88" s="22">
        <f>C88/430</f>
        <v>18604.651162790698</v>
      </c>
      <c r="I88" s="22">
        <f t="shared" si="34"/>
        <v>86.644518272425245</v>
      </c>
      <c r="J88" s="16">
        <f t="shared" si="32"/>
        <v>346578.07308970101</v>
      </c>
      <c r="K88" s="22"/>
      <c r="L88" s="95"/>
      <c r="M88" s="97"/>
      <c r="N88" s="94">
        <f>I88/430</f>
        <v>0.20149887970331451</v>
      </c>
    </row>
    <row r="89" spans="1:14" ht="15" customHeight="1" x14ac:dyDescent="0.25">
      <c r="A89" s="32" t="s">
        <v>33</v>
      </c>
      <c r="B89" s="19" t="s">
        <v>165</v>
      </c>
      <c r="C89" s="22">
        <v>10125000</v>
      </c>
      <c r="D89" s="5">
        <v>0.05</v>
      </c>
      <c r="E89" s="22">
        <f t="shared" si="33"/>
        <v>506250</v>
      </c>
      <c r="F89" s="22"/>
      <c r="G89" s="92">
        <f t="shared" si="31"/>
        <v>405</v>
      </c>
      <c r="H89" s="22">
        <f>C89/405</f>
        <v>25000</v>
      </c>
      <c r="I89" s="22">
        <f t="shared" si="34"/>
        <v>116.42857142857143</v>
      </c>
      <c r="J89" s="16">
        <f t="shared" si="32"/>
        <v>465714.28571428574</v>
      </c>
      <c r="K89" s="22"/>
      <c r="L89" s="95"/>
      <c r="M89" s="97"/>
      <c r="N89" s="94">
        <f>I89/405</f>
        <v>0.2874779541446208</v>
      </c>
    </row>
    <row r="90" spans="1:14" ht="15" customHeight="1" x14ac:dyDescent="0.25">
      <c r="A90" s="32" t="s">
        <v>34</v>
      </c>
      <c r="B90" s="19" t="s">
        <v>165</v>
      </c>
      <c r="C90" s="22">
        <v>5670000</v>
      </c>
      <c r="D90" s="5">
        <v>0.05</v>
      </c>
      <c r="E90" s="22">
        <f t="shared" si="33"/>
        <v>283500</v>
      </c>
      <c r="F90" s="22"/>
      <c r="G90" s="92">
        <f t="shared" si="31"/>
        <v>405</v>
      </c>
      <c r="H90" s="22">
        <f>C90/405</f>
        <v>14000</v>
      </c>
      <c r="I90" s="22">
        <f t="shared" si="34"/>
        <v>65.199999999999989</v>
      </c>
      <c r="J90" s="16">
        <f t="shared" si="32"/>
        <v>260799.99999999994</v>
      </c>
      <c r="K90" s="22"/>
      <c r="L90" s="95"/>
      <c r="M90" s="97"/>
      <c r="N90" s="94">
        <f>I90/405</f>
        <v>0.16098765432098763</v>
      </c>
    </row>
    <row r="91" spans="1:14" ht="15" customHeight="1" x14ac:dyDescent="0.25">
      <c r="A91" s="32" t="s">
        <v>35</v>
      </c>
      <c r="B91" s="19" t="s">
        <v>166</v>
      </c>
      <c r="C91" s="22">
        <v>12300000</v>
      </c>
      <c r="D91" s="5">
        <v>0.05</v>
      </c>
      <c r="E91" s="22">
        <f t="shared" si="33"/>
        <v>615000</v>
      </c>
      <c r="F91" s="22"/>
      <c r="G91" s="92">
        <f t="shared" si="31"/>
        <v>410</v>
      </c>
      <c r="H91" s="22">
        <f>C91/410</f>
        <v>30000</v>
      </c>
      <c r="I91" s="22">
        <f t="shared" si="34"/>
        <v>139.71428571428569</v>
      </c>
      <c r="J91" s="16">
        <f t="shared" si="32"/>
        <v>558857.14285714272</v>
      </c>
      <c r="K91" s="22"/>
      <c r="L91" s="95"/>
      <c r="M91" s="97"/>
      <c r="N91" s="94">
        <f>I91/410</f>
        <v>0.34076655052264804</v>
      </c>
    </row>
    <row r="92" spans="1:14" ht="15" customHeight="1" x14ac:dyDescent="0.25">
      <c r="A92" s="32" t="s">
        <v>36</v>
      </c>
      <c r="B92" s="19" t="s">
        <v>167</v>
      </c>
      <c r="C92" s="22">
        <v>12000000</v>
      </c>
      <c r="D92" s="5">
        <v>0.05</v>
      </c>
      <c r="E92" s="22">
        <f t="shared" si="33"/>
        <v>600000</v>
      </c>
      <c r="F92" s="22"/>
      <c r="G92" s="92">
        <f t="shared" si="31"/>
        <v>400</v>
      </c>
      <c r="H92" s="22">
        <f>C92/400</f>
        <v>30000</v>
      </c>
      <c r="I92" s="22">
        <f t="shared" si="34"/>
        <v>139.71428571428569</v>
      </c>
      <c r="J92" s="16">
        <f t="shared" si="32"/>
        <v>558857.14285714272</v>
      </c>
      <c r="K92" s="22"/>
      <c r="L92" s="95"/>
      <c r="M92" s="97"/>
      <c r="N92" s="94">
        <f>I92/400</f>
        <v>0.34928571428571425</v>
      </c>
    </row>
    <row r="93" spans="1:14" ht="15" customHeight="1" x14ac:dyDescent="0.25">
      <c r="A93" s="32" t="s">
        <v>37</v>
      </c>
      <c r="B93" s="19" t="s">
        <v>168</v>
      </c>
      <c r="C93" s="22">
        <v>6000000</v>
      </c>
      <c r="D93" s="5">
        <v>0.05</v>
      </c>
      <c r="E93" s="22">
        <f t="shared" si="33"/>
        <v>300000</v>
      </c>
      <c r="F93" s="22"/>
      <c r="G93" s="92">
        <f t="shared" si="31"/>
        <v>400</v>
      </c>
      <c r="H93" s="22">
        <f>C93/400</f>
        <v>15000</v>
      </c>
      <c r="I93" s="22">
        <f t="shared" si="34"/>
        <v>69.857142857142847</v>
      </c>
      <c r="J93" s="16">
        <f t="shared" si="32"/>
        <v>279428.57142857136</v>
      </c>
      <c r="K93" s="22"/>
      <c r="L93" s="95" t="s">
        <v>193</v>
      </c>
      <c r="M93" s="96">
        <f>E93+E94+E96+E97+E98+E99+E100</f>
        <v>4263000</v>
      </c>
      <c r="N93" s="94">
        <f>I93/400</f>
        <v>0.17464285714285713</v>
      </c>
    </row>
    <row r="94" spans="1:14" ht="15" customHeight="1" x14ac:dyDescent="0.25">
      <c r="A94" s="32" t="s">
        <v>37</v>
      </c>
      <c r="B94" s="19" t="s">
        <v>168</v>
      </c>
      <c r="C94" s="22">
        <v>2000000</v>
      </c>
      <c r="D94" s="5">
        <v>0.05</v>
      </c>
      <c r="E94" s="22">
        <f t="shared" si="33"/>
        <v>100000</v>
      </c>
      <c r="F94" s="22"/>
      <c r="G94" s="92">
        <f t="shared" si="31"/>
        <v>400</v>
      </c>
      <c r="H94" s="22">
        <f>C94/400</f>
        <v>5000</v>
      </c>
      <c r="I94" s="22">
        <f t="shared" si="34"/>
        <v>23.285714285714285</v>
      </c>
      <c r="J94" s="16">
        <f t="shared" si="32"/>
        <v>93142.857142857145</v>
      </c>
      <c r="K94" s="22"/>
      <c r="L94" s="95"/>
      <c r="M94" s="97"/>
      <c r="N94" s="94">
        <f>I94/400</f>
        <v>5.8214285714285711E-2</v>
      </c>
    </row>
    <row r="95" spans="1:14" ht="15" customHeight="1" x14ac:dyDescent="0.25">
      <c r="A95" s="32" t="s">
        <v>38</v>
      </c>
      <c r="B95" s="19" t="s">
        <v>28</v>
      </c>
      <c r="C95" s="22"/>
      <c r="D95" s="5"/>
      <c r="E95" s="22"/>
      <c r="F95" s="22">
        <v>1287693.4099999999</v>
      </c>
      <c r="G95" s="87"/>
      <c r="H95" s="22"/>
      <c r="I95" s="22">
        <f t="shared" si="34"/>
        <v>0</v>
      </c>
      <c r="J95" s="16">
        <f t="shared" si="32"/>
        <v>0</v>
      </c>
      <c r="K95" s="22"/>
      <c r="L95" s="95"/>
      <c r="M95" s="97"/>
      <c r="N95" s="94"/>
    </row>
    <row r="96" spans="1:14" ht="15" customHeight="1" x14ac:dyDescent="0.25">
      <c r="A96" s="32" t="s">
        <v>39</v>
      </c>
      <c r="B96" s="19" t="s">
        <v>161</v>
      </c>
      <c r="C96" s="22">
        <v>3280000</v>
      </c>
      <c r="D96" s="5">
        <v>0.05</v>
      </c>
      <c r="E96" s="22">
        <f t="shared" si="33"/>
        <v>164000</v>
      </c>
      <c r="F96" s="22"/>
      <c r="G96" s="92">
        <f t="shared" ref="G96:G100" si="35">C96/H96</f>
        <v>430</v>
      </c>
      <c r="H96" s="22">
        <f>C96/430</f>
        <v>7627.9069767441861</v>
      </c>
      <c r="I96" s="22">
        <f t="shared" si="34"/>
        <v>35.524252491694348</v>
      </c>
      <c r="J96" s="16">
        <f t="shared" si="32"/>
        <v>142097.0099667774</v>
      </c>
      <c r="K96" s="22"/>
      <c r="L96" s="95"/>
      <c r="M96" s="97"/>
      <c r="N96" s="94">
        <f>I96/430</f>
        <v>8.2614540678358953E-2</v>
      </c>
    </row>
    <row r="97" spans="1:14" ht="15" customHeight="1" x14ac:dyDescent="0.25">
      <c r="A97" s="32" t="s">
        <v>40</v>
      </c>
      <c r="B97" s="19" t="s">
        <v>164</v>
      </c>
      <c r="C97" s="22">
        <v>8600000</v>
      </c>
      <c r="D97" s="5">
        <v>0.05</v>
      </c>
      <c r="E97" s="22">
        <f t="shared" si="33"/>
        <v>430000</v>
      </c>
      <c r="F97" s="22"/>
      <c r="G97" s="92">
        <f t="shared" si="35"/>
        <v>430</v>
      </c>
      <c r="H97" s="22">
        <f>C97/430</f>
        <v>20000</v>
      </c>
      <c r="I97" s="22">
        <f t="shared" si="34"/>
        <v>93.142857142857139</v>
      </c>
      <c r="J97" s="16">
        <f t="shared" si="32"/>
        <v>372571.42857142858</v>
      </c>
      <c r="K97" s="22"/>
      <c r="L97" s="95"/>
      <c r="M97" s="97"/>
      <c r="N97" s="94">
        <f>I97/430</f>
        <v>0.2166112956810631</v>
      </c>
    </row>
    <row r="98" spans="1:14" ht="15" customHeight="1" x14ac:dyDescent="0.25">
      <c r="A98" s="32" t="s">
        <v>40</v>
      </c>
      <c r="B98" s="19" t="s">
        <v>164</v>
      </c>
      <c r="C98" s="22">
        <v>4730000</v>
      </c>
      <c r="D98" s="5">
        <v>0.05</v>
      </c>
      <c r="E98" s="22">
        <f t="shared" si="33"/>
        <v>236500</v>
      </c>
      <c r="F98" s="22"/>
      <c r="G98" s="92">
        <f t="shared" si="35"/>
        <v>430</v>
      </c>
      <c r="H98" s="22">
        <f>C98/430</f>
        <v>11000</v>
      </c>
      <c r="I98" s="22">
        <f t="shared" si="34"/>
        <v>51.228571428571421</v>
      </c>
      <c r="J98" s="16">
        <f t="shared" si="32"/>
        <v>204914.28571428568</v>
      </c>
      <c r="K98" s="22"/>
      <c r="L98" s="95"/>
      <c r="M98" s="97"/>
      <c r="N98" s="94">
        <f>I98/430</f>
        <v>0.11913621262458469</v>
      </c>
    </row>
    <row r="99" spans="1:14" ht="15" customHeight="1" x14ac:dyDescent="0.25">
      <c r="A99" s="32" t="s">
        <v>41</v>
      </c>
      <c r="B99" s="19" t="s">
        <v>169</v>
      </c>
      <c r="C99" s="22">
        <v>4650000</v>
      </c>
      <c r="D99" s="5">
        <v>0.05</v>
      </c>
      <c r="E99" s="22">
        <f t="shared" si="33"/>
        <v>232500</v>
      </c>
      <c r="F99" s="22"/>
      <c r="G99" s="92">
        <f t="shared" si="35"/>
        <v>430</v>
      </c>
      <c r="H99" s="22">
        <f>C99/430</f>
        <v>10813.953488372093</v>
      </c>
      <c r="I99" s="22">
        <f t="shared" si="34"/>
        <v>50.362126245847179</v>
      </c>
      <c r="J99" s="16">
        <f t="shared" si="32"/>
        <v>201448.5049833887</v>
      </c>
      <c r="K99" s="22"/>
      <c r="L99" s="95"/>
      <c r="M99" s="97"/>
      <c r="N99" s="94">
        <f>I99/430</f>
        <v>0.11712122382755158</v>
      </c>
    </row>
    <row r="100" spans="1:14" ht="15" customHeight="1" x14ac:dyDescent="0.25">
      <c r="A100" s="32" t="s">
        <v>42</v>
      </c>
      <c r="B100" s="19" t="s">
        <v>170</v>
      </c>
      <c r="C100" s="22">
        <v>56000000</v>
      </c>
      <c r="D100" s="5">
        <v>0.05</v>
      </c>
      <c r="E100" s="22">
        <f t="shared" si="33"/>
        <v>2800000</v>
      </c>
      <c r="F100" s="22"/>
      <c r="G100" s="92">
        <f t="shared" si="35"/>
        <v>419.99999999999994</v>
      </c>
      <c r="H100" s="22">
        <f>C100/420</f>
        <v>133333.33333333334</v>
      </c>
      <c r="I100" s="22">
        <f t="shared" si="34"/>
        <v>620.95238095238096</v>
      </c>
      <c r="J100" s="16">
        <f t="shared" si="32"/>
        <v>2483809.5238095238</v>
      </c>
      <c r="K100" s="22"/>
      <c r="L100" s="95"/>
      <c r="M100" s="97"/>
      <c r="N100" s="94">
        <f>I100/420</f>
        <v>1.4784580498866213</v>
      </c>
    </row>
    <row r="101" spans="1:14" ht="15" customHeight="1" x14ac:dyDescent="0.25">
      <c r="A101" s="32"/>
      <c r="B101" s="2" t="s">
        <v>2</v>
      </c>
      <c r="C101" s="6">
        <f>SUM(C85:C100)</f>
        <v>167555000</v>
      </c>
      <c r="D101" s="7" t="s">
        <v>3</v>
      </c>
      <c r="E101" s="6">
        <f>SUM(E85:E100)</f>
        <v>8377750</v>
      </c>
      <c r="F101" s="6">
        <f>SUM(F85:F100)</f>
        <v>1287693.4099999999</v>
      </c>
      <c r="G101" s="6"/>
      <c r="H101" s="6">
        <f t="shared" ref="H101:K101" si="36">SUM(H85:H100)</f>
        <v>401863.78737541533</v>
      </c>
      <c r="I101" s="6">
        <f t="shared" si="36"/>
        <v>1871.537066919791</v>
      </c>
      <c r="J101" s="17">
        <f t="shared" si="36"/>
        <v>7486148.2676791642</v>
      </c>
      <c r="K101" s="6">
        <f t="shared" si="36"/>
        <v>0</v>
      </c>
      <c r="L101" s="14" t="s">
        <v>195</v>
      </c>
      <c r="M101" s="47">
        <f>M85+M87+M93</f>
        <v>8377750</v>
      </c>
      <c r="N101" s="94"/>
    </row>
    <row r="102" spans="1:14" ht="15" customHeight="1" thickBot="1" x14ac:dyDescent="0.3">
      <c r="A102" s="34"/>
      <c r="B102" s="51" t="s">
        <v>159</v>
      </c>
      <c r="C102" s="39">
        <f>C81+E101-F101</f>
        <v>14744076.849999998</v>
      </c>
      <c r="D102" s="52"/>
      <c r="E102" s="39"/>
      <c r="F102" s="39">
        <f>F81+F101-E101</f>
        <v>-14744076.849999998</v>
      </c>
      <c r="G102" s="39"/>
      <c r="H102" s="38"/>
      <c r="I102" s="38"/>
      <c r="J102" s="40">
        <f>J81+J101-K101</f>
        <v>20186980.923399128</v>
      </c>
      <c r="K102" s="38"/>
      <c r="L102" s="41"/>
      <c r="M102" s="42"/>
    </row>
    <row r="103" spans="1:14" ht="15" customHeight="1" x14ac:dyDescent="0.25">
      <c r="A103" s="103" t="s">
        <v>4</v>
      </c>
      <c r="B103" s="104"/>
      <c r="C103" s="104"/>
      <c r="D103" s="104"/>
      <c r="E103" s="104"/>
      <c r="F103" s="105"/>
      <c r="G103" s="89"/>
      <c r="H103" s="27"/>
      <c r="I103" s="27"/>
      <c r="J103" s="29"/>
      <c r="K103" s="27"/>
      <c r="L103" s="43"/>
      <c r="M103" s="44"/>
    </row>
    <row r="104" spans="1:14" ht="15" customHeight="1" x14ac:dyDescent="0.25">
      <c r="A104" s="53" t="s">
        <v>6</v>
      </c>
      <c r="B104" s="19" t="s">
        <v>169</v>
      </c>
      <c r="C104" s="8">
        <v>4650000</v>
      </c>
      <c r="D104" s="5">
        <v>0.05</v>
      </c>
      <c r="E104" s="22">
        <f t="shared" ref="E104:E122" si="37">C104*D104</f>
        <v>232500</v>
      </c>
      <c r="F104" s="22"/>
      <c r="G104" s="92">
        <f t="shared" ref="G104:G110" si="38">C104/H104</f>
        <v>430</v>
      </c>
      <c r="H104" s="22">
        <f>C104/430</f>
        <v>10813.953488372093</v>
      </c>
      <c r="I104" s="22">
        <f t="shared" ref="I104:I123" si="39">(H104/350*1.63)</f>
        <v>50.362126245847179</v>
      </c>
      <c r="J104" s="16">
        <f t="shared" ref="J104:J123" si="40">I104*4000</f>
        <v>201448.5049833887</v>
      </c>
      <c r="K104" s="22"/>
      <c r="L104" s="95" t="s">
        <v>194</v>
      </c>
      <c r="M104" s="96">
        <f>E104+E105+E106+E107+E108+E109+E110</f>
        <v>15812500</v>
      </c>
    </row>
    <row r="105" spans="1:14" ht="15" customHeight="1" x14ac:dyDescent="0.25">
      <c r="A105" s="53" t="s">
        <v>7</v>
      </c>
      <c r="B105" s="21" t="s">
        <v>171</v>
      </c>
      <c r="C105" s="8">
        <v>56000000</v>
      </c>
      <c r="D105" s="5">
        <v>0.05</v>
      </c>
      <c r="E105" s="22">
        <f t="shared" si="37"/>
        <v>2800000</v>
      </c>
      <c r="F105" s="22"/>
      <c r="G105" s="92">
        <f t="shared" si="38"/>
        <v>419.99999999999994</v>
      </c>
      <c r="H105" s="22">
        <f>C105/420</f>
        <v>133333.33333333334</v>
      </c>
      <c r="I105" s="22">
        <f t="shared" si="39"/>
        <v>620.95238095238096</v>
      </c>
      <c r="J105" s="16">
        <f t="shared" si="40"/>
        <v>2483809.5238095238</v>
      </c>
      <c r="K105" s="22"/>
      <c r="L105" s="95"/>
      <c r="M105" s="97"/>
    </row>
    <row r="106" spans="1:14" ht="15" customHeight="1" x14ac:dyDescent="0.25">
      <c r="A106" s="53" t="s">
        <v>8</v>
      </c>
      <c r="B106" s="21" t="s">
        <v>172</v>
      </c>
      <c r="C106" s="8">
        <v>138000000</v>
      </c>
      <c r="D106" s="5">
        <v>0.05</v>
      </c>
      <c r="E106" s="22">
        <f t="shared" si="37"/>
        <v>6900000</v>
      </c>
      <c r="F106" s="22"/>
      <c r="G106" s="92">
        <f t="shared" si="38"/>
        <v>460</v>
      </c>
      <c r="H106" s="22">
        <f>C106/460</f>
        <v>300000</v>
      </c>
      <c r="I106" s="22">
        <f t="shared" si="39"/>
        <v>1397.1428571428571</v>
      </c>
      <c r="J106" s="16">
        <f t="shared" si="40"/>
        <v>5588571.4285714282</v>
      </c>
      <c r="K106" s="22"/>
      <c r="L106" s="95"/>
      <c r="M106" s="97"/>
    </row>
    <row r="107" spans="1:14" ht="15" customHeight="1" x14ac:dyDescent="0.25">
      <c r="A107" s="53" t="s">
        <v>9</v>
      </c>
      <c r="B107" s="21" t="s">
        <v>173</v>
      </c>
      <c r="C107" s="8">
        <v>70000000</v>
      </c>
      <c r="D107" s="5">
        <v>0.05</v>
      </c>
      <c r="E107" s="22">
        <f t="shared" si="37"/>
        <v>3500000</v>
      </c>
      <c r="F107" s="22"/>
      <c r="G107" s="92">
        <f t="shared" si="38"/>
        <v>560</v>
      </c>
      <c r="H107" s="22">
        <f>C107/560</f>
        <v>125000</v>
      </c>
      <c r="I107" s="22">
        <f t="shared" si="39"/>
        <v>582.14285714285711</v>
      </c>
      <c r="J107" s="16">
        <f t="shared" si="40"/>
        <v>2328571.4285714286</v>
      </c>
      <c r="K107" s="22"/>
      <c r="L107" s="95"/>
      <c r="M107" s="97"/>
    </row>
    <row r="108" spans="1:14" ht="15" customHeight="1" x14ac:dyDescent="0.25">
      <c r="A108" s="53" t="s">
        <v>10</v>
      </c>
      <c r="B108" s="21" t="s">
        <v>174</v>
      </c>
      <c r="C108" s="8">
        <v>33000000</v>
      </c>
      <c r="D108" s="5">
        <v>0.05</v>
      </c>
      <c r="E108" s="22">
        <f t="shared" si="37"/>
        <v>1650000</v>
      </c>
      <c r="F108" s="22"/>
      <c r="G108" s="92">
        <f t="shared" si="38"/>
        <v>420.00000000000006</v>
      </c>
      <c r="H108" s="22">
        <f>C108/420</f>
        <v>78571.428571428565</v>
      </c>
      <c r="I108" s="22">
        <f t="shared" si="39"/>
        <v>365.91836734693874</v>
      </c>
      <c r="J108" s="16">
        <f t="shared" si="40"/>
        <v>1463673.469387755</v>
      </c>
      <c r="K108" s="22"/>
      <c r="L108" s="95"/>
      <c r="M108" s="97"/>
    </row>
    <row r="109" spans="1:14" ht="15" customHeight="1" x14ac:dyDescent="0.25">
      <c r="A109" s="53" t="s">
        <v>11</v>
      </c>
      <c r="B109" s="21" t="s">
        <v>175</v>
      </c>
      <c r="C109" s="8">
        <v>10000000</v>
      </c>
      <c r="D109" s="5">
        <v>0.05</v>
      </c>
      <c r="E109" s="22">
        <f t="shared" si="37"/>
        <v>500000</v>
      </c>
      <c r="F109" s="22"/>
      <c r="G109" s="92">
        <f t="shared" si="38"/>
        <v>450</v>
      </c>
      <c r="H109" s="22">
        <f>C109/450</f>
        <v>22222.222222222223</v>
      </c>
      <c r="I109" s="22">
        <f t="shared" si="39"/>
        <v>103.49206349206349</v>
      </c>
      <c r="J109" s="16">
        <f t="shared" si="40"/>
        <v>413968.25396825396</v>
      </c>
      <c r="K109" s="22"/>
      <c r="L109" s="95"/>
      <c r="M109" s="97"/>
    </row>
    <row r="110" spans="1:14" ht="15" customHeight="1" x14ac:dyDescent="0.25">
      <c r="A110" s="53" t="s">
        <v>12</v>
      </c>
      <c r="B110" s="21" t="s">
        <v>176</v>
      </c>
      <c r="C110" s="8">
        <v>4600000</v>
      </c>
      <c r="D110" s="5">
        <v>0.05</v>
      </c>
      <c r="E110" s="22">
        <f t="shared" si="37"/>
        <v>230000</v>
      </c>
      <c r="F110" s="22"/>
      <c r="G110" s="92">
        <f t="shared" si="38"/>
        <v>460</v>
      </c>
      <c r="H110" s="22">
        <f>C110/460</f>
        <v>10000</v>
      </c>
      <c r="I110" s="22">
        <f t="shared" si="39"/>
        <v>46.571428571428569</v>
      </c>
      <c r="J110" s="16">
        <f t="shared" si="40"/>
        <v>186285.71428571429</v>
      </c>
      <c r="K110" s="22"/>
      <c r="L110" s="95"/>
      <c r="M110" s="97"/>
    </row>
    <row r="111" spans="1:14" ht="15" customHeight="1" x14ac:dyDescent="0.25">
      <c r="A111" s="53" t="s">
        <v>21</v>
      </c>
      <c r="B111" s="19" t="s">
        <v>28</v>
      </c>
      <c r="C111" s="8"/>
      <c r="D111" s="5"/>
      <c r="E111" s="22"/>
      <c r="F111" s="8">
        <v>604215</v>
      </c>
      <c r="G111" s="8"/>
      <c r="H111" s="22"/>
      <c r="I111" s="22">
        <f t="shared" si="39"/>
        <v>0</v>
      </c>
      <c r="J111" s="16">
        <f t="shared" si="40"/>
        <v>0</v>
      </c>
      <c r="K111" s="22"/>
      <c r="L111" s="95"/>
      <c r="M111" s="97"/>
    </row>
    <row r="112" spans="1:14" ht="15" customHeight="1" x14ac:dyDescent="0.25">
      <c r="A112" s="53" t="s">
        <v>22</v>
      </c>
      <c r="B112" s="19" t="s">
        <v>28</v>
      </c>
      <c r="C112" s="8"/>
      <c r="D112" s="5"/>
      <c r="E112" s="22"/>
      <c r="F112" s="8">
        <v>8723.07</v>
      </c>
      <c r="G112" s="8"/>
      <c r="H112" s="22"/>
      <c r="I112" s="22">
        <f t="shared" si="39"/>
        <v>0</v>
      </c>
      <c r="J112" s="16">
        <f t="shared" si="40"/>
        <v>0</v>
      </c>
      <c r="K112" s="22"/>
      <c r="L112" s="95" t="s">
        <v>191</v>
      </c>
      <c r="M112" s="96">
        <f>E113+E115+E116+E117</f>
        <v>1530000</v>
      </c>
    </row>
    <row r="113" spans="1:13" ht="15" customHeight="1" x14ac:dyDescent="0.25">
      <c r="A113" s="53" t="s">
        <v>13</v>
      </c>
      <c r="B113" s="21" t="s">
        <v>177</v>
      </c>
      <c r="C113" s="8">
        <v>14000000</v>
      </c>
      <c r="D113" s="5">
        <v>0.05</v>
      </c>
      <c r="E113" s="22">
        <f t="shared" si="37"/>
        <v>700000</v>
      </c>
      <c r="F113" s="22"/>
      <c r="G113" s="92">
        <f t="shared" ref="G113" si="41">C113/H113</f>
        <v>590</v>
      </c>
      <c r="H113" s="22">
        <f>C113/590</f>
        <v>23728.813559322032</v>
      </c>
      <c r="I113" s="22">
        <f t="shared" si="39"/>
        <v>110.50847457627117</v>
      </c>
      <c r="J113" s="16">
        <f t="shared" si="40"/>
        <v>442033.89830508467</v>
      </c>
      <c r="K113" s="22"/>
      <c r="L113" s="95"/>
      <c r="M113" s="97"/>
    </row>
    <row r="114" spans="1:13" ht="15" customHeight="1" x14ac:dyDescent="0.25">
      <c r="A114" s="53" t="s">
        <v>13</v>
      </c>
      <c r="B114" s="19" t="s">
        <v>28</v>
      </c>
      <c r="C114" s="8"/>
      <c r="D114" s="5"/>
      <c r="E114" s="22"/>
      <c r="F114" s="22">
        <v>14000000</v>
      </c>
      <c r="G114" s="87"/>
      <c r="H114" s="22"/>
      <c r="I114" s="22">
        <f t="shared" si="39"/>
        <v>0</v>
      </c>
      <c r="J114" s="16">
        <f t="shared" si="40"/>
        <v>0</v>
      </c>
      <c r="K114" s="22"/>
      <c r="L114" s="95"/>
      <c r="M114" s="97"/>
    </row>
    <row r="115" spans="1:13" ht="15" customHeight="1" x14ac:dyDescent="0.25">
      <c r="A115" s="53" t="s">
        <v>14</v>
      </c>
      <c r="B115" s="21" t="s">
        <v>178</v>
      </c>
      <c r="C115" s="8">
        <v>11000000</v>
      </c>
      <c r="D115" s="5">
        <v>0.05</v>
      </c>
      <c r="E115" s="22">
        <f t="shared" si="37"/>
        <v>550000</v>
      </c>
      <c r="F115" s="22"/>
      <c r="G115" s="92">
        <f t="shared" ref="G115:G116" si="42">C115/H115</f>
        <v>560</v>
      </c>
      <c r="H115" s="22">
        <f>C115/560</f>
        <v>19642.857142857141</v>
      </c>
      <c r="I115" s="22">
        <f t="shared" si="39"/>
        <v>91.479591836734684</v>
      </c>
      <c r="J115" s="16">
        <f t="shared" si="40"/>
        <v>365918.36734693876</v>
      </c>
      <c r="K115" s="22"/>
      <c r="L115" s="95"/>
      <c r="M115" s="97"/>
    </row>
    <row r="116" spans="1:13" ht="15" customHeight="1" x14ac:dyDescent="0.25">
      <c r="A116" s="53" t="s">
        <v>15</v>
      </c>
      <c r="B116" s="21" t="s">
        <v>178</v>
      </c>
      <c r="C116" s="8">
        <v>5600000</v>
      </c>
      <c r="D116" s="5">
        <v>0.05</v>
      </c>
      <c r="E116" s="22">
        <f t="shared" si="37"/>
        <v>280000</v>
      </c>
      <c r="F116" s="22"/>
      <c r="G116" s="92">
        <f t="shared" si="42"/>
        <v>560</v>
      </c>
      <c r="H116" s="22">
        <f>C116/560</f>
        <v>10000</v>
      </c>
      <c r="I116" s="22">
        <f t="shared" si="39"/>
        <v>46.571428571428569</v>
      </c>
      <c r="J116" s="16">
        <f t="shared" si="40"/>
        <v>186285.71428571429</v>
      </c>
      <c r="K116" s="22"/>
      <c r="L116" s="95"/>
      <c r="M116" s="97"/>
    </row>
    <row r="117" spans="1:13" ht="15" customHeight="1" x14ac:dyDescent="0.25">
      <c r="A117" s="54">
        <v>43277</v>
      </c>
      <c r="B117" s="19" t="s">
        <v>28</v>
      </c>
      <c r="C117" s="8"/>
      <c r="D117" s="5"/>
      <c r="E117" s="22"/>
      <c r="F117" s="8">
        <v>361276.93</v>
      </c>
      <c r="G117" s="8"/>
      <c r="H117" s="22"/>
      <c r="I117" s="22">
        <f t="shared" si="39"/>
        <v>0</v>
      </c>
      <c r="J117" s="16">
        <f t="shared" si="40"/>
        <v>0</v>
      </c>
      <c r="K117" s="22"/>
      <c r="L117" s="95"/>
      <c r="M117" s="97"/>
    </row>
    <row r="118" spans="1:13" ht="15" customHeight="1" x14ac:dyDescent="0.25">
      <c r="A118" s="53" t="s">
        <v>16</v>
      </c>
      <c r="B118" s="21" t="s">
        <v>179</v>
      </c>
      <c r="C118" s="8">
        <v>159000000</v>
      </c>
      <c r="D118" s="5">
        <v>0.05</v>
      </c>
      <c r="E118" s="22">
        <f t="shared" si="37"/>
        <v>7950000</v>
      </c>
      <c r="F118" s="22"/>
      <c r="G118" s="92">
        <f t="shared" ref="G118:G122" si="43">C118/H118</f>
        <v>530</v>
      </c>
      <c r="H118" s="22">
        <f>C118/530</f>
        <v>300000</v>
      </c>
      <c r="I118" s="22">
        <f t="shared" si="39"/>
        <v>1397.1428571428571</v>
      </c>
      <c r="J118" s="16">
        <f t="shared" si="40"/>
        <v>5588571.4285714282</v>
      </c>
      <c r="K118" s="22"/>
      <c r="L118" s="95" t="s">
        <v>192</v>
      </c>
      <c r="M118" s="96">
        <f>E118+E119</f>
        <v>11785000</v>
      </c>
    </row>
    <row r="119" spans="1:13" ht="15" customHeight="1" x14ac:dyDescent="0.25">
      <c r="A119" s="53" t="s">
        <v>17</v>
      </c>
      <c r="B119" s="21" t="s">
        <v>180</v>
      </c>
      <c r="C119" s="8">
        <v>76700000</v>
      </c>
      <c r="D119" s="5">
        <v>0.05</v>
      </c>
      <c r="E119" s="22">
        <f t="shared" si="37"/>
        <v>3835000</v>
      </c>
      <c r="F119" s="22"/>
      <c r="G119" s="92">
        <f t="shared" si="43"/>
        <v>590</v>
      </c>
      <c r="H119" s="22">
        <f>C119/590</f>
        <v>130000</v>
      </c>
      <c r="I119" s="22">
        <f t="shared" si="39"/>
        <v>605.42857142857144</v>
      </c>
      <c r="J119" s="16">
        <f t="shared" si="40"/>
        <v>2421714.2857142859</v>
      </c>
      <c r="K119" s="22"/>
      <c r="L119" s="95"/>
      <c r="M119" s="97"/>
    </row>
    <row r="120" spans="1:13" ht="15" customHeight="1" x14ac:dyDescent="0.25">
      <c r="A120" s="53" t="s">
        <v>18</v>
      </c>
      <c r="B120" s="21" t="s">
        <v>181</v>
      </c>
      <c r="C120" s="8">
        <v>63000000</v>
      </c>
      <c r="D120" s="5">
        <v>0.05</v>
      </c>
      <c r="E120" s="22">
        <f t="shared" si="37"/>
        <v>3150000</v>
      </c>
      <c r="F120" s="22"/>
      <c r="G120" s="92">
        <f t="shared" si="43"/>
        <v>750</v>
      </c>
      <c r="H120" s="22">
        <f>C120/750</f>
        <v>84000</v>
      </c>
      <c r="I120" s="22">
        <f t="shared" si="39"/>
        <v>391.2</v>
      </c>
      <c r="J120" s="16">
        <f t="shared" si="40"/>
        <v>1564800</v>
      </c>
      <c r="K120" s="22"/>
      <c r="L120" s="95" t="s">
        <v>193</v>
      </c>
      <c r="M120" s="96">
        <f>E120+E121+E122</f>
        <v>6300000</v>
      </c>
    </row>
    <row r="121" spans="1:13" ht="15" customHeight="1" x14ac:dyDescent="0.25">
      <c r="A121" s="53" t="s">
        <v>19</v>
      </c>
      <c r="B121" s="21" t="s">
        <v>182</v>
      </c>
      <c r="C121" s="8">
        <v>31500000</v>
      </c>
      <c r="D121" s="5">
        <v>0.05</v>
      </c>
      <c r="E121" s="22">
        <f t="shared" si="37"/>
        <v>1575000</v>
      </c>
      <c r="F121" s="22"/>
      <c r="G121" s="92">
        <f t="shared" si="43"/>
        <v>750</v>
      </c>
      <c r="H121" s="22">
        <f>C121/750</f>
        <v>42000</v>
      </c>
      <c r="I121" s="22">
        <f t="shared" si="39"/>
        <v>195.6</v>
      </c>
      <c r="J121" s="16">
        <f t="shared" si="40"/>
        <v>782400</v>
      </c>
      <c r="K121" s="22"/>
      <c r="L121" s="95"/>
      <c r="M121" s="97"/>
    </row>
    <row r="122" spans="1:13" ht="15" customHeight="1" x14ac:dyDescent="0.25">
      <c r="A122" s="53" t="s">
        <v>20</v>
      </c>
      <c r="B122" s="21" t="s">
        <v>181</v>
      </c>
      <c r="C122" s="8">
        <v>31500000</v>
      </c>
      <c r="D122" s="5">
        <v>0.05</v>
      </c>
      <c r="E122" s="22">
        <f t="shared" si="37"/>
        <v>1575000</v>
      </c>
      <c r="F122" s="22"/>
      <c r="G122" s="92">
        <f t="shared" si="43"/>
        <v>750</v>
      </c>
      <c r="H122" s="22">
        <f>C122/750</f>
        <v>42000</v>
      </c>
      <c r="I122" s="22">
        <f t="shared" si="39"/>
        <v>195.6</v>
      </c>
      <c r="J122" s="16">
        <f t="shared" si="40"/>
        <v>782400</v>
      </c>
      <c r="K122" s="22"/>
      <c r="L122" s="95"/>
      <c r="M122" s="97"/>
    </row>
    <row r="123" spans="1:13" ht="15" customHeight="1" x14ac:dyDescent="0.25">
      <c r="A123" s="53" t="s">
        <v>23</v>
      </c>
      <c r="B123" s="19" t="s">
        <v>28</v>
      </c>
      <c r="C123" s="8"/>
      <c r="D123" s="5"/>
      <c r="E123" s="22"/>
      <c r="F123" s="8">
        <v>17388570.140000001</v>
      </c>
      <c r="G123" s="8"/>
      <c r="H123" s="22"/>
      <c r="I123" s="22">
        <f t="shared" si="39"/>
        <v>0</v>
      </c>
      <c r="J123" s="16">
        <f t="shared" si="40"/>
        <v>0</v>
      </c>
      <c r="K123" s="22"/>
      <c r="L123" s="95"/>
      <c r="M123" s="97"/>
    </row>
    <row r="124" spans="1:13" ht="15" customHeight="1" x14ac:dyDescent="0.25">
      <c r="A124" s="32"/>
      <c r="B124" s="2" t="s">
        <v>2</v>
      </c>
      <c r="C124" s="6">
        <f>SUM(C104:C122)</f>
        <v>708550000</v>
      </c>
      <c r="D124" s="7" t="s">
        <v>3</v>
      </c>
      <c r="E124" s="6">
        <f>SUM(E104:E122)</f>
        <v>35427500</v>
      </c>
      <c r="F124" s="6">
        <f>SUM(F104:F123)</f>
        <v>32362785.140000001</v>
      </c>
      <c r="G124" s="6"/>
      <c r="H124" s="6">
        <f t="shared" ref="H124:K124" si="44">SUM(H104:H123)</f>
        <v>1331312.6083175354</v>
      </c>
      <c r="I124" s="6">
        <f t="shared" si="44"/>
        <v>6200.113004450237</v>
      </c>
      <c r="J124" s="17">
        <f t="shared" si="44"/>
        <v>24800452.017800946</v>
      </c>
      <c r="K124" s="6">
        <f t="shared" si="44"/>
        <v>0</v>
      </c>
      <c r="L124" s="14" t="s">
        <v>195</v>
      </c>
      <c r="M124" s="47">
        <f>M104+M112+M118+M120</f>
        <v>35427500</v>
      </c>
    </row>
    <row r="125" spans="1:13" ht="15" customHeight="1" thickBot="1" x14ac:dyDescent="0.3">
      <c r="A125" s="34"/>
      <c r="B125" s="51" t="s">
        <v>160</v>
      </c>
      <c r="C125" s="39">
        <f>(C102+E124)-F124</f>
        <v>17808791.709999993</v>
      </c>
      <c r="D125" s="52"/>
      <c r="E125" s="39"/>
      <c r="F125" s="39">
        <f>F102+F124-E124</f>
        <v>-17808791.709999997</v>
      </c>
      <c r="G125" s="39"/>
      <c r="H125" s="38"/>
      <c r="I125" s="38"/>
      <c r="J125" s="40">
        <f>J102+J124-K124</f>
        <v>44987432.941200078</v>
      </c>
      <c r="K125" s="38"/>
      <c r="L125" s="41"/>
      <c r="M125" s="42"/>
    </row>
    <row r="126" spans="1:13" ht="15" customHeight="1" x14ac:dyDescent="0.25">
      <c r="A126" s="103" t="s">
        <v>24</v>
      </c>
      <c r="B126" s="104"/>
      <c r="C126" s="104"/>
      <c r="D126" s="104"/>
      <c r="E126" s="104"/>
      <c r="F126" s="105"/>
      <c r="G126" s="89"/>
      <c r="H126" s="27"/>
      <c r="I126" s="27"/>
      <c r="J126" s="29"/>
      <c r="K126" s="27"/>
      <c r="L126" s="43"/>
      <c r="M126" s="44"/>
    </row>
    <row r="127" spans="1:13" ht="15" customHeight="1" x14ac:dyDescent="0.25">
      <c r="A127" s="54" t="s">
        <v>125</v>
      </c>
      <c r="B127" s="19" t="s">
        <v>28</v>
      </c>
      <c r="C127" s="8"/>
      <c r="D127" s="5"/>
      <c r="E127" s="22"/>
      <c r="F127" s="22">
        <v>3172324.17</v>
      </c>
      <c r="G127" s="87"/>
      <c r="H127" s="22"/>
      <c r="I127" s="22">
        <f t="shared" ref="I127:I154" si="45">(H127/350*1.63)</f>
        <v>0</v>
      </c>
      <c r="J127" s="16">
        <f t="shared" ref="J127:J154" si="46">I127*4000</f>
        <v>0</v>
      </c>
      <c r="K127" s="22"/>
      <c r="L127" s="95" t="s">
        <v>194</v>
      </c>
      <c r="M127" s="96">
        <f>E127+E128+E129+E130</f>
        <v>478000</v>
      </c>
    </row>
    <row r="128" spans="1:13" ht="15" customHeight="1" x14ac:dyDescent="0.25">
      <c r="A128" s="54" t="s">
        <v>126</v>
      </c>
      <c r="B128" s="21" t="s">
        <v>180</v>
      </c>
      <c r="C128" s="8">
        <v>9450000</v>
      </c>
      <c r="D128" s="5">
        <v>0.04</v>
      </c>
      <c r="E128" s="22">
        <f t="shared" ref="E128" si="47">C128*D128</f>
        <v>378000</v>
      </c>
      <c r="F128" s="22"/>
      <c r="G128" s="92">
        <f t="shared" ref="G128" si="48">C128/H128</f>
        <v>800</v>
      </c>
      <c r="H128" s="22">
        <f>C128/800</f>
        <v>11812.5</v>
      </c>
      <c r="I128" s="22">
        <f t="shared" si="45"/>
        <v>55.012499999999996</v>
      </c>
      <c r="J128" s="16">
        <f t="shared" si="46"/>
        <v>220049.99999999997</v>
      </c>
      <c r="K128" s="22"/>
      <c r="L128" s="95"/>
      <c r="M128" s="97"/>
    </row>
    <row r="129" spans="1:13" ht="15" customHeight="1" x14ac:dyDescent="0.25">
      <c r="A129" s="54" t="s">
        <v>127</v>
      </c>
      <c r="B129" s="19" t="s">
        <v>28</v>
      </c>
      <c r="C129" s="8"/>
      <c r="D129" s="5"/>
      <c r="E129" s="22"/>
      <c r="F129" s="22">
        <v>3500000</v>
      </c>
      <c r="G129" s="87"/>
      <c r="H129" s="22"/>
      <c r="I129" s="22">
        <f t="shared" si="45"/>
        <v>0</v>
      </c>
      <c r="J129" s="16">
        <f t="shared" si="46"/>
        <v>0</v>
      </c>
      <c r="K129" s="22"/>
      <c r="L129" s="95"/>
      <c r="M129" s="97"/>
    </row>
    <row r="130" spans="1:13" ht="15" customHeight="1" x14ac:dyDescent="0.25">
      <c r="A130" s="54" t="s">
        <v>128</v>
      </c>
      <c r="B130" s="21" t="s">
        <v>182</v>
      </c>
      <c r="C130" s="8">
        <v>2500000</v>
      </c>
      <c r="D130" s="5">
        <v>0.04</v>
      </c>
      <c r="E130" s="22">
        <f t="shared" ref="E130:E154" si="49">C130*D130</f>
        <v>100000</v>
      </c>
      <c r="F130" s="22"/>
      <c r="G130" s="92">
        <f t="shared" ref="G130:G131" si="50">C130/H130</f>
        <v>750</v>
      </c>
      <c r="H130" s="22">
        <f>C130/750</f>
        <v>3333.3333333333335</v>
      </c>
      <c r="I130" s="22">
        <f t="shared" si="45"/>
        <v>15.523809523809522</v>
      </c>
      <c r="J130" s="16">
        <f t="shared" si="46"/>
        <v>62095.238095238084</v>
      </c>
      <c r="K130" s="22"/>
      <c r="L130" s="95"/>
      <c r="M130" s="97"/>
    </row>
    <row r="131" spans="1:13" ht="15" customHeight="1" x14ac:dyDescent="0.25">
      <c r="A131" s="54" t="s">
        <v>129</v>
      </c>
      <c r="B131" s="21" t="s">
        <v>183</v>
      </c>
      <c r="C131" s="8">
        <v>7055000</v>
      </c>
      <c r="D131" s="5">
        <v>0.04</v>
      </c>
      <c r="E131" s="22">
        <f t="shared" si="49"/>
        <v>282200</v>
      </c>
      <c r="F131" s="22"/>
      <c r="G131" s="92">
        <f t="shared" si="50"/>
        <v>830</v>
      </c>
      <c r="H131" s="22">
        <f>C131/830</f>
        <v>8500</v>
      </c>
      <c r="I131" s="22">
        <f t="shared" si="45"/>
        <v>39.585714285714282</v>
      </c>
      <c r="J131" s="16">
        <f t="shared" si="46"/>
        <v>158342.85714285713</v>
      </c>
      <c r="K131" s="22"/>
      <c r="L131" s="95" t="s">
        <v>191</v>
      </c>
      <c r="M131" s="96">
        <f>E131+E132+E133+E134+E135+E136+E137+E138+E139+E140</f>
        <v>5308000</v>
      </c>
    </row>
    <row r="132" spans="1:13" ht="15" customHeight="1" x14ac:dyDescent="0.25">
      <c r="A132" s="54" t="s">
        <v>129</v>
      </c>
      <c r="B132" s="19" t="s">
        <v>28</v>
      </c>
      <c r="C132" s="8"/>
      <c r="D132" s="5"/>
      <c r="E132" s="22"/>
      <c r="F132" s="22">
        <v>6460000</v>
      </c>
      <c r="G132" s="87"/>
      <c r="H132" s="22"/>
      <c r="I132" s="22">
        <f t="shared" si="45"/>
        <v>0</v>
      </c>
      <c r="J132" s="16">
        <f t="shared" si="46"/>
        <v>0</v>
      </c>
      <c r="K132" s="22"/>
      <c r="L132" s="95"/>
      <c r="M132" s="97"/>
    </row>
    <row r="133" spans="1:13" ht="15" customHeight="1" x14ac:dyDescent="0.25">
      <c r="A133" s="54" t="s">
        <v>130</v>
      </c>
      <c r="B133" s="21" t="s">
        <v>183</v>
      </c>
      <c r="C133" s="8">
        <v>12865000</v>
      </c>
      <c r="D133" s="5">
        <v>0.04</v>
      </c>
      <c r="E133" s="22">
        <f t="shared" si="49"/>
        <v>514600</v>
      </c>
      <c r="F133" s="22"/>
      <c r="G133" s="92">
        <f t="shared" ref="G133:G146" si="51">C133/H133</f>
        <v>830</v>
      </c>
      <c r="H133" s="22">
        <f>C133/830</f>
        <v>15500</v>
      </c>
      <c r="I133" s="22">
        <f t="shared" si="45"/>
        <v>72.185714285714283</v>
      </c>
      <c r="J133" s="16">
        <f t="shared" si="46"/>
        <v>288742.85714285716</v>
      </c>
      <c r="K133" s="22"/>
      <c r="L133" s="95"/>
      <c r="M133" s="97"/>
    </row>
    <row r="134" spans="1:13" ht="15" customHeight="1" x14ac:dyDescent="0.25">
      <c r="A134" s="54" t="s">
        <v>131</v>
      </c>
      <c r="B134" s="21" t="s">
        <v>184</v>
      </c>
      <c r="C134" s="8">
        <v>7110000</v>
      </c>
      <c r="D134" s="5">
        <v>0.04</v>
      </c>
      <c r="E134" s="22">
        <f t="shared" si="49"/>
        <v>284400</v>
      </c>
      <c r="F134" s="22"/>
      <c r="G134" s="92">
        <f t="shared" si="51"/>
        <v>790</v>
      </c>
      <c r="H134" s="22">
        <f>C134/790</f>
        <v>9000</v>
      </c>
      <c r="I134" s="22">
        <f t="shared" si="45"/>
        <v>41.914285714285711</v>
      </c>
      <c r="J134" s="16">
        <f t="shared" si="46"/>
        <v>167657.14285714284</v>
      </c>
      <c r="K134" s="22"/>
      <c r="L134" s="95"/>
      <c r="M134" s="97"/>
    </row>
    <row r="135" spans="1:13" ht="15" customHeight="1" x14ac:dyDescent="0.25">
      <c r="A135" s="54" t="s">
        <v>132</v>
      </c>
      <c r="B135" s="21" t="s">
        <v>184</v>
      </c>
      <c r="C135" s="8">
        <v>7110000</v>
      </c>
      <c r="D135" s="5">
        <v>0.04</v>
      </c>
      <c r="E135" s="22">
        <f t="shared" si="49"/>
        <v>284400</v>
      </c>
      <c r="F135" s="22"/>
      <c r="G135" s="92">
        <f t="shared" si="51"/>
        <v>790</v>
      </c>
      <c r="H135" s="22">
        <f>C135/790</f>
        <v>9000</v>
      </c>
      <c r="I135" s="22">
        <f t="shared" si="45"/>
        <v>41.914285714285711</v>
      </c>
      <c r="J135" s="16">
        <f t="shared" si="46"/>
        <v>167657.14285714284</v>
      </c>
      <c r="K135" s="22"/>
      <c r="L135" s="95"/>
      <c r="M135" s="97"/>
    </row>
    <row r="136" spans="1:13" ht="15" customHeight="1" x14ac:dyDescent="0.25">
      <c r="A136" s="54" t="s">
        <v>132</v>
      </c>
      <c r="B136" s="21" t="s">
        <v>183</v>
      </c>
      <c r="C136" s="8">
        <v>26560000</v>
      </c>
      <c r="D136" s="5">
        <v>0.04</v>
      </c>
      <c r="E136" s="22">
        <f t="shared" si="49"/>
        <v>1062400</v>
      </c>
      <c r="F136" s="22"/>
      <c r="G136" s="92">
        <f t="shared" si="51"/>
        <v>830</v>
      </c>
      <c r="H136" s="22">
        <f>C136/830</f>
        <v>32000</v>
      </c>
      <c r="I136" s="22">
        <f t="shared" si="45"/>
        <v>149.02857142857141</v>
      </c>
      <c r="J136" s="16">
        <f t="shared" si="46"/>
        <v>596114.28571428568</v>
      </c>
      <c r="K136" s="22"/>
      <c r="L136" s="95"/>
      <c r="M136" s="97"/>
    </row>
    <row r="137" spans="1:13" ht="15" customHeight="1" x14ac:dyDescent="0.25">
      <c r="A137" s="54" t="s">
        <v>133</v>
      </c>
      <c r="B137" s="21" t="s">
        <v>185</v>
      </c>
      <c r="C137" s="8">
        <v>21000000</v>
      </c>
      <c r="D137" s="5">
        <v>0.04</v>
      </c>
      <c r="E137" s="22">
        <f t="shared" si="49"/>
        <v>840000</v>
      </c>
      <c r="F137" s="22"/>
      <c r="G137" s="92">
        <f t="shared" si="51"/>
        <v>700</v>
      </c>
      <c r="H137" s="22">
        <f>C137/700</f>
        <v>30000</v>
      </c>
      <c r="I137" s="22">
        <f t="shared" si="45"/>
        <v>139.71428571428569</v>
      </c>
      <c r="J137" s="16">
        <f t="shared" si="46"/>
        <v>558857.14285714272</v>
      </c>
      <c r="K137" s="22"/>
      <c r="L137" s="95"/>
      <c r="M137" s="97"/>
    </row>
    <row r="138" spans="1:13" ht="15" customHeight="1" x14ac:dyDescent="0.25">
      <c r="A138" s="54" t="s">
        <v>134</v>
      </c>
      <c r="B138" s="21" t="s">
        <v>186</v>
      </c>
      <c r="C138" s="8">
        <v>7000000</v>
      </c>
      <c r="D138" s="5">
        <v>0.04</v>
      </c>
      <c r="E138" s="22">
        <f t="shared" si="49"/>
        <v>280000</v>
      </c>
      <c r="F138" s="22"/>
      <c r="G138" s="92">
        <f t="shared" si="51"/>
        <v>700</v>
      </c>
      <c r="H138" s="22">
        <f>C138/700</f>
        <v>10000</v>
      </c>
      <c r="I138" s="22">
        <f t="shared" si="45"/>
        <v>46.571428571428569</v>
      </c>
      <c r="J138" s="16">
        <f t="shared" si="46"/>
        <v>186285.71428571429</v>
      </c>
      <c r="K138" s="22"/>
      <c r="L138" s="95"/>
      <c r="M138" s="97"/>
    </row>
    <row r="139" spans="1:13" ht="15" customHeight="1" x14ac:dyDescent="0.25">
      <c r="A139" s="54" t="s">
        <v>135</v>
      </c>
      <c r="B139" s="21" t="s">
        <v>187</v>
      </c>
      <c r="C139" s="8">
        <v>16000000</v>
      </c>
      <c r="D139" s="5">
        <v>0.04</v>
      </c>
      <c r="E139" s="22">
        <f t="shared" si="49"/>
        <v>640000</v>
      </c>
      <c r="F139" s="22"/>
      <c r="G139" s="92">
        <f t="shared" si="51"/>
        <v>800</v>
      </c>
      <c r="H139" s="22">
        <f>C139/800</f>
        <v>20000</v>
      </c>
      <c r="I139" s="22">
        <f t="shared" si="45"/>
        <v>93.142857142857139</v>
      </c>
      <c r="J139" s="16">
        <f t="shared" si="46"/>
        <v>372571.42857142858</v>
      </c>
      <c r="K139" s="22"/>
      <c r="L139" s="95"/>
      <c r="M139" s="97"/>
    </row>
    <row r="140" spans="1:13" ht="15" customHeight="1" x14ac:dyDescent="0.25">
      <c r="A140" s="54" t="s">
        <v>136</v>
      </c>
      <c r="B140" s="21" t="s">
        <v>186</v>
      </c>
      <c r="C140" s="8">
        <v>28000000</v>
      </c>
      <c r="D140" s="5">
        <v>0.04</v>
      </c>
      <c r="E140" s="22">
        <f t="shared" si="49"/>
        <v>1120000</v>
      </c>
      <c r="F140" s="22"/>
      <c r="G140" s="92">
        <f t="shared" si="51"/>
        <v>700</v>
      </c>
      <c r="H140" s="22">
        <f>C140/700</f>
        <v>40000</v>
      </c>
      <c r="I140" s="22">
        <f t="shared" si="45"/>
        <v>186.28571428571428</v>
      </c>
      <c r="J140" s="16">
        <f t="shared" si="46"/>
        <v>745142.85714285716</v>
      </c>
      <c r="K140" s="22"/>
      <c r="L140" s="95"/>
      <c r="M140" s="97"/>
    </row>
    <row r="141" spans="1:13" ht="15" customHeight="1" x14ac:dyDescent="0.25">
      <c r="A141" s="54" t="s">
        <v>137</v>
      </c>
      <c r="B141" s="21" t="s">
        <v>184</v>
      </c>
      <c r="C141" s="8">
        <v>14220000</v>
      </c>
      <c r="D141" s="5">
        <v>0.04</v>
      </c>
      <c r="E141" s="22">
        <f t="shared" si="49"/>
        <v>568800</v>
      </c>
      <c r="F141" s="22"/>
      <c r="G141" s="92">
        <f t="shared" si="51"/>
        <v>790</v>
      </c>
      <c r="H141" s="22">
        <f t="shared" ref="H141:H142" si="52">C141/790</f>
        <v>18000</v>
      </c>
      <c r="I141" s="22">
        <f t="shared" si="45"/>
        <v>83.828571428571422</v>
      </c>
      <c r="J141" s="16">
        <f t="shared" si="46"/>
        <v>335314.28571428568</v>
      </c>
      <c r="K141" s="22"/>
      <c r="L141" s="95" t="s">
        <v>192</v>
      </c>
      <c r="M141" s="96">
        <f>E141+E142+E143+E144+E145+E146+E147+E148+E149+E150+E151+E152</f>
        <v>4083120</v>
      </c>
    </row>
    <row r="142" spans="1:13" ht="15" customHeight="1" x14ac:dyDescent="0.25">
      <c r="A142" s="54" t="s">
        <v>138</v>
      </c>
      <c r="B142" s="21" t="s">
        <v>184</v>
      </c>
      <c r="C142" s="8">
        <v>14220000</v>
      </c>
      <c r="D142" s="5">
        <v>0.04</v>
      </c>
      <c r="E142" s="22">
        <f t="shared" si="49"/>
        <v>568800</v>
      </c>
      <c r="F142" s="22"/>
      <c r="G142" s="92">
        <f t="shared" si="51"/>
        <v>790</v>
      </c>
      <c r="H142" s="22">
        <f t="shared" si="52"/>
        <v>18000</v>
      </c>
      <c r="I142" s="22">
        <f t="shared" si="45"/>
        <v>83.828571428571422</v>
      </c>
      <c r="J142" s="16">
        <f t="shared" si="46"/>
        <v>335314.28571428568</v>
      </c>
      <c r="K142" s="22"/>
      <c r="L142" s="95"/>
      <c r="M142" s="97"/>
    </row>
    <row r="143" spans="1:13" ht="15" customHeight="1" x14ac:dyDescent="0.25">
      <c r="A143" s="54" t="s">
        <v>138</v>
      </c>
      <c r="B143" s="21" t="s">
        <v>183</v>
      </c>
      <c r="C143" s="8">
        <v>7138000</v>
      </c>
      <c r="D143" s="5">
        <v>0.04</v>
      </c>
      <c r="E143" s="22">
        <f t="shared" si="49"/>
        <v>285520</v>
      </c>
      <c r="F143" s="22"/>
      <c r="G143" s="92">
        <f t="shared" si="51"/>
        <v>830</v>
      </c>
      <c r="H143" s="22">
        <f>C143/830</f>
        <v>8600</v>
      </c>
      <c r="I143" s="22">
        <f t="shared" si="45"/>
        <v>40.051428571428573</v>
      </c>
      <c r="J143" s="16">
        <f t="shared" si="46"/>
        <v>160205.71428571429</v>
      </c>
      <c r="K143" s="22"/>
      <c r="L143" s="95"/>
      <c r="M143" s="97"/>
    </row>
    <row r="144" spans="1:13" ht="15" customHeight="1" x14ac:dyDescent="0.25">
      <c r="A144" s="54" t="s">
        <v>139</v>
      </c>
      <c r="B144" s="21" t="s">
        <v>186</v>
      </c>
      <c r="C144" s="8">
        <v>14000000</v>
      </c>
      <c r="D144" s="5">
        <v>0.04</v>
      </c>
      <c r="E144" s="22">
        <f t="shared" si="49"/>
        <v>560000</v>
      </c>
      <c r="F144" s="22"/>
      <c r="G144" s="92">
        <f t="shared" si="51"/>
        <v>700</v>
      </c>
      <c r="H144" s="22">
        <f>C144/700</f>
        <v>20000</v>
      </c>
      <c r="I144" s="22">
        <f t="shared" si="45"/>
        <v>93.142857142857139</v>
      </c>
      <c r="J144" s="16">
        <f t="shared" si="46"/>
        <v>372571.42857142858</v>
      </c>
      <c r="K144" s="22"/>
      <c r="L144" s="95"/>
      <c r="M144" s="97"/>
    </row>
    <row r="145" spans="1:13" ht="15" customHeight="1" x14ac:dyDescent="0.25">
      <c r="A145" s="54" t="s">
        <v>140</v>
      </c>
      <c r="B145" s="21" t="s">
        <v>188</v>
      </c>
      <c r="C145" s="8">
        <v>16000000</v>
      </c>
      <c r="D145" s="5">
        <v>0.04</v>
      </c>
      <c r="E145" s="22">
        <f t="shared" si="49"/>
        <v>640000</v>
      </c>
      <c r="F145" s="22"/>
      <c r="G145" s="92">
        <f t="shared" si="51"/>
        <v>800</v>
      </c>
      <c r="H145" s="22">
        <f>C145/800</f>
        <v>20000</v>
      </c>
      <c r="I145" s="22">
        <f t="shared" si="45"/>
        <v>93.142857142857139</v>
      </c>
      <c r="J145" s="16">
        <f t="shared" si="46"/>
        <v>372571.42857142858</v>
      </c>
      <c r="K145" s="22"/>
      <c r="L145" s="95"/>
      <c r="M145" s="97"/>
    </row>
    <row r="146" spans="1:13" ht="15" customHeight="1" x14ac:dyDescent="0.25">
      <c r="A146" s="54" t="s">
        <v>141</v>
      </c>
      <c r="B146" s="21" t="s">
        <v>188</v>
      </c>
      <c r="C146" s="8">
        <v>8000000</v>
      </c>
      <c r="D146" s="5">
        <v>0.04</v>
      </c>
      <c r="E146" s="22">
        <f t="shared" si="49"/>
        <v>320000</v>
      </c>
      <c r="F146" s="22"/>
      <c r="G146" s="92">
        <f t="shared" si="51"/>
        <v>800</v>
      </c>
      <c r="H146" s="22">
        <f>C146/800</f>
        <v>10000</v>
      </c>
      <c r="I146" s="22">
        <f t="shared" si="45"/>
        <v>46.571428571428569</v>
      </c>
      <c r="J146" s="16">
        <f t="shared" si="46"/>
        <v>186285.71428571429</v>
      </c>
      <c r="K146" s="22"/>
      <c r="L146" s="95"/>
      <c r="M146" s="97"/>
    </row>
    <row r="147" spans="1:13" ht="15" customHeight="1" x14ac:dyDescent="0.25">
      <c r="A147" s="54" t="s">
        <v>142</v>
      </c>
      <c r="B147" s="19" t="s">
        <v>28</v>
      </c>
      <c r="C147" s="8"/>
      <c r="D147" s="5"/>
      <c r="E147" s="22"/>
      <c r="F147" s="22">
        <v>5298374.8</v>
      </c>
      <c r="G147" s="87"/>
      <c r="H147" s="22"/>
      <c r="I147" s="22">
        <f t="shared" si="45"/>
        <v>0</v>
      </c>
      <c r="J147" s="16">
        <f t="shared" si="46"/>
        <v>0</v>
      </c>
      <c r="K147" s="22"/>
      <c r="L147" s="95"/>
      <c r="M147" s="97"/>
    </row>
    <row r="148" spans="1:13" ht="15" customHeight="1" x14ac:dyDescent="0.25">
      <c r="A148" s="54" t="s">
        <v>143</v>
      </c>
      <c r="B148" s="21" t="s">
        <v>188</v>
      </c>
      <c r="C148" s="8">
        <v>8000000</v>
      </c>
      <c r="D148" s="5">
        <v>0.04</v>
      </c>
      <c r="E148" s="22">
        <f t="shared" si="49"/>
        <v>320000</v>
      </c>
      <c r="F148" s="22"/>
      <c r="G148" s="92">
        <f t="shared" ref="G148:G151" si="53">C148/H148</f>
        <v>800</v>
      </c>
      <c r="H148" s="22">
        <f>C148/800</f>
        <v>10000</v>
      </c>
      <c r="I148" s="22">
        <f t="shared" si="45"/>
        <v>46.571428571428569</v>
      </c>
      <c r="J148" s="16">
        <f t="shared" si="46"/>
        <v>186285.71428571429</v>
      </c>
      <c r="K148" s="22"/>
      <c r="L148" s="95"/>
      <c r="M148" s="97"/>
    </row>
    <row r="149" spans="1:13" ht="15" customHeight="1" x14ac:dyDescent="0.25">
      <c r="A149" s="54" t="s">
        <v>144</v>
      </c>
      <c r="B149" s="21" t="s">
        <v>184</v>
      </c>
      <c r="C149" s="8">
        <v>7900000</v>
      </c>
      <c r="D149" s="5">
        <v>0.04</v>
      </c>
      <c r="E149" s="22">
        <f t="shared" si="49"/>
        <v>316000</v>
      </c>
      <c r="F149" s="22"/>
      <c r="G149" s="92">
        <f t="shared" si="53"/>
        <v>790</v>
      </c>
      <c r="H149" s="22">
        <f>C149/790</f>
        <v>10000</v>
      </c>
      <c r="I149" s="22">
        <f t="shared" si="45"/>
        <v>46.571428571428569</v>
      </c>
      <c r="J149" s="16">
        <f t="shared" si="46"/>
        <v>186285.71428571429</v>
      </c>
      <c r="K149" s="22"/>
      <c r="L149" s="95"/>
      <c r="M149" s="97"/>
    </row>
    <row r="150" spans="1:13" ht="15" customHeight="1" x14ac:dyDescent="0.25">
      <c r="A150" s="54" t="s">
        <v>145</v>
      </c>
      <c r="B150" s="21" t="s">
        <v>180</v>
      </c>
      <c r="C150" s="8">
        <v>5600000</v>
      </c>
      <c r="D150" s="5">
        <v>0.04</v>
      </c>
      <c r="E150" s="22">
        <f t="shared" si="49"/>
        <v>224000</v>
      </c>
      <c r="F150" s="22"/>
      <c r="G150" s="92">
        <f t="shared" si="53"/>
        <v>800</v>
      </c>
      <c r="H150" s="22">
        <f>C150/800</f>
        <v>7000</v>
      </c>
      <c r="I150" s="22">
        <f t="shared" si="45"/>
        <v>32.599999999999994</v>
      </c>
      <c r="J150" s="16">
        <f t="shared" si="46"/>
        <v>130399.99999999997</v>
      </c>
      <c r="K150" s="22"/>
      <c r="L150" s="95"/>
      <c r="M150" s="97"/>
    </row>
    <row r="151" spans="1:13" ht="15" customHeight="1" x14ac:dyDescent="0.25">
      <c r="A151" s="54" t="s">
        <v>146</v>
      </c>
      <c r="B151" s="21" t="s">
        <v>186</v>
      </c>
      <c r="C151" s="8">
        <v>7000000</v>
      </c>
      <c r="D151" s="5">
        <v>0.04</v>
      </c>
      <c r="E151" s="22">
        <f t="shared" si="49"/>
        <v>280000</v>
      </c>
      <c r="F151" s="22"/>
      <c r="G151" s="92">
        <f t="shared" si="53"/>
        <v>700</v>
      </c>
      <c r="H151" s="22">
        <f>C151/700</f>
        <v>10000</v>
      </c>
      <c r="I151" s="22">
        <f t="shared" si="45"/>
        <v>46.571428571428569</v>
      </c>
      <c r="J151" s="16">
        <f t="shared" si="46"/>
        <v>186285.71428571429</v>
      </c>
      <c r="K151" s="22"/>
      <c r="L151" s="95"/>
      <c r="M151" s="97"/>
    </row>
    <row r="152" spans="1:13" ht="15" customHeight="1" x14ac:dyDescent="0.25">
      <c r="A152" s="30" t="s">
        <v>154</v>
      </c>
      <c r="B152" s="20" t="s">
        <v>155</v>
      </c>
      <c r="C152" s="8"/>
      <c r="D152" s="5"/>
      <c r="E152" s="22"/>
      <c r="F152" s="22"/>
      <c r="G152" s="87"/>
      <c r="H152" s="22"/>
      <c r="I152" s="22"/>
      <c r="J152" s="16"/>
      <c r="K152" s="16">
        <v>2106941.0699999998</v>
      </c>
      <c r="L152" s="95"/>
      <c r="M152" s="97"/>
    </row>
    <row r="153" spans="1:13" ht="15" customHeight="1" x14ac:dyDescent="0.25">
      <c r="A153" s="54" t="s">
        <v>147</v>
      </c>
      <c r="B153" s="21" t="s">
        <v>189</v>
      </c>
      <c r="C153" s="8">
        <v>7500000</v>
      </c>
      <c r="D153" s="5">
        <v>0.04</v>
      </c>
      <c r="E153" s="22">
        <f t="shared" si="49"/>
        <v>300000</v>
      </c>
      <c r="F153" s="22"/>
      <c r="G153" s="92">
        <f t="shared" ref="G153:G154" si="54">C153/H153</f>
        <v>839.99999999999989</v>
      </c>
      <c r="H153" s="22">
        <f>C153/840</f>
        <v>8928.5714285714294</v>
      </c>
      <c r="I153" s="22">
        <f t="shared" si="45"/>
        <v>41.581632653061227</v>
      </c>
      <c r="J153" s="16">
        <f t="shared" si="46"/>
        <v>166326.53061224491</v>
      </c>
      <c r="K153" s="22"/>
      <c r="L153" s="95" t="s">
        <v>193</v>
      </c>
      <c r="M153" s="96">
        <f>E153+E154</f>
        <v>649440</v>
      </c>
    </row>
    <row r="154" spans="1:13" ht="15" customHeight="1" x14ac:dyDescent="0.25">
      <c r="A154" s="54" t="s">
        <v>148</v>
      </c>
      <c r="B154" s="21" t="s">
        <v>190</v>
      </c>
      <c r="C154" s="8">
        <v>8736000</v>
      </c>
      <c r="D154" s="5">
        <v>0.04</v>
      </c>
      <c r="E154" s="22">
        <f t="shared" si="49"/>
        <v>349440</v>
      </c>
      <c r="F154" s="22"/>
      <c r="G154" s="92">
        <f t="shared" si="54"/>
        <v>800</v>
      </c>
      <c r="H154" s="22">
        <f>C154/800</f>
        <v>10920</v>
      </c>
      <c r="I154" s="22">
        <f t="shared" si="45"/>
        <v>50.855999999999995</v>
      </c>
      <c r="J154" s="16">
        <f t="shared" si="46"/>
        <v>203423.99999999997</v>
      </c>
      <c r="K154" s="16">
        <v>6769910.5700000003</v>
      </c>
      <c r="L154" s="95"/>
      <c r="M154" s="97"/>
    </row>
    <row r="155" spans="1:13" ht="15" customHeight="1" x14ac:dyDescent="0.25">
      <c r="A155" s="54">
        <v>43794</v>
      </c>
      <c r="B155" s="21" t="s">
        <v>223</v>
      </c>
      <c r="C155" s="8"/>
      <c r="D155" s="5"/>
      <c r="E155" s="77"/>
      <c r="F155" s="77">
        <v>5427000</v>
      </c>
      <c r="G155" s="87"/>
      <c r="H155" s="77"/>
      <c r="I155" s="77"/>
      <c r="J155" s="16"/>
      <c r="K155" s="16"/>
      <c r="L155" s="78"/>
      <c r="M155" s="79"/>
    </row>
    <row r="156" spans="1:13" ht="15" customHeight="1" x14ac:dyDescent="0.25">
      <c r="A156" s="54">
        <v>43829</v>
      </c>
      <c r="B156" s="21" t="s">
        <v>223</v>
      </c>
      <c r="C156" s="8"/>
      <c r="D156" s="5"/>
      <c r="E156" s="77"/>
      <c r="F156" s="77">
        <v>7000000</v>
      </c>
      <c r="G156" s="87"/>
      <c r="H156" s="77"/>
      <c r="I156" s="77"/>
      <c r="J156" s="16"/>
      <c r="K156" s="16"/>
      <c r="L156" s="78"/>
      <c r="M156" s="79"/>
    </row>
    <row r="157" spans="1:13" ht="15" customHeight="1" x14ac:dyDescent="0.25">
      <c r="A157" s="32"/>
      <c r="B157" s="2" t="s">
        <v>2</v>
      </c>
      <c r="C157" s="6">
        <f>SUM(C127:C154)</f>
        <v>262964000</v>
      </c>
      <c r="D157" s="7" t="s">
        <v>3</v>
      </c>
      <c r="E157" s="6">
        <f t="shared" ref="E157:K157" si="55">SUM(E127:E154)</f>
        <v>10518560</v>
      </c>
      <c r="F157" s="6">
        <f>SUM(F127:F156)</f>
        <v>30857698.969999999</v>
      </c>
      <c r="G157" s="6"/>
      <c r="H157" s="6">
        <f t="shared" si="55"/>
        <v>340594.40476190479</v>
      </c>
      <c r="I157" s="6">
        <f t="shared" si="55"/>
        <v>1586.1967993197279</v>
      </c>
      <c r="J157" s="17">
        <f t="shared" si="55"/>
        <v>6344787.1972789112</v>
      </c>
      <c r="K157" s="6">
        <f t="shared" si="55"/>
        <v>8876851.6400000006</v>
      </c>
      <c r="L157" s="14" t="s">
        <v>195</v>
      </c>
      <c r="M157" s="47">
        <f>M127+M131+M141+M153</f>
        <v>10518560</v>
      </c>
    </row>
    <row r="158" spans="1:13" ht="15" customHeight="1" thickBot="1" x14ac:dyDescent="0.3">
      <c r="A158" s="34"/>
      <c r="B158" s="51" t="s">
        <v>160</v>
      </c>
      <c r="C158" s="39"/>
      <c r="D158" s="52"/>
      <c r="E158" s="39"/>
      <c r="F158" s="39">
        <f>F125+F157-E157</f>
        <v>2530347.2600000016</v>
      </c>
      <c r="G158" s="39"/>
      <c r="H158" s="38"/>
      <c r="I158" s="38"/>
      <c r="J158" s="40">
        <f>J125+J157-K157</f>
        <v>42455368.498478986</v>
      </c>
      <c r="K158" s="38"/>
      <c r="L158" s="36" t="s">
        <v>196</v>
      </c>
      <c r="M158" s="55">
        <f>M22+M54+M80+M101+M124+M157</f>
        <v>116179660</v>
      </c>
    </row>
  </sheetData>
  <mergeCells count="53">
    <mergeCell ref="L35:L52"/>
    <mergeCell ref="M35:M52"/>
    <mergeCell ref="L57:L69"/>
    <mergeCell ref="M57:M69"/>
    <mergeCell ref="A2:H2"/>
    <mergeCell ref="I2:M2"/>
    <mergeCell ref="L6:L7"/>
    <mergeCell ref="M6:M7"/>
    <mergeCell ref="M9:M21"/>
    <mergeCell ref="L9:L21"/>
    <mergeCell ref="L26:L34"/>
    <mergeCell ref="M26:M34"/>
    <mergeCell ref="A1:M1"/>
    <mergeCell ref="L3:L4"/>
    <mergeCell ref="M3:M4"/>
    <mergeCell ref="H3:K3"/>
    <mergeCell ref="A126:F126"/>
    <mergeCell ref="A24:F24"/>
    <mergeCell ref="A56:F56"/>
    <mergeCell ref="A3:A4"/>
    <mergeCell ref="B3:B4"/>
    <mergeCell ref="C3:C4"/>
    <mergeCell ref="D3:F3"/>
    <mergeCell ref="A103:F103"/>
    <mergeCell ref="A83:F83"/>
    <mergeCell ref="L70:L74"/>
    <mergeCell ref="M70:M74"/>
    <mergeCell ref="L75:L77"/>
    <mergeCell ref="M75:M77"/>
    <mergeCell ref="L78:L79"/>
    <mergeCell ref="M78:M79"/>
    <mergeCell ref="L85:L86"/>
    <mergeCell ref="M85:M86"/>
    <mergeCell ref="L87:L92"/>
    <mergeCell ref="M87:M92"/>
    <mergeCell ref="L93:L100"/>
    <mergeCell ref="M93:M100"/>
    <mergeCell ref="L104:L111"/>
    <mergeCell ref="M104:M111"/>
    <mergeCell ref="L112:L117"/>
    <mergeCell ref="M112:M117"/>
    <mergeCell ref="L118:L119"/>
    <mergeCell ref="M118:M119"/>
    <mergeCell ref="L120:L123"/>
    <mergeCell ref="M120:M123"/>
    <mergeCell ref="L153:L154"/>
    <mergeCell ref="M153:M154"/>
    <mergeCell ref="L127:L130"/>
    <mergeCell ref="M127:M130"/>
    <mergeCell ref="L131:L140"/>
    <mergeCell ref="M131:M140"/>
    <mergeCell ref="L141:L152"/>
    <mergeCell ref="M141:M152"/>
  </mergeCells>
  <pageMargins left="0.62992125984251968" right="0.23622047244094491" top="0.74803149606299213" bottom="0.74803149606299213" header="0.31496062992125984" footer="0.31496062992125984"/>
  <pageSetup paperSize="9" scale="49" orientation="portrait" verticalDpi="0" r:id="rId1"/>
  <rowBreaks count="1" manualBreakCount="1">
    <brk id="82" max="1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view="pageBreakPreview" zoomScaleNormal="100" zoomScaleSheetLayoutView="100" workbookViewId="0">
      <selection activeCell="M22" sqref="M22"/>
    </sheetView>
  </sheetViews>
  <sheetFormatPr defaultRowHeight="15" x14ac:dyDescent="0.25"/>
  <cols>
    <col min="1" max="1" width="23.42578125" customWidth="1"/>
    <col min="2" max="2" width="11.7109375" customWidth="1"/>
    <col min="3" max="3" width="11.42578125" customWidth="1"/>
    <col min="4" max="4" width="12" customWidth="1"/>
    <col min="5" max="5" width="11.7109375" bestFit="1" customWidth="1"/>
    <col min="6" max="6" width="11.7109375" customWidth="1"/>
    <col min="7" max="8" width="11.85546875" customWidth="1"/>
    <col min="9" max="10" width="11.7109375" bestFit="1" customWidth="1"/>
    <col min="11" max="11" width="12.140625" customWidth="1"/>
    <col min="12" max="12" width="12.28515625" customWidth="1"/>
    <col min="13" max="13" width="11.7109375" bestFit="1" customWidth="1"/>
    <col min="14" max="14" width="13.42578125" customWidth="1"/>
    <col min="15" max="15" width="11.5703125" customWidth="1"/>
    <col min="16" max="16" width="11.5703125" bestFit="1" customWidth="1"/>
    <col min="17" max="17" width="12" bestFit="1" customWidth="1"/>
    <col min="18" max="18" width="13.7109375" customWidth="1"/>
  </cols>
  <sheetData>
    <row r="1" spans="1:16" ht="27" customHeight="1" x14ac:dyDescent="0.25">
      <c r="A1" s="118" t="s">
        <v>222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</row>
    <row r="2" spans="1:16" x14ac:dyDescent="0.25">
      <c r="A2" s="64" t="s">
        <v>210</v>
      </c>
      <c r="B2" s="123">
        <v>2014</v>
      </c>
      <c r="C2" s="123"/>
      <c r="D2" s="123">
        <f>B2+1</f>
        <v>2015</v>
      </c>
      <c r="E2" s="123"/>
      <c r="F2" s="123">
        <f>D2+1</f>
        <v>2016</v>
      </c>
      <c r="G2" s="123"/>
      <c r="H2" s="123">
        <f t="shared" ref="H2" si="0">F2+1</f>
        <v>2017</v>
      </c>
      <c r="I2" s="123"/>
      <c r="J2" s="123">
        <f t="shared" ref="J2" si="1">H2+1</f>
        <v>2018</v>
      </c>
      <c r="K2" s="123"/>
      <c r="L2" s="123">
        <f t="shared" ref="L2" si="2">J2+1</f>
        <v>2019</v>
      </c>
      <c r="M2" s="123"/>
    </row>
    <row r="3" spans="1:16" ht="11.25" customHeight="1" x14ac:dyDescent="0.25">
      <c r="A3" s="119" t="s">
        <v>212</v>
      </c>
      <c r="B3" s="120" t="s">
        <v>211</v>
      </c>
      <c r="C3" s="120"/>
      <c r="D3" s="121" t="s">
        <v>211</v>
      </c>
      <c r="E3" s="122"/>
      <c r="F3" s="121" t="s">
        <v>211</v>
      </c>
      <c r="G3" s="122"/>
      <c r="H3" s="121" t="s">
        <v>211</v>
      </c>
      <c r="I3" s="122"/>
      <c r="J3" s="121" t="s">
        <v>211</v>
      </c>
      <c r="K3" s="122"/>
      <c r="L3" s="121" t="s">
        <v>211</v>
      </c>
      <c r="M3" s="122"/>
    </row>
    <row r="4" spans="1:16" ht="12" customHeight="1" x14ac:dyDescent="0.25">
      <c r="A4" s="119"/>
      <c r="B4" s="65" t="s">
        <v>219</v>
      </c>
      <c r="C4" s="65" t="s">
        <v>220</v>
      </c>
      <c r="D4" s="65" t="s">
        <v>219</v>
      </c>
      <c r="E4" s="65" t="s">
        <v>220</v>
      </c>
      <c r="F4" s="65" t="s">
        <v>219</v>
      </c>
      <c r="G4" s="65" t="s">
        <v>220</v>
      </c>
      <c r="H4" s="65" t="s">
        <v>219</v>
      </c>
      <c r="I4" s="65" t="s">
        <v>220</v>
      </c>
      <c r="J4" s="65" t="s">
        <v>219</v>
      </c>
      <c r="K4" s="65" t="s">
        <v>220</v>
      </c>
      <c r="L4" s="65" t="s">
        <v>219</v>
      </c>
      <c r="M4" s="65" t="s">
        <v>220</v>
      </c>
    </row>
    <row r="5" spans="1:16" ht="15" customHeight="1" x14ac:dyDescent="0.25">
      <c r="A5" s="119"/>
      <c r="B5" s="65">
        <v>1630</v>
      </c>
      <c r="C5" s="65">
        <v>350</v>
      </c>
      <c r="D5" s="65">
        <v>1630</v>
      </c>
      <c r="E5" s="65">
        <v>350</v>
      </c>
      <c r="F5" s="65">
        <v>1630</v>
      </c>
      <c r="G5" s="65">
        <v>350</v>
      </c>
      <c r="H5" s="65">
        <v>1630</v>
      </c>
      <c r="I5" s="65">
        <v>350</v>
      </c>
      <c r="J5" s="65">
        <v>1630</v>
      </c>
      <c r="K5" s="65">
        <v>350</v>
      </c>
      <c r="L5" s="65">
        <v>1630</v>
      </c>
      <c r="M5" s="65">
        <v>350</v>
      </c>
    </row>
    <row r="6" spans="1:16" ht="24.75" customHeight="1" x14ac:dyDescent="0.25">
      <c r="A6" s="76" t="s">
        <v>216</v>
      </c>
      <c r="B6" s="71">
        <v>2088.9499999999998</v>
      </c>
      <c r="C6" s="69">
        <v>346687</v>
      </c>
      <c r="D6" s="71">
        <v>5823.56</v>
      </c>
      <c r="E6" s="69">
        <v>747536</v>
      </c>
      <c r="F6" s="71">
        <v>15285.75</v>
      </c>
      <c r="G6" s="69">
        <v>1932162</v>
      </c>
      <c r="H6" s="71">
        <v>7950.33</v>
      </c>
      <c r="I6" s="69">
        <v>891181</v>
      </c>
      <c r="J6" s="71">
        <v>7095.82</v>
      </c>
      <c r="K6" s="69">
        <v>846370</v>
      </c>
      <c r="L6" s="71">
        <v>2011.62</v>
      </c>
      <c r="M6" s="80">
        <v>324535</v>
      </c>
      <c r="N6" s="81"/>
      <c r="O6" s="81"/>
      <c r="P6" s="81"/>
    </row>
    <row r="7" spans="1:16" x14ac:dyDescent="0.25">
      <c r="A7" s="63" t="s">
        <v>203</v>
      </c>
      <c r="B7" s="70">
        <v>13025964</v>
      </c>
      <c r="C7" s="71">
        <f>B7/C6</f>
        <v>37.572692370928245</v>
      </c>
      <c r="D7" s="70">
        <v>26101244.780000001</v>
      </c>
      <c r="E7" s="70">
        <f>D7/E6</f>
        <v>34.916371626249443</v>
      </c>
      <c r="F7" s="66">
        <v>57367857.18</v>
      </c>
      <c r="G7" s="66">
        <f>F7/G6</f>
        <v>29.691018237601195</v>
      </c>
      <c r="H7" s="66">
        <v>34588506.450000003</v>
      </c>
      <c r="I7" s="66">
        <f>H7/I6</f>
        <v>38.811988193195326</v>
      </c>
      <c r="J7" s="66">
        <v>39682408.32</v>
      </c>
      <c r="K7" s="66">
        <f>J7/K6</f>
        <v>46.885414558644563</v>
      </c>
      <c r="L7" s="66">
        <v>73565068.5</v>
      </c>
      <c r="M7" s="66">
        <f>L7/M6</f>
        <v>226.67838137643091</v>
      </c>
    </row>
    <row r="8" spans="1:16" x14ac:dyDescent="0.25">
      <c r="A8" s="63" t="s">
        <v>204</v>
      </c>
      <c r="B8" s="70">
        <v>12838104.9</v>
      </c>
      <c r="C8" s="71">
        <f>B8/C6</f>
        <v>37.030822903656613</v>
      </c>
      <c r="D8" s="70">
        <v>25489825.620000001</v>
      </c>
      <c r="E8" s="70">
        <f>D8/E6</f>
        <v>34.098458963849232</v>
      </c>
      <c r="F8" s="66">
        <v>32489200</v>
      </c>
      <c r="G8" s="66">
        <f>F8/G6</f>
        <v>16.814946158758946</v>
      </c>
      <c r="H8" s="66">
        <v>43179000</v>
      </c>
      <c r="I8" s="66">
        <f>H8/I6</f>
        <v>48.451436913488955</v>
      </c>
      <c r="J8" s="66">
        <v>20378000</v>
      </c>
      <c r="K8" s="66">
        <f>J8/K6</f>
        <v>24.07694034523908</v>
      </c>
      <c r="L8" s="66">
        <v>48780000</v>
      </c>
      <c r="M8" s="66">
        <f>L8/M6</f>
        <v>150.30736284222041</v>
      </c>
    </row>
    <row r="9" spans="1:16" x14ac:dyDescent="0.25">
      <c r="A9" s="63" t="s">
        <v>206</v>
      </c>
      <c r="B9" s="70">
        <f>B8*0.25</f>
        <v>3209526.2250000001</v>
      </c>
      <c r="C9" s="71">
        <f>B9/C6</f>
        <v>9.2577057259141533</v>
      </c>
      <c r="D9" s="70">
        <f>D8*0.25</f>
        <v>6372456.4050000003</v>
      </c>
      <c r="E9" s="70">
        <f>D9/E6</f>
        <v>8.5246147409623081</v>
      </c>
      <c r="F9" s="66">
        <f>F8*0.25</f>
        <v>8122300</v>
      </c>
      <c r="G9" s="66">
        <f>F9/G6</f>
        <v>4.2037365396897366</v>
      </c>
      <c r="H9" s="66">
        <f>H8*0.15</f>
        <v>6476850</v>
      </c>
      <c r="I9" s="66">
        <f>H9/I6</f>
        <v>7.2677155370233431</v>
      </c>
      <c r="J9" s="66">
        <f>J8*0.15</f>
        <v>3056700</v>
      </c>
      <c r="K9" s="66">
        <f>J9/K6</f>
        <v>3.6115410517858622</v>
      </c>
      <c r="L9" s="66">
        <f>L8*0.12</f>
        <v>5853600</v>
      </c>
      <c r="M9" s="66">
        <f>L9/M6</f>
        <v>18.036883541066448</v>
      </c>
    </row>
    <row r="10" spans="1:16" x14ac:dyDescent="0.25">
      <c r="A10" s="63" t="s">
        <v>217</v>
      </c>
      <c r="B10" s="70">
        <f>B8*0.08</f>
        <v>1027048.3920000001</v>
      </c>
      <c r="C10" s="71">
        <f>B10/C6</f>
        <v>2.9624658322925295</v>
      </c>
      <c r="D10" s="70">
        <f>D8*0.08</f>
        <v>2039186.0496</v>
      </c>
      <c r="E10" s="70">
        <f>D10/E6</f>
        <v>2.7278767171079386</v>
      </c>
      <c r="F10" s="70">
        <f>F8*0.08</f>
        <v>2599136</v>
      </c>
      <c r="G10" s="66">
        <f>F10/G6</f>
        <v>1.3451956927007156</v>
      </c>
      <c r="H10" s="70">
        <f>H8*0.08</f>
        <v>3454320</v>
      </c>
      <c r="I10" s="66">
        <f>H10/I6</f>
        <v>3.8761149530791164</v>
      </c>
      <c r="J10" s="66">
        <f>J8*0.08</f>
        <v>1630240</v>
      </c>
      <c r="K10" s="66">
        <f>J10/K6</f>
        <v>1.9261552276191265</v>
      </c>
      <c r="L10" s="66">
        <v>0</v>
      </c>
      <c r="M10" s="66">
        <f>L10/M6</f>
        <v>0</v>
      </c>
    </row>
    <row r="11" spans="1:16" x14ac:dyDescent="0.25">
      <c r="A11" s="63" t="s">
        <v>205</v>
      </c>
      <c r="B11" s="70">
        <v>36895759.600000001</v>
      </c>
      <c r="C11" s="71">
        <f>B11/C6</f>
        <v>106.42383360206757</v>
      </c>
      <c r="D11" s="70">
        <v>113761650.75</v>
      </c>
      <c r="E11" s="70">
        <f>D11/E6</f>
        <v>152.18217015635366</v>
      </c>
      <c r="F11" s="66">
        <v>159517304.40000001</v>
      </c>
      <c r="G11" s="66">
        <f>F11/G6</f>
        <v>82.558969900039443</v>
      </c>
      <c r="H11" s="66">
        <v>34590366.399999999</v>
      </c>
      <c r="I11" s="66">
        <f>H11/I6</f>
        <v>38.814075255195071</v>
      </c>
      <c r="J11" s="66">
        <v>161571141.59999999</v>
      </c>
      <c r="K11" s="66">
        <f>J11/K6</f>
        <v>190.8989467963184</v>
      </c>
      <c r="L11" s="66">
        <v>81996059.359999999</v>
      </c>
      <c r="M11" s="66">
        <f>L11/M6</f>
        <v>252.65706121065526</v>
      </c>
    </row>
    <row r="12" spans="1:16" x14ac:dyDescent="0.25">
      <c r="A12" s="63" t="s">
        <v>213</v>
      </c>
      <c r="B12" s="70">
        <v>0</v>
      </c>
      <c r="C12" s="71">
        <f>B12/C6</f>
        <v>0</v>
      </c>
      <c r="D12" s="70">
        <v>9025000</v>
      </c>
      <c r="E12" s="70">
        <f>D12/E6</f>
        <v>12.072997153314356</v>
      </c>
      <c r="F12" s="66">
        <v>27750000</v>
      </c>
      <c r="G12" s="66">
        <f>F12/G6</f>
        <v>14.362149757629018</v>
      </c>
      <c r="H12" s="66">
        <v>0</v>
      </c>
      <c r="I12" s="66">
        <f>H12/I6</f>
        <v>0</v>
      </c>
      <c r="J12" s="66">
        <v>0</v>
      </c>
      <c r="K12" s="66">
        <f>J12/K6</f>
        <v>0</v>
      </c>
      <c r="L12" s="66">
        <v>0</v>
      </c>
      <c r="M12" s="66">
        <f>L12/M6</f>
        <v>0</v>
      </c>
    </row>
    <row r="13" spans="1:16" x14ac:dyDescent="0.25">
      <c r="A13" s="63" t="s">
        <v>207</v>
      </c>
      <c r="B13" s="70">
        <v>1948550</v>
      </c>
      <c r="C13" s="71">
        <f>B13/C6</f>
        <v>5.6204876444746992</v>
      </c>
      <c r="D13" s="70">
        <v>1948550</v>
      </c>
      <c r="E13" s="70">
        <f>D13/E6</f>
        <v>2.6066303161319322</v>
      </c>
      <c r="F13" s="66">
        <v>1748903.25</v>
      </c>
      <c r="G13" s="66">
        <f>F13/G6</f>
        <v>0.90515352749924693</v>
      </c>
      <c r="H13" s="66">
        <v>2011238.63</v>
      </c>
      <c r="I13" s="66">
        <f>H13/I6</f>
        <v>2.2568239560762628</v>
      </c>
      <c r="J13" s="66">
        <v>2312929.13</v>
      </c>
      <c r="K13" s="66">
        <f>J13/K6</f>
        <v>2.7327636022070725</v>
      </c>
      <c r="L13" s="66">
        <v>0</v>
      </c>
      <c r="M13" s="66">
        <f>L13/M6</f>
        <v>0</v>
      </c>
    </row>
    <row r="14" spans="1:16" x14ac:dyDescent="0.25">
      <c r="A14" s="63" t="s">
        <v>208</v>
      </c>
      <c r="B14" s="70">
        <v>1196133.28</v>
      </c>
      <c r="C14" s="71">
        <f>B14/C6</f>
        <v>3.4501820950886537</v>
      </c>
      <c r="D14" s="70">
        <v>3619189.05</v>
      </c>
      <c r="E14" s="70">
        <f>D14/E6</f>
        <v>4.8414913127929626</v>
      </c>
      <c r="F14" s="66">
        <v>3511034.23</v>
      </c>
      <c r="G14" s="66">
        <f>F14/G6</f>
        <v>1.817153132087268</v>
      </c>
      <c r="H14" s="66">
        <v>3827018.78</v>
      </c>
      <c r="I14" s="66">
        <f>H14/I6</f>
        <v>4.2943226796801097</v>
      </c>
      <c r="J14" s="66">
        <v>5132749.91</v>
      </c>
      <c r="K14" s="66">
        <f>J14/K6</f>
        <v>6.0644279806703922</v>
      </c>
      <c r="L14" s="66">
        <v>1394784.26</v>
      </c>
      <c r="M14" s="66">
        <f>L14/M6</f>
        <v>4.2977930269462465</v>
      </c>
    </row>
    <row r="15" spans="1:16" x14ac:dyDescent="0.25">
      <c r="A15" s="63" t="s">
        <v>218</v>
      </c>
      <c r="B15" s="70"/>
      <c r="C15" s="71"/>
      <c r="D15" s="70"/>
      <c r="E15" s="70"/>
      <c r="F15" s="66"/>
      <c r="G15" s="66"/>
      <c r="H15" s="66">
        <v>65000000</v>
      </c>
      <c r="I15" s="66">
        <f>H15/I6</f>
        <v>72.936923026859859</v>
      </c>
      <c r="J15" s="66">
        <v>9982348.8000000007</v>
      </c>
      <c r="K15" s="66">
        <f>J15/K6</f>
        <v>11.794308399399791</v>
      </c>
      <c r="L15" s="66">
        <v>63955390.090000004</v>
      </c>
      <c r="M15" s="66">
        <f>L15/M6</f>
        <v>197.06777416919593</v>
      </c>
    </row>
    <row r="16" spans="1:16" x14ac:dyDescent="0.25">
      <c r="A16" s="63" t="s">
        <v>209</v>
      </c>
      <c r="B16" s="70">
        <v>27255747.5</v>
      </c>
      <c r="C16" s="71">
        <f>B16/C6</f>
        <v>78.617737325022276</v>
      </c>
      <c r="D16" s="70">
        <v>14319116.59</v>
      </c>
      <c r="E16" s="70">
        <f>D16/E6</f>
        <v>19.155086296847241</v>
      </c>
      <c r="F16" s="66">
        <v>26252653.629999999</v>
      </c>
      <c r="G16" s="66">
        <f>F16/G6</f>
        <v>13.58719073762966</v>
      </c>
      <c r="H16" s="66">
        <v>39660722.549999997</v>
      </c>
      <c r="I16" s="66">
        <f>H16/I6</f>
        <v>44.503554889523002</v>
      </c>
      <c r="J16" s="66">
        <v>53838663.32</v>
      </c>
      <c r="K16" s="66">
        <f>J16/K6</f>
        <v>63.61126141049423</v>
      </c>
      <c r="L16" s="66">
        <v>73541281.230000004</v>
      </c>
      <c r="M16" s="66">
        <f>L16/M6</f>
        <v>226.60508490609644</v>
      </c>
    </row>
    <row r="17" spans="1:18" x14ac:dyDescent="0.25">
      <c r="A17" s="68" t="s">
        <v>2</v>
      </c>
      <c r="B17" s="72">
        <f t="shared" ref="B17:M17" si="3">SUM(B7:B16)</f>
        <v>97396833.897</v>
      </c>
      <c r="C17" s="73">
        <f t="shared" si="3"/>
        <v>280.93592749944474</v>
      </c>
      <c r="D17" s="72">
        <f t="shared" si="3"/>
        <v>202676219.24460003</v>
      </c>
      <c r="E17" s="72">
        <f t="shared" si="3"/>
        <v>271.1256972836091</v>
      </c>
      <c r="F17" s="67">
        <f t="shared" si="3"/>
        <v>319358388.69000006</v>
      </c>
      <c r="G17" s="72">
        <f t="shared" si="3"/>
        <v>165.28551368363523</v>
      </c>
      <c r="H17" s="67">
        <f t="shared" si="3"/>
        <v>232788022.81</v>
      </c>
      <c r="I17" s="67">
        <f t="shared" si="3"/>
        <v>261.21295540412103</v>
      </c>
      <c r="J17" s="67">
        <f t="shared" si="3"/>
        <v>297585181.07999998</v>
      </c>
      <c r="K17" s="67">
        <f t="shared" si="3"/>
        <v>351.60175937237852</v>
      </c>
      <c r="L17" s="67">
        <f t="shared" si="3"/>
        <v>349086183.44000006</v>
      </c>
      <c r="M17" s="67">
        <f t="shared" si="3"/>
        <v>1075.6503410726116</v>
      </c>
    </row>
    <row r="18" spans="1:18" ht="14.25" customHeight="1" x14ac:dyDescent="0.25">
      <c r="A18" s="124" t="s">
        <v>224</v>
      </c>
      <c r="B18" s="124"/>
      <c r="C18" s="73">
        <f>C17*0.035</f>
        <v>9.8327574624805667</v>
      </c>
      <c r="D18" s="74"/>
      <c r="E18" s="73">
        <f>E17*0.05</f>
        <v>13.556284864180455</v>
      </c>
      <c r="G18" s="73">
        <f>G17*0.05</f>
        <v>8.2642756841817615</v>
      </c>
      <c r="I18" s="73">
        <f>I17*0.05</f>
        <v>13.060647770206053</v>
      </c>
      <c r="K18" s="73">
        <f>K17*0.05</f>
        <v>17.580087968618926</v>
      </c>
      <c r="M18" s="73">
        <f>M17*0.05</f>
        <v>53.782517053630585</v>
      </c>
    </row>
    <row r="19" spans="1:18" ht="17.25" customHeight="1" x14ac:dyDescent="0.25">
      <c r="A19" s="124" t="s">
        <v>225</v>
      </c>
      <c r="B19" s="124"/>
      <c r="C19" s="73">
        <f>C18*C6</f>
        <v>3408889.1863950002</v>
      </c>
      <c r="D19" s="74"/>
      <c r="E19" s="73">
        <f>E18*E6</f>
        <v>10133810.962230001</v>
      </c>
      <c r="G19" s="73">
        <f>G18*G6</f>
        <v>15967919.434500001</v>
      </c>
      <c r="I19" s="73">
        <f>I18*I6</f>
        <v>11639401.1405</v>
      </c>
      <c r="K19" s="73">
        <f>K18*K6</f>
        <v>14879259.054000001</v>
      </c>
      <c r="M19" s="73">
        <f>M18*M6</f>
        <v>17454309.172000002</v>
      </c>
    </row>
    <row r="20" spans="1:18" x14ac:dyDescent="0.25">
      <c r="A20" s="124" t="s">
        <v>215</v>
      </c>
      <c r="B20" s="124"/>
      <c r="C20" s="73">
        <v>5439070</v>
      </c>
      <c r="D20" s="74"/>
      <c r="E20" s="73">
        <v>2722800</v>
      </c>
      <c r="G20" s="73">
        <v>35043170</v>
      </c>
      <c r="I20" s="73">
        <v>0</v>
      </c>
      <c r="K20" s="73">
        <v>0</v>
      </c>
      <c r="M20" s="73">
        <v>8876851.6400000006</v>
      </c>
    </row>
    <row r="21" spans="1:18" ht="21.75" customHeight="1" x14ac:dyDescent="0.25">
      <c r="A21" s="124" t="s">
        <v>214</v>
      </c>
      <c r="B21" s="124"/>
      <c r="C21" s="73">
        <f>C19-C20</f>
        <v>-2030180.8136049998</v>
      </c>
      <c r="D21" s="74"/>
      <c r="E21" s="73">
        <f>E19+C21-E20</f>
        <v>5380830.1486250013</v>
      </c>
      <c r="G21" s="73">
        <f>G19+E21-G20</f>
        <v>-13694420.416874997</v>
      </c>
      <c r="I21" s="73">
        <f>I19+G21-I20</f>
        <v>-2055019.2763749976</v>
      </c>
      <c r="K21" s="73">
        <f>K19-I21-K20</f>
        <v>16934278.330375001</v>
      </c>
      <c r="M21" s="73">
        <f>M19+K21-M20</f>
        <v>25511735.862375006</v>
      </c>
    </row>
    <row r="23" spans="1:18" ht="15" customHeight="1" x14ac:dyDescent="0.25">
      <c r="I23" s="125" t="s">
        <v>221</v>
      </c>
      <c r="J23" s="125"/>
      <c r="K23" s="125"/>
      <c r="L23" s="125"/>
      <c r="M23" s="75">
        <f>M21</f>
        <v>25511735.862375006</v>
      </c>
    </row>
    <row r="24" spans="1:18" x14ac:dyDescent="0.25">
      <c r="C24" s="82"/>
      <c r="E24" s="82"/>
      <c r="G24" s="82"/>
      <c r="I24" s="82"/>
      <c r="K24" s="82"/>
      <c r="M24" s="86"/>
      <c r="N24" s="86"/>
      <c r="O24" s="82"/>
      <c r="P24" s="83"/>
      <c r="Q24" s="83"/>
      <c r="R24" s="83"/>
    </row>
    <row r="25" spans="1:18" x14ac:dyDescent="0.25">
      <c r="C25" s="82"/>
      <c r="E25" s="82"/>
      <c r="G25" s="82"/>
      <c r="I25" s="82"/>
      <c r="K25" s="82"/>
      <c r="M25" s="84"/>
      <c r="N25" s="86"/>
      <c r="O25" s="82"/>
    </row>
    <row r="26" spans="1:18" x14ac:dyDescent="0.25">
      <c r="C26" s="82"/>
      <c r="E26" s="82"/>
      <c r="G26" s="82"/>
      <c r="I26" s="82"/>
      <c r="K26" s="82"/>
      <c r="M26" s="84"/>
      <c r="N26" s="86"/>
      <c r="O26" s="82"/>
    </row>
    <row r="27" spans="1:18" x14ac:dyDescent="0.25">
      <c r="C27" s="82"/>
      <c r="E27" s="82"/>
      <c r="G27" s="82"/>
      <c r="I27" s="82"/>
      <c r="K27" s="82"/>
      <c r="M27" s="84"/>
      <c r="N27" s="86"/>
      <c r="O27" s="82"/>
    </row>
    <row r="28" spans="1:18" x14ac:dyDescent="0.25">
      <c r="C28" s="82"/>
      <c r="E28" s="82"/>
      <c r="G28" s="82"/>
      <c r="I28" s="82"/>
      <c r="K28" s="82"/>
      <c r="M28" s="84"/>
      <c r="N28" s="86"/>
      <c r="O28" s="82"/>
    </row>
    <row r="29" spans="1:18" x14ac:dyDescent="0.25">
      <c r="C29" s="82"/>
      <c r="E29" s="82"/>
      <c r="G29" s="82"/>
      <c r="I29" s="82"/>
      <c r="K29" s="82"/>
      <c r="M29" s="84"/>
      <c r="N29" s="86"/>
      <c r="O29" s="82"/>
    </row>
    <row r="30" spans="1:18" x14ac:dyDescent="0.25">
      <c r="K30" s="82"/>
      <c r="M30" s="84"/>
      <c r="N30" s="86"/>
      <c r="O30" s="82"/>
    </row>
    <row r="31" spans="1:18" x14ac:dyDescent="0.25">
      <c r="K31" s="82"/>
      <c r="M31" s="84"/>
      <c r="N31" s="86"/>
      <c r="O31" s="82"/>
    </row>
    <row r="32" spans="1:18" x14ac:dyDescent="0.25">
      <c r="K32" s="82"/>
      <c r="M32" s="84"/>
      <c r="N32" s="86"/>
      <c r="O32" s="82"/>
    </row>
    <row r="33" spans="11:15" x14ac:dyDescent="0.25">
      <c r="K33" s="82"/>
      <c r="M33" s="84"/>
      <c r="N33" s="86"/>
      <c r="O33" s="82"/>
    </row>
    <row r="34" spans="11:15" x14ac:dyDescent="0.25">
      <c r="M34" s="84"/>
      <c r="N34" s="86"/>
      <c r="O34" s="82"/>
    </row>
    <row r="35" spans="11:15" x14ac:dyDescent="0.25">
      <c r="M35" s="84"/>
      <c r="N35" s="86"/>
      <c r="O35" s="82"/>
    </row>
    <row r="36" spans="11:15" x14ac:dyDescent="0.25">
      <c r="M36" s="84"/>
      <c r="N36" s="86"/>
      <c r="O36" s="82"/>
    </row>
    <row r="37" spans="11:15" x14ac:dyDescent="0.25">
      <c r="M37" s="84"/>
      <c r="N37" s="86"/>
      <c r="O37" s="85"/>
    </row>
    <row r="38" spans="11:15" x14ac:dyDescent="0.25">
      <c r="N38" s="86"/>
    </row>
  </sheetData>
  <mergeCells count="19">
    <mergeCell ref="A19:B19"/>
    <mergeCell ref="A20:B20"/>
    <mergeCell ref="A21:B21"/>
    <mergeCell ref="I23:L23"/>
    <mergeCell ref="B2:C2"/>
    <mergeCell ref="A18:B18"/>
    <mergeCell ref="A1:M1"/>
    <mergeCell ref="A3:A5"/>
    <mergeCell ref="B3:C3"/>
    <mergeCell ref="D3:E3"/>
    <mergeCell ref="F3:G3"/>
    <mergeCell ref="H3:I3"/>
    <mergeCell ref="J3:K3"/>
    <mergeCell ref="L3:M3"/>
    <mergeCell ref="D2:E2"/>
    <mergeCell ref="F2:G2"/>
    <mergeCell ref="H2:I2"/>
    <mergeCell ref="J2:K2"/>
    <mergeCell ref="L2:M2"/>
  </mergeCells>
  <pageMargins left="0.62992125984251968" right="0.23622047244094491" top="0.74803149606299213" bottom="0.74803149606299213" header="0.31496062992125984" footer="0.31496062992125984"/>
  <pageSetup paperSize="9" scale="83" orientation="landscape" verticalDpi="0" r:id="rId1"/>
  <ignoredErrors>
    <ignoredError sqref="C16:G16 C17:E17 C9:H9 C11:G12 C14:G14 C13:E13 G1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Лист1</vt:lpstr>
      <vt:lpstr>Лист2</vt:lpstr>
      <vt:lpstr>Лист1!Область_печати</vt:lpstr>
      <vt:lpstr>Лист2!Область_печати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2020-07-04T12:28:45Z</dcterms:modified>
</cp:coreProperties>
</file>