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30"/>
  </bookViews>
  <sheets>
    <sheet name="Жисмоний шахслар налоги" sheetId="1" r:id="rId1"/>
    <sheet name="Солик туловлари хис.китоби" sheetId="2" r:id="rId2"/>
  </sheets>
  <definedNames>
    <definedName name="_xlnm.Print_Area" localSheetId="0">'Жисмоний шахслар налоги'!$A$1:$CB$111</definedName>
    <definedName name="_xlnm.Print_Area" localSheetId="1">'Солик туловлари хис.китоби'!$A$1:$BC$19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8" i="2" l="1"/>
  <c r="AS9" i="2" s="1"/>
  <c r="AS10" i="2" s="1"/>
  <c r="AS11" i="2" s="1"/>
  <c r="AS12" i="2" s="1"/>
  <c r="AS13" i="2" s="1"/>
  <c r="AS14" i="2" s="1"/>
  <c r="AS15" i="2" s="1"/>
  <c r="AS16" i="2" s="1"/>
  <c r="AS17" i="2" s="1"/>
  <c r="AS18" i="2" s="1"/>
  <c r="AT6" i="2"/>
  <c r="AH8" i="2"/>
  <c r="AH9" i="2" s="1"/>
  <c r="AH10" i="2" s="1"/>
  <c r="AH11" i="2" s="1"/>
  <c r="AH12" i="2" s="1"/>
  <c r="AH13" i="2" s="1"/>
  <c r="AH14" i="2" s="1"/>
  <c r="AH15" i="2" s="1"/>
  <c r="AH16" i="2" s="1"/>
  <c r="AH17" i="2" s="1"/>
  <c r="AH18" i="2" s="1"/>
  <c r="AI6" i="2"/>
  <c r="W8" i="2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X6" i="2"/>
  <c r="L8" i="2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M6" i="2"/>
  <c r="AH21" i="1" l="1"/>
  <c r="B6" i="2" l="1"/>
  <c r="C6" i="2" s="1"/>
  <c r="D6" i="2" s="1"/>
  <c r="E6" i="2" s="1"/>
  <c r="F6" i="2" s="1"/>
  <c r="G6" i="2" s="1"/>
  <c r="H6" i="2" s="1"/>
  <c r="I6" i="2" s="1"/>
  <c r="J6" i="2" s="1"/>
  <c r="N6" i="2" s="1"/>
  <c r="O6" i="2" s="1"/>
  <c r="P6" i="2" s="1"/>
  <c r="Q6" i="2" s="1"/>
  <c r="R6" i="2" s="1"/>
  <c r="S6" i="2" s="1"/>
  <c r="T6" i="2" s="1"/>
  <c r="U6" i="2" s="1"/>
  <c r="Y6" i="2" s="1"/>
  <c r="Z6" i="2" s="1"/>
  <c r="AA6" i="2" s="1"/>
  <c r="AB6" i="2" s="1"/>
  <c r="AC6" i="2" s="1"/>
  <c r="AD6" i="2" s="1"/>
  <c r="AE6" i="2" s="1"/>
  <c r="AF6" i="2" s="1"/>
  <c r="AJ6" i="2" s="1"/>
  <c r="AK6" i="2" s="1"/>
  <c r="AL6" i="2" s="1"/>
  <c r="AM6" i="2" s="1"/>
  <c r="AN6" i="2" s="1"/>
  <c r="AO6" i="2" s="1"/>
  <c r="AP6" i="2" s="1"/>
  <c r="AQ6" i="2" s="1"/>
  <c r="AU6" i="2" s="1"/>
  <c r="AV6" i="2" s="1"/>
  <c r="AW6" i="2" s="1"/>
  <c r="AX6" i="2" s="1"/>
  <c r="AY6" i="2" s="1"/>
  <c r="AZ6" i="2" s="1"/>
  <c r="BA6" i="2" s="1"/>
  <c r="BB6" i="2" s="1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CB108" i="1" l="1"/>
  <c r="CA108" i="1"/>
  <c r="BZ108" i="1"/>
  <c r="BY108" i="1"/>
  <c r="BX108" i="1"/>
  <c r="BW108" i="1"/>
  <c r="CB107" i="1"/>
  <c r="CA107" i="1"/>
  <c r="BZ107" i="1"/>
  <c r="BY107" i="1"/>
  <c r="BX107" i="1"/>
  <c r="BW107" i="1"/>
  <c r="CB106" i="1"/>
  <c r="CA106" i="1"/>
  <c r="BZ106" i="1"/>
  <c r="BY106" i="1"/>
  <c r="BX106" i="1"/>
  <c r="BW106" i="1"/>
  <c r="CB105" i="1"/>
  <c r="CA105" i="1"/>
  <c r="BZ105" i="1"/>
  <c r="BY105" i="1"/>
  <c r="BX105" i="1"/>
  <c r="BW105" i="1"/>
  <c r="CB104" i="1"/>
  <c r="CA104" i="1"/>
  <c r="BZ104" i="1"/>
  <c r="BY104" i="1"/>
  <c r="BX104" i="1"/>
  <c r="BW104" i="1"/>
  <c r="CB103" i="1"/>
  <c r="CA103" i="1"/>
  <c r="BZ103" i="1"/>
  <c r="BY103" i="1"/>
  <c r="BX103" i="1"/>
  <c r="BW103" i="1"/>
  <c r="CB102" i="1"/>
  <c r="CA102" i="1"/>
  <c r="BZ102" i="1"/>
  <c r="BY102" i="1"/>
  <c r="BX102" i="1"/>
  <c r="BW102" i="1"/>
  <c r="CB101" i="1"/>
  <c r="CA101" i="1"/>
  <c r="BZ101" i="1"/>
  <c r="BY101" i="1"/>
  <c r="BX101" i="1"/>
  <c r="BW101" i="1"/>
  <c r="CB100" i="1"/>
  <c r="CA100" i="1"/>
  <c r="BZ100" i="1"/>
  <c r="BY100" i="1"/>
  <c r="BX100" i="1"/>
  <c r="BW100" i="1"/>
  <c r="CB99" i="1"/>
  <c r="CA99" i="1"/>
  <c r="BZ99" i="1"/>
  <c r="BY99" i="1"/>
  <c r="BX99" i="1"/>
  <c r="BW99" i="1"/>
  <c r="BQ96" i="1"/>
  <c r="AI96" i="1"/>
  <c r="AC96" i="1"/>
  <c r="BT6" i="1"/>
  <c r="BN6" i="1"/>
  <c r="BH6" i="1"/>
  <c r="BB6" i="1"/>
  <c r="AV6" i="1"/>
  <c r="AP6" i="1"/>
  <c r="AJ6" i="1"/>
  <c r="AD6" i="1"/>
  <c r="X6" i="1"/>
  <c r="R6" i="1"/>
  <c r="L6" i="1"/>
  <c r="F6" i="1"/>
  <c r="BA8" i="1"/>
  <c r="AL108" i="1"/>
  <c r="AL107" i="1"/>
  <c r="AL106" i="1"/>
  <c r="AL105" i="1"/>
  <c r="AL104" i="1"/>
  <c r="AL103" i="1"/>
  <c r="AL102" i="1"/>
  <c r="AL101" i="1"/>
  <c r="AL100" i="1"/>
  <c r="AL99" i="1"/>
  <c r="AF108" i="1"/>
  <c r="AF107" i="1"/>
  <c r="AF106" i="1"/>
  <c r="AF105" i="1"/>
  <c r="AF104" i="1"/>
  <c r="AF103" i="1"/>
  <c r="AF102" i="1"/>
  <c r="AF101" i="1"/>
  <c r="AF100" i="1"/>
  <c r="AF99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E104" i="1"/>
  <c r="AE103" i="1"/>
  <c r="AE102" i="1"/>
  <c r="AE101" i="1"/>
  <c r="AE100" i="1"/>
  <c r="AC104" i="1"/>
  <c r="AC103" i="1"/>
  <c r="AC102" i="1"/>
  <c r="AC101" i="1"/>
  <c r="AC100" i="1"/>
  <c r="AC108" i="1"/>
  <c r="AC107" i="1"/>
  <c r="AC106" i="1"/>
  <c r="AC105" i="1"/>
  <c r="AC99" i="1"/>
  <c r="AB108" i="1"/>
  <c r="AB107" i="1"/>
  <c r="AB106" i="1"/>
  <c r="AB105" i="1"/>
  <c r="AB104" i="1"/>
  <c r="AB103" i="1"/>
  <c r="AB102" i="1"/>
  <c r="AB101" i="1"/>
  <c r="AB100" i="1"/>
  <c r="AB99" i="1"/>
  <c r="Z108" i="1"/>
  <c r="Z107" i="1"/>
  <c r="Z106" i="1"/>
  <c r="Z105" i="1"/>
  <c r="Z104" i="1"/>
  <c r="Z103" i="1"/>
  <c r="Z102" i="1"/>
  <c r="Z101" i="1"/>
  <c r="Z100" i="1"/>
  <c r="Z99" i="1"/>
  <c r="Y104" i="1"/>
  <c r="Y103" i="1"/>
  <c r="Y102" i="1"/>
  <c r="Y101" i="1"/>
  <c r="Y100" i="1"/>
  <c r="W104" i="1"/>
  <c r="W103" i="1"/>
  <c r="W102" i="1"/>
  <c r="W101" i="1"/>
  <c r="W100" i="1"/>
  <c r="W108" i="1"/>
  <c r="W107" i="1"/>
  <c r="W106" i="1"/>
  <c r="W105" i="1"/>
  <c r="W99" i="1"/>
  <c r="V108" i="1"/>
  <c r="V107" i="1"/>
  <c r="V109" i="1" s="1"/>
  <c r="V106" i="1"/>
  <c r="V105" i="1"/>
  <c r="V104" i="1"/>
  <c r="V103" i="1"/>
  <c r="V102" i="1"/>
  <c r="V101" i="1"/>
  <c r="V100" i="1"/>
  <c r="V99" i="1"/>
  <c r="T108" i="1"/>
  <c r="T107" i="1"/>
  <c r="T106" i="1"/>
  <c r="T105" i="1"/>
  <c r="T104" i="1"/>
  <c r="T103" i="1"/>
  <c r="T102" i="1"/>
  <c r="T101" i="1"/>
  <c r="T100" i="1"/>
  <c r="T99" i="1"/>
  <c r="S104" i="1"/>
  <c r="S103" i="1"/>
  <c r="S102" i="1"/>
  <c r="S101" i="1"/>
  <c r="S109" i="1" s="1"/>
  <c r="S100" i="1"/>
  <c r="Q104" i="1"/>
  <c r="Q103" i="1"/>
  <c r="Q102" i="1"/>
  <c r="Q101" i="1"/>
  <c r="Q100" i="1"/>
  <c r="Q108" i="1"/>
  <c r="Q107" i="1"/>
  <c r="Q106" i="1"/>
  <c r="Q105" i="1"/>
  <c r="Q99" i="1"/>
  <c r="P108" i="1"/>
  <c r="P107" i="1"/>
  <c r="P106" i="1"/>
  <c r="P105" i="1"/>
  <c r="P104" i="1"/>
  <c r="P103" i="1"/>
  <c r="P102" i="1"/>
  <c r="P101" i="1"/>
  <c r="P100" i="1"/>
  <c r="P99" i="1"/>
  <c r="N108" i="1"/>
  <c r="N107" i="1"/>
  <c r="N106" i="1"/>
  <c r="N105" i="1"/>
  <c r="N104" i="1"/>
  <c r="N103" i="1"/>
  <c r="N102" i="1"/>
  <c r="N101" i="1"/>
  <c r="N100" i="1"/>
  <c r="N99" i="1"/>
  <c r="M104" i="1"/>
  <c r="M103" i="1"/>
  <c r="M102" i="1"/>
  <c r="M101" i="1"/>
  <c r="M100" i="1"/>
  <c r="K104" i="1"/>
  <c r="K103" i="1"/>
  <c r="K102" i="1"/>
  <c r="K101" i="1"/>
  <c r="K100" i="1"/>
  <c r="K108" i="1"/>
  <c r="K107" i="1"/>
  <c r="K106" i="1"/>
  <c r="K105" i="1"/>
  <c r="K99" i="1"/>
  <c r="J108" i="1"/>
  <c r="J107" i="1"/>
  <c r="J106" i="1"/>
  <c r="J105" i="1"/>
  <c r="J104" i="1"/>
  <c r="J103" i="1"/>
  <c r="J102" i="1"/>
  <c r="J101" i="1"/>
  <c r="J100" i="1"/>
  <c r="J99" i="1"/>
  <c r="H108" i="1"/>
  <c r="H107" i="1"/>
  <c r="H106" i="1"/>
  <c r="H105" i="1"/>
  <c r="H104" i="1"/>
  <c r="H103" i="1"/>
  <c r="H102" i="1"/>
  <c r="H101" i="1"/>
  <c r="H100" i="1"/>
  <c r="H99" i="1"/>
  <c r="G104" i="1"/>
  <c r="G103" i="1"/>
  <c r="G102" i="1"/>
  <c r="G101" i="1"/>
  <c r="G109" i="1" s="1"/>
  <c r="G100" i="1"/>
  <c r="E104" i="1"/>
  <c r="E103" i="1"/>
  <c r="E102" i="1"/>
  <c r="E101" i="1"/>
  <c r="E100" i="1"/>
  <c r="E108" i="1"/>
  <c r="E107" i="1"/>
  <c r="E106" i="1"/>
  <c r="E105" i="1"/>
  <c r="E99" i="1"/>
  <c r="D108" i="1"/>
  <c r="D107" i="1"/>
  <c r="D106" i="1"/>
  <c r="D105" i="1"/>
  <c r="D104" i="1"/>
  <c r="D103" i="1"/>
  <c r="D102" i="1"/>
  <c r="D101" i="1"/>
  <c r="D100" i="1"/>
  <c r="D99" i="1"/>
  <c r="CB109" i="1"/>
  <c r="CA109" i="1"/>
  <c r="BZ109" i="1"/>
  <c r="BY109" i="1"/>
  <c r="BX109" i="1"/>
  <c r="BW109" i="1"/>
  <c r="BV109" i="1"/>
  <c r="BU109" i="1"/>
  <c r="BT109" i="1"/>
  <c r="BS109" i="1"/>
  <c r="BR109" i="1"/>
  <c r="BQ109" i="1"/>
  <c r="BP109" i="1"/>
  <c r="BO109" i="1"/>
  <c r="BN109" i="1"/>
  <c r="BM109" i="1"/>
  <c r="BL109" i="1"/>
  <c r="BK109" i="1"/>
  <c r="BJ109" i="1"/>
  <c r="BI109" i="1"/>
  <c r="BH109" i="1"/>
  <c r="BG109" i="1"/>
  <c r="BF109" i="1"/>
  <c r="BE109" i="1"/>
  <c r="BD109" i="1"/>
  <c r="BC109" i="1"/>
  <c r="BB109" i="1"/>
  <c r="BA109" i="1"/>
  <c r="AZ109" i="1"/>
  <c r="AY109" i="1"/>
  <c r="AX109" i="1"/>
  <c r="AW109" i="1"/>
  <c r="AV109" i="1"/>
  <c r="AU109" i="1"/>
  <c r="AT109" i="1"/>
  <c r="AS109" i="1"/>
  <c r="AR109" i="1"/>
  <c r="AQ109" i="1"/>
  <c r="AP109" i="1"/>
  <c r="AO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X109" i="1"/>
  <c r="W109" i="1"/>
  <c r="U109" i="1"/>
  <c r="T109" i="1"/>
  <c r="R109" i="1"/>
  <c r="Q109" i="1"/>
  <c r="P109" i="1"/>
  <c r="O109" i="1"/>
  <c r="N109" i="1"/>
  <c r="M109" i="1"/>
  <c r="L109" i="1"/>
  <c r="K109" i="1"/>
  <c r="J109" i="1"/>
  <c r="I109" i="1"/>
  <c r="H109" i="1"/>
  <c r="F109" i="1"/>
  <c r="D109" i="1"/>
  <c r="A103" i="1"/>
  <c r="A104" i="1" s="1"/>
  <c r="A105" i="1" s="1"/>
  <c r="A106" i="1" s="1"/>
  <c r="A107" i="1" s="1"/>
  <c r="A108" i="1" s="1"/>
  <c r="C109" i="1"/>
  <c r="CA93" i="1"/>
  <c r="BZ93" i="1"/>
  <c r="BW93" i="1"/>
  <c r="CA110" i="1"/>
  <c r="BZ110" i="1"/>
  <c r="BY110" i="1"/>
  <c r="BX110" i="1"/>
  <c r="BW110" i="1"/>
  <c r="BV110" i="1"/>
  <c r="BP110" i="1"/>
  <c r="BJ110" i="1"/>
  <c r="BD110" i="1"/>
  <c r="AX110" i="1"/>
  <c r="AR110" i="1"/>
  <c r="AL110" i="1"/>
  <c r="AF110" i="1"/>
  <c r="Z110" i="1"/>
  <c r="T110" i="1"/>
  <c r="N110" i="1"/>
  <c r="H110" i="1"/>
  <c r="BW96" i="1"/>
  <c r="BU88" i="1"/>
  <c r="BU87" i="1"/>
  <c r="BU86" i="1"/>
  <c r="BU85" i="1"/>
  <c r="BU84" i="1"/>
  <c r="BU95" i="1" s="1"/>
  <c r="BU82" i="1"/>
  <c r="BS94" i="1"/>
  <c r="BV94" i="1" s="1"/>
  <c r="BS93" i="1"/>
  <c r="BV93" i="1" s="1"/>
  <c r="BS92" i="1"/>
  <c r="BV92" i="1" s="1"/>
  <c r="BS91" i="1"/>
  <c r="BV91" i="1" s="1"/>
  <c r="BS90" i="1"/>
  <c r="BV90" i="1" s="1"/>
  <c r="BS89" i="1"/>
  <c r="BV89" i="1" s="1"/>
  <c r="BS83" i="1"/>
  <c r="BV83" i="1" s="1"/>
  <c r="BS88" i="1"/>
  <c r="BS87" i="1"/>
  <c r="BV87" i="1" s="1"/>
  <c r="BS86" i="1"/>
  <c r="BV86" i="1" s="1"/>
  <c r="BS85" i="1"/>
  <c r="BS84" i="1"/>
  <c r="BS82" i="1"/>
  <c r="BV82" i="1" s="1"/>
  <c r="BR94" i="1"/>
  <c r="BR93" i="1"/>
  <c r="BR92" i="1"/>
  <c r="BR91" i="1"/>
  <c r="BR90" i="1"/>
  <c r="BR89" i="1"/>
  <c r="BR88" i="1"/>
  <c r="BR87" i="1"/>
  <c r="BR86" i="1"/>
  <c r="BR85" i="1"/>
  <c r="BR84" i="1"/>
  <c r="BR83" i="1"/>
  <c r="BR95" i="1" s="1"/>
  <c r="BR82" i="1"/>
  <c r="BO88" i="1"/>
  <c r="BO87" i="1"/>
  <c r="BO86" i="1"/>
  <c r="BO85" i="1"/>
  <c r="BO84" i="1"/>
  <c r="BO82" i="1"/>
  <c r="BM94" i="1"/>
  <c r="BP94" i="1" s="1"/>
  <c r="BM93" i="1"/>
  <c r="BP93" i="1" s="1"/>
  <c r="BM92" i="1"/>
  <c r="BP92" i="1" s="1"/>
  <c r="BM91" i="1"/>
  <c r="BP91" i="1" s="1"/>
  <c r="BM90" i="1"/>
  <c r="BP90" i="1" s="1"/>
  <c r="BM89" i="1"/>
  <c r="BP89" i="1" s="1"/>
  <c r="BM88" i="1"/>
  <c r="BP88" i="1" s="1"/>
  <c r="BM87" i="1"/>
  <c r="BP87" i="1" s="1"/>
  <c r="BM86" i="1"/>
  <c r="BP86" i="1" s="1"/>
  <c r="BM85" i="1"/>
  <c r="BP85" i="1" s="1"/>
  <c r="BM84" i="1"/>
  <c r="BP84" i="1" s="1"/>
  <c r="BM83" i="1"/>
  <c r="BP83" i="1" s="1"/>
  <c r="BM82" i="1"/>
  <c r="BP82" i="1" s="1"/>
  <c r="BL94" i="1"/>
  <c r="BL93" i="1"/>
  <c r="BL92" i="1"/>
  <c r="BL91" i="1"/>
  <c r="BL90" i="1"/>
  <c r="BL89" i="1"/>
  <c r="BL88" i="1"/>
  <c r="BL87" i="1"/>
  <c r="BL86" i="1"/>
  <c r="BL85" i="1"/>
  <c r="BL84" i="1"/>
  <c r="BL83" i="1"/>
  <c r="BL95" i="1" s="1"/>
  <c r="BL82" i="1"/>
  <c r="BP96" i="1"/>
  <c r="BI88" i="1"/>
  <c r="BI87" i="1"/>
  <c r="BI86" i="1"/>
  <c r="BI85" i="1"/>
  <c r="BI84" i="1"/>
  <c r="BI82" i="1"/>
  <c r="BG88" i="1"/>
  <c r="BJ88" i="1" s="1"/>
  <c r="BG87" i="1"/>
  <c r="BG86" i="1"/>
  <c r="BJ86" i="1" s="1"/>
  <c r="BG85" i="1"/>
  <c r="BG84" i="1"/>
  <c r="BJ84" i="1" s="1"/>
  <c r="BG94" i="1"/>
  <c r="BG93" i="1"/>
  <c r="BY93" i="1" s="1"/>
  <c r="BG92" i="1"/>
  <c r="BG91" i="1"/>
  <c r="BJ91" i="1" s="1"/>
  <c r="BG90" i="1"/>
  <c r="BG89" i="1"/>
  <c r="BJ89" i="1" s="1"/>
  <c r="BG83" i="1"/>
  <c r="BG82" i="1"/>
  <c r="BJ82" i="1" s="1"/>
  <c r="BF94" i="1"/>
  <c r="BF93" i="1"/>
  <c r="BX93" i="1" s="1"/>
  <c r="BF92" i="1"/>
  <c r="BF91" i="1"/>
  <c r="BF90" i="1"/>
  <c r="BF89" i="1"/>
  <c r="BF88" i="1"/>
  <c r="BF87" i="1"/>
  <c r="BF86" i="1"/>
  <c r="BF85" i="1"/>
  <c r="BF84" i="1"/>
  <c r="BF83" i="1"/>
  <c r="BF82" i="1"/>
  <c r="BE95" i="1"/>
  <c r="BJ94" i="1"/>
  <c r="BJ92" i="1"/>
  <c r="BJ90" i="1"/>
  <c r="BJ87" i="1"/>
  <c r="BJ85" i="1"/>
  <c r="BJ83" i="1"/>
  <c r="BD83" i="1"/>
  <c r="BJ96" i="1"/>
  <c r="BC88" i="1"/>
  <c r="BC87" i="1"/>
  <c r="BC86" i="1"/>
  <c r="BC85" i="1"/>
  <c r="BC84" i="1"/>
  <c r="BC82" i="1"/>
  <c r="BA83" i="1"/>
  <c r="BA88" i="1"/>
  <c r="BD88" i="1" s="1"/>
  <c r="BA87" i="1"/>
  <c r="BA86" i="1"/>
  <c r="BD86" i="1" s="1"/>
  <c r="BA85" i="1"/>
  <c r="BA84" i="1"/>
  <c r="BA82" i="1"/>
  <c r="BD82" i="1" s="1"/>
  <c r="AZ88" i="1"/>
  <c r="AZ87" i="1"/>
  <c r="AZ86" i="1"/>
  <c r="AZ85" i="1"/>
  <c r="AZ84" i="1"/>
  <c r="AZ83" i="1"/>
  <c r="AZ82" i="1"/>
  <c r="BD96" i="1"/>
  <c r="AR85" i="1"/>
  <c r="AR83" i="1"/>
  <c r="AW88" i="1"/>
  <c r="AW87" i="1"/>
  <c r="AW86" i="1"/>
  <c r="AW85" i="1"/>
  <c r="AW84" i="1"/>
  <c r="AW82" i="1"/>
  <c r="AU83" i="1"/>
  <c r="AX83" i="1" s="1"/>
  <c r="AU88" i="1"/>
  <c r="AU87" i="1"/>
  <c r="AX87" i="1" s="1"/>
  <c r="AU86" i="1"/>
  <c r="AU85" i="1"/>
  <c r="AU84" i="1"/>
  <c r="AU82" i="1"/>
  <c r="AX82" i="1" s="1"/>
  <c r="AT88" i="1"/>
  <c r="AT87" i="1"/>
  <c r="AT86" i="1"/>
  <c r="AT85" i="1"/>
  <c r="AT84" i="1"/>
  <c r="AT83" i="1"/>
  <c r="AT82" i="1"/>
  <c r="AX96" i="1"/>
  <c r="AQ88" i="1"/>
  <c r="AQ87" i="1"/>
  <c r="AQ86" i="1"/>
  <c r="AQ85" i="1"/>
  <c r="AQ84" i="1"/>
  <c r="AQ82" i="1"/>
  <c r="AO88" i="1"/>
  <c r="AR88" i="1" s="1"/>
  <c r="AO87" i="1"/>
  <c r="AR87" i="1" s="1"/>
  <c r="AO86" i="1"/>
  <c r="AR86" i="1" s="1"/>
  <c r="AO85" i="1"/>
  <c r="AO84" i="1"/>
  <c r="AR84" i="1" s="1"/>
  <c r="AO83" i="1"/>
  <c r="AO82" i="1"/>
  <c r="AR82" i="1" s="1"/>
  <c r="AN88" i="1"/>
  <c r="AN87" i="1"/>
  <c r="AN86" i="1"/>
  <c r="AN85" i="1"/>
  <c r="AN84" i="1"/>
  <c r="AN83" i="1"/>
  <c r="AN82" i="1"/>
  <c r="AK86" i="1"/>
  <c r="AK85" i="1"/>
  <c r="AK84" i="1"/>
  <c r="AK82" i="1"/>
  <c r="AI86" i="1"/>
  <c r="AI85" i="1"/>
  <c r="AL85" i="1" s="1"/>
  <c r="AI84" i="1"/>
  <c r="AL84" i="1" s="1"/>
  <c r="AI82" i="1"/>
  <c r="AI83" i="1"/>
  <c r="AL83" i="1" s="1"/>
  <c r="AH86" i="1"/>
  <c r="AH85" i="1"/>
  <c r="AH84" i="1"/>
  <c r="AH83" i="1"/>
  <c r="AH95" i="1" s="1"/>
  <c r="AH82" i="1"/>
  <c r="AL86" i="1"/>
  <c r="AL82" i="1"/>
  <c r="AR96" i="1"/>
  <c r="AL96" i="1"/>
  <c r="AE84" i="1"/>
  <c r="AE83" i="1"/>
  <c r="AC84" i="1"/>
  <c r="AC83" i="1"/>
  <c r="AC82" i="1"/>
  <c r="AB84" i="1"/>
  <c r="AB83" i="1"/>
  <c r="AB82" i="1"/>
  <c r="AF96" i="1"/>
  <c r="Z94" i="1"/>
  <c r="Z92" i="1"/>
  <c r="Z91" i="1"/>
  <c r="Z90" i="1"/>
  <c r="Z89" i="1"/>
  <c r="Z88" i="1"/>
  <c r="Z87" i="1"/>
  <c r="Z86" i="1"/>
  <c r="Z85" i="1"/>
  <c r="Z82" i="1"/>
  <c r="Y84" i="1"/>
  <c r="W84" i="1"/>
  <c r="Z84" i="1" s="1"/>
  <c r="W83" i="1"/>
  <c r="Z83" i="1" s="1"/>
  <c r="V84" i="1"/>
  <c r="V83" i="1"/>
  <c r="P84" i="1"/>
  <c r="P83" i="1"/>
  <c r="J84" i="1"/>
  <c r="J83" i="1"/>
  <c r="D84" i="1"/>
  <c r="D83" i="1"/>
  <c r="S84" i="1"/>
  <c r="Q84" i="1"/>
  <c r="T84" i="1" s="1"/>
  <c r="Q83" i="1"/>
  <c r="T94" i="1"/>
  <c r="T92" i="1"/>
  <c r="T91" i="1"/>
  <c r="T90" i="1"/>
  <c r="T89" i="1"/>
  <c r="T88" i="1"/>
  <c r="T87" i="1"/>
  <c r="T86" i="1"/>
  <c r="T85" i="1"/>
  <c r="T83" i="1"/>
  <c r="T82" i="1"/>
  <c r="N94" i="1"/>
  <c r="N92" i="1"/>
  <c r="N91" i="1"/>
  <c r="N90" i="1"/>
  <c r="N89" i="1"/>
  <c r="N88" i="1"/>
  <c r="N87" i="1"/>
  <c r="N86" i="1"/>
  <c r="N85" i="1"/>
  <c r="N83" i="1"/>
  <c r="N82" i="1"/>
  <c r="M84" i="1"/>
  <c r="G84" i="1"/>
  <c r="K84" i="1"/>
  <c r="N84" i="1" s="1"/>
  <c r="N95" i="1" s="1"/>
  <c r="K83" i="1"/>
  <c r="H96" i="1"/>
  <c r="E84" i="1"/>
  <c r="E83" i="1"/>
  <c r="BT95" i="1"/>
  <c r="BQ95" i="1"/>
  <c r="BO95" i="1"/>
  <c r="BN95" i="1"/>
  <c r="BM95" i="1"/>
  <c r="BK95" i="1"/>
  <c r="BI95" i="1"/>
  <c r="BH95" i="1"/>
  <c r="BF95" i="1"/>
  <c r="BB95" i="1"/>
  <c r="AZ95" i="1"/>
  <c r="AY95" i="1"/>
  <c r="AW95" i="1"/>
  <c r="AV95" i="1"/>
  <c r="AT95" i="1"/>
  <c r="AS95" i="1"/>
  <c r="AQ95" i="1"/>
  <c r="AP95" i="1"/>
  <c r="AO95" i="1"/>
  <c r="AM95" i="1"/>
  <c r="AK95" i="1"/>
  <c r="AJ95" i="1"/>
  <c r="AI95" i="1"/>
  <c r="AG95" i="1"/>
  <c r="AF95" i="1"/>
  <c r="AE95" i="1"/>
  <c r="AD95" i="1"/>
  <c r="AC95" i="1"/>
  <c r="AA95" i="1"/>
  <c r="Y95" i="1"/>
  <c r="X95" i="1"/>
  <c r="W95" i="1"/>
  <c r="V95" i="1"/>
  <c r="U95" i="1"/>
  <c r="S95" i="1"/>
  <c r="R95" i="1"/>
  <c r="Q95" i="1"/>
  <c r="P95" i="1"/>
  <c r="O95" i="1"/>
  <c r="M95" i="1"/>
  <c r="L95" i="1"/>
  <c r="K95" i="1"/>
  <c r="J95" i="1"/>
  <c r="I95" i="1"/>
  <c r="G95" i="1"/>
  <c r="F95" i="1"/>
  <c r="E95" i="1"/>
  <c r="C95" i="1"/>
  <c r="Z96" i="1"/>
  <c r="T96" i="1"/>
  <c r="N96" i="1"/>
  <c r="H94" i="1"/>
  <c r="H92" i="1"/>
  <c r="H91" i="1"/>
  <c r="H90" i="1"/>
  <c r="H89" i="1"/>
  <c r="H88" i="1"/>
  <c r="H87" i="1"/>
  <c r="H86" i="1"/>
  <c r="H85" i="1"/>
  <c r="H84" i="1"/>
  <c r="H83" i="1"/>
  <c r="H82" i="1"/>
  <c r="D94" i="1"/>
  <c r="D92" i="1"/>
  <c r="D91" i="1"/>
  <c r="D90" i="1"/>
  <c r="D89" i="1"/>
  <c r="D88" i="1"/>
  <c r="D87" i="1"/>
  <c r="D86" i="1"/>
  <c r="D85" i="1"/>
  <c r="D95" i="1" s="1"/>
  <c r="D82" i="1"/>
  <c r="BV57" i="1"/>
  <c r="BP57" i="1"/>
  <c r="BJ57" i="1"/>
  <c r="BD57" i="1"/>
  <c r="AX57" i="1"/>
  <c r="AR57" i="1"/>
  <c r="AL57" i="1"/>
  <c r="AF57" i="1"/>
  <c r="Z57" i="1"/>
  <c r="T57" i="1"/>
  <c r="N57" i="1"/>
  <c r="H57" i="1"/>
  <c r="BV41" i="1"/>
  <c r="BP41" i="1"/>
  <c r="BJ41" i="1"/>
  <c r="BD41" i="1"/>
  <c r="AX41" i="1"/>
  <c r="AR41" i="1"/>
  <c r="AL41" i="1"/>
  <c r="AF41" i="1"/>
  <c r="Z41" i="1"/>
  <c r="T41" i="1"/>
  <c r="N41" i="1"/>
  <c r="H41" i="1"/>
  <c r="BV22" i="1"/>
  <c r="BP22" i="1"/>
  <c r="BJ22" i="1"/>
  <c r="BD22" i="1"/>
  <c r="AX22" i="1"/>
  <c r="AR22" i="1"/>
  <c r="AL22" i="1"/>
  <c r="AF22" i="1"/>
  <c r="BR73" i="1"/>
  <c r="BS73" i="1"/>
  <c r="BS78" i="1" s="1"/>
  <c r="BT73" i="1"/>
  <c r="BT72" i="1"/>
  <c r="BS72" i="1"/>
  <c r="BR72" i="1"/>
  <c r="BR78" i="1" s="1"/>
  <c r="BL73" i="1"/>
  <c r="BM73" i="1"/>
  <c r="BM78" i="1" s="1"/>
  <c r="BN73" i="1"/>
  <c r="BN72" i="1"/>
  <c r="BN78" i="1" s="1"/>
  <c r="BM72" i="1"/>
  <c r="BL72" i="1"/>
  <c r="BU78" i="1"/>
  <c r="BT78" i="1"/>
  <c r="BO78" i="1"/>
  <c r="BL78" i="1"/>
  <c r="BV77" i="1"/>
  <c r="BV76" i="1"/>
  <c r="BV75" i="1"/>
  <c r="BV74" i="1"/>
  <c r="BV73" i="1"/>
  <c r="BV72" i="1"/>
  <c r="BP77" i="1"/>
  <c r="BP76" i="1"/>
  <c r="BP75" i="1"/>
  <c r="BP74" i="1"/>
  <c r="BI78" i="1"/>
  <c r="BF73" i="1"/>
  <c r="BG73" i="1"/>
  <c r="BH73" i="1"/>
  <c r="BJ77" i="1"/>
  <c r="BJ76" i="1"/>
  <c r="BJ75" i="1"/>
  <c r="BJ74" i="1"/>
  <c r="BH72" i="1"/>
  <c r="BG72" i="1"/>
  <c r="BG78" i="1" s="1"/>
  <c r="BF72" i="1"/>
  <c r="BF78" i="1" s="1"/>
  <c r="BC77" i="1"/>
  <c r="BC76" i="1"/>
  <c r="BC75" i="1"/>
  <c r="BC74" i="1"/>
  <c r="BC73" i="1"/>
  <c r="AW77" i="1"/>
  <c r="AW76" i="1"/>
  <c r="AW75" i="1"/>
  <c r="AW74" i="1"/>
  <c r="AW78" i="1" s="1"/>
  <c r="AW73" i="1"/>
  <c r="AQ77" i="1"/>
  <c r="AQ76" i="1"/>
  <c r="AQ75" i="1"/>
  <c r="AQ74" i="1"/>
  <c r="AQ73" i="1"/>
  <c r="BB77" i="1"/>
  <c r="BA77" i="1"/>
  <c r="BD77" i="1" s="1"/>
  <c r="AZ77" i="1"/>
  <c r="BB76" i="1"/>
  <c r="BD76" i="1" s="1"/>
  <c r="BA76" i="1"/>
  <c r="AZ76" i="1"/>
  <c r="BB75" i="1"/>
  <c r="BA75" i="1"/>
  <c r="BD75" i="1" s="1"/>
  <c r="AZ75" i="1"/>
  <c r="BB74" i="1"/>
  <c r="BA74" i="1"/>
  <c r="AZ74" i="1"/>
  <c r="BB73" i="1"/>
  <c r="BA73" i="1"/>
  <c r="BA78" i="1" s="1"/>
  <c r="AZ73" i="1"/>
  <c r="BC78" i="1"/>
  <c r="BB72" i="1"/>
  <c r="BA72" i="1"/>
  <c r="BD72" i="1" s="1"/>
  <c r="AZ72" i="1"/>
  <c r="AV77" i="1"/>
  <c r="AU77" i="1"/>
  <c r="AT77" i="1"/>
  <c r="AV76" i="1"/>
  <c r="AU76" i="1"/>
  <c r="AT76" i="1"/>
  <c r="AV75" i="1"/>
  <c r="AU75" i="1"/>
  <c r="AT75" i="1"/>
  <c r="AV74" i="1"/>
  <c r="AU74" i="1"/>
  <c r="AT74" i="1"/>
  <c r="AV73" i="1"/>
  <c r="AU73" i="1"/>
  <c r="AT73" i="1"/>
  <c r="AX75" i="1"/>
  <c r="AV72" i="1"/>
  <c r="AU72" i="1"/>
  <c r="AX72" i="1" s="1"/>
  <c r="AT72" i="1"/>
  <c r="AP77" i="1"/>
  <c r="AO77" i="1"/>
  <c r="AP76" i="1"/>
  <c r="AO76" i="1"/>
  <c r="AP75" i="1"/>
  <c r="AO75" i="1"/>
  <c r="AP74" i="1"/>
  <c r="AO74" i="1"/>
  <c r="AP73" i="1"/>
  <c r="AO73" i="1"/>
  <c r="AP72" i="1"/>
  <c r="AO72" i="1"/>
  <c r="AR72" i="1" s="1"/>
  <c r="AP78" i="1"/>
  <c r="AN77" i="1"/>
  <c r="AN76" i="1"/>
  <c r="AN75" i="1"/>
  <c r="AN74" i="1"/>
  <c r="AN73" i="1"/>
  <c r="AN72" i="1"/>
  <c r="BV79" i="1"/>
  <c r="BP79" i="1"/>
  <c r="BJ79" i="1"/>
  <c r="BD79" i="1"/>
  <c r="AX79" i="1"/>
  <c r="AR79" i="1"/>
  <c r="AL79" i="1"/>
  <c r="AF79" i="1"/>
  <c r="AK77" i="1"/>
  <c r="AK76" i="1"/>
  <c r="AK75" i="1"/>
  <c r="AK74" i="1"/>
  <c r="AK73" i="1"/>
  <c r="AJ77" i="1"/>
  <c r="AI77" i="1"/>
  <c r="AH77" i="1"/>
  <c r="AJ76" i="1"/>
  <c r="AI76" i="1"/>
  <c r="AH76" i="1"/>
  <c r="AJ75" i="1"/>
  <c r="AI75" i="1"/>
  <c r="AH75" i="1"/>
  <c r="AJ74" i="1"/>
  <c r="AI74" i="1"/>
  <c r="AH74" i="1"/>
  <c r="AJ73" i="1"/>
  <c r="AI73" i="1"/>
  <c r="AH73" i="1"/>
  <c r="AJ72" i="1"/>
  <c r="AI72" i="1"/>
  <c r="AH72" i="1"/>
  <c r="AL72" i="1"/>
  <c r="AE77" i="1"/>
  <c r="AE76" i="1"/>
  <c r="AE75" i="1"/>
  <c r="AE74" i="1"/>
  <c r="AE73" i="1"/>
  <c r="AD77" i="1"/>
  <c r="AC77" i="1"/>
  <c r="AF77" i="1" s="1"/>
  <c r="AB77" i="1"/>
  <c r="AD76" i="1"/>
  <c r="AC76" i="1"/>
  <c r="AB76" i="1"/>
  <c r="AD75" i="1"/>
  <c r="AC75" i="1"/>
  <c r="AB75" i="1"/>
  <c r="AD74" i="1"/>
  <c r="AC74" i="1"/>
  <c r="AB74" i="1"/>
  <c r="AD73" i="1"/>
  <c r="AC73" i="1"/>
  <c r="AB73" i="1"/>
  <c r="AD72" i="1"/>
  <c r="AC72" i="1"/>
  <c r="AB72" i="1"/>
  <c r="AF72" i="1"/>
  <c r="AB78" i="1"/>
  <c r="Y77" i="1"/>
  <c r="Y76" i="1"/>
  <c r="Y75" i="1"/>
  <c r="Y74" i="1"/>
  <c r="Y73" i="1"/>
  <c r="W77" i="1"/>
  <c r="W76" i="1"/>
  <c r="W75" i="1"/>
  <c r="W74" i="1"/>
  <c r="W73" i="1"/>
  <c r="W72" i="1"/>
  <c r="X77" i="1"/>
  <c r="X76" i="1"/>
  <c r="X75" i="1"/>
  <c r="X74" i="1"/>
  <c r="X73" i="1"/>
  <c r="X72" i="1"/>
  <c r="Z73" i="1"/>
  <c r="Z72" i="1"/>
  <c r="V77" i="1"/>
  <c r="V76" i="1"/>
  <c r="V75" i="1"/>
  <c r="V74" i="1"/>
  <c r="V73" i="1"/>
  <c r="V72" i="1"/>
  <c r="Z79" i="1"/>
  <c r="S77" i="1"/>
  <c r="S76" i="1"/>
  <c r="S75" i="1"/>
  <c r="S74" i="1"/>
  <c r="S73" i="1"/>
  <c r="Q77" i="1"/>
  <c r="Q76" i="1"/>
  <c r="Q75" i="1"/>
  <c r="Q74" i="1"/>
  <c r="Q73" i="1"/>
  <c r="Q72" i="1"/>
  <c r="M75" i="1"/>
  <c r="M74" i="1"/>
  <c r="M73" i="1"/>
  <c r="K75" i="1"/>
  <c r="K74" i="1"/>
  <c r="K73" i="1"/>
  <c r="K72" i="1"/>
  <c r="G75" i="1"/>
  <c r="G74" i="1"/>
  <c r="G73" i="1"/>
  <c r="E75" i="1"/>
  <c r="E74" i="1"/>
  <c r="E73" i="1"/>
  <c r="E72" i="1"/>
  <c r="T79" i="1"/>
  <c r="R77" i="1"/>
  <c r="P77" i="1"/>
  <c r="R76" i="1"/>
  <c r="P76" i="1"/>
  <c r="R75" i="1"/>
  <c r="P75" i="1"/>
  <c r="R74" i="1"/>
  <c r="P74" i="1"/>
  <c r="R73" i="1"/>
  <c r="P73" i="1"/>
  <c r="R72" i="1"/>
  <c r="P72" i="1"/>
  <c r="T72" i="1"/>
  <c r="R78" i="1"/>
  <c r="P78" i="1"/>
  <c r="N79" i="1"/>
  <c r="H79" i="1"/>
  <c r="L75" i="1"/>
  <c r="L74" i="1"/>
  <c r="L73" i="1"/>
  <c r="N73" i="1" s="1"/>
  <c r="L72" i="1"/>
  <c r="N72" i="1" s="1"/>
  <c r="J75" i="1"/>
  <c r="J74" i="1"/>
  <c r="J73" i="1"/>
  <c r="J72" i="1"/>
  <c r="F75" i="1"/>
  <c r="F74" i="1"/>
  <c r="F73" i="1"/>
  <c r="H73" i="1" s="1"/>
  <c r="F72" i="1"/>
  <c r="D75" i="1"/>
  <c r="D74" i="1"/>
  <c r="D73" i="1"/>
  <c r="D72" i="1"/>
  <c r="H75" i="1"/>
  <c r="H72" i="1"/>
  <c r="D78" i="1"/>
  <c r="CA79" i="1"/>
  <c r="BZ79" i="1"/>
  <c r="BY79" i="1"/>
  <c r="BX79" i="1"/>
  <c r="BW79" i="1"/>
  <c r="CA69" i="1"/>
  <c r="BZ69" i="1"/>
  <c r="BY69" i="1"/>
  <c r="BX69" i="1"/>
  <c r="BW69" i="1"/>
  <c r="CA57" i="1"/>
  <c r="BZ57" i="1"/>
  <c r="BY57" i="1"/>
  <c r="BX57" i="1"/>
  <c r="BW57" i="1"/>
  <c r="CA41" i="1"/>
  <c r="BZ41" i="1"/>
  <c r="BY41" i="1"/>
  <c r="BX41" i="1"/>
  <c r="BW41" i="1"/>
  <c r="CA22" i="1"/>
  <c r="BZ22" i="1"/>
  <c r="BY22" i="1"/>
  <c r="BX22" i="1"/>
  <c r="BW22" i="1"/>
  <c r="BS61" i="1"/>
  <c r="BS60" i="1"/>
  <c r="BV69" i="1"/>
  <c r="BT61" i="1"/>
  <c r="BT60" i="1"/>
  <c r="BR61" i="1"/>
  <c r="BR60" i="1"/>
  <c r="BV67" i="1"/>
  <c r="BV66" i="1"/>
  <c r="BV65" i="1"/>
  <c r="BV64" i="1"/>
  <c r="BV63" i="1"/>
  <c r="BV62" i="1"/>
  <c r="BV61" i="1"/>
  <c r="BV60" i="1"/>
  <c r="BU68" i="1"/>
  <c r="BT68" i="1"/>
  <c r="BS68" i="1"/>
  <c r="BR68" i="1"/>
  <c r="BO66" i="1"/>
  <c r="BO65" i="1"/>
  <c r="BO64" i="1"/>
  <c r="BO63" i="1"/>
  <c r="BO62" i="1"/>
  <c r="BO61" i="1"/>
  <c r="BM66" i="1"/>
  <c r="BM65" i="1"/>
  <c r="BM64" i="1"/>
  <c r="BM63" i="1"/>
  <c r="BM62" i="1"/>
  <c r="BM61" i="1"/>
  <c r="BM68" i="1" s="1"/>
  <c r="BM60" i="1"/>
  <c r="BP69" i="1"/>
  <c r="BN66" i="1"/>
  <c r="BN65" i="1"/>
  <c r="BN64" i="1"/>
  <c r="BN63" i="1"/>
  <c r="BN62" i="1"/>
  <c r="BN61" i="1"/>
  <c r="BN68" i="1" s="1"/>
  <c r="BN60" i="1"/>
  <c r="BL66" i="1"/>
  <c r="BL65" i="1"/>
  <c r="BL64" i="1"/>
  <c r="BL63" i="1"/>
  <c r="BL62" i="1"/>
  <c r="BL61" i="1"/>
  <c r="BL60" i="1"/>
  <c r="BP67" i="1"/>
  <c r="BP66" i="1"/>
  <c r="BP64" i="1"/>
  <c r="BP62" i="1"/>
  <c r="BP60" i="1"/>
  <c r="BI66" i="1"/>
  <c r="BI65" i="1"/>
  <c r="BI64" i="1"/>
  <c r="BI63" i="1"/>
  <c r="BI62" i="1"/>
  <c r="BI61" i="1"/>
  <c r="BG67" i="1"/>
  <c r="BG66" i="1"/>
  <c r="BG65" i="1"/>
  <c r="BG64" i="1"/>
  <c r="BG63" i="1"/>
  <c r="BG62" i="1"/>
  <c r="BG61" i="1"/>
  <c r="BG60" i="1"/>
  <c r="BH67" i="1"/>
  <c r="BH66" i="1"/>
  <c r="BH65" i="1"/>
  <c r="BH64" i="1"/>
  <c r="BH63" i="1"/>
  <c r="BH62" i="1"/>
  <c r="BH61" i="1"/>
  <c r="BH60" i="1"/>
  <c r="BJ67" i="1"/>
  <c r="BJ60" i="1"/>
  <c r="BF67" i="1"/>
  <c r="BF66" i="1"/>
  <c r="BF65" i="1"/>
  <c r="BF64" i="1"/>
  <c r="BF63" i="1"/>
  <c r="BF62" i="1"/>
  <c r="BF61" i="1"/>
  <c r="BF60" i="1"/>
  <c r="BJ69" i="1"/>
  <c r="BC66" i="1"/>
  <c r="BC65" i="1"/>
  <c r="BC64" i="1"/>
  <c r="BC63" i="1"/>
  <c r="BC62" i="1"/>
  <c r="BC61" i="1"/>
  <c r="BA67" i="1"/>
  <c r="BA66" i="1"/>
  <c r="BA65" i="1"/>
  <c r="BA64" i="1"/>
  <c r="BA63" i="1"/>
  <c r="BA62" i="1"/>
  <c r="BA61" i="1"/>
  <c r="BA60" i="1"/>
  <c r="AW66" i="1"/>
  <c r="AW65" i="1"/>
  <c r="AW64" i="1"/>
  <c r="AW63" i="1"/>
  <c r="AW62" i="1"/>
  <c r="AW61" i="1"/>
  <c r="AU67" i="1"/>
  <c r="AU66" i="1"/>
  <c r="AU65" i="1"/>
  <c r="AU64" i="1"/>
  <c r="AU63" i="1"/>
  <c r="AU62" i="1"/>
  <c r="AU61" i="1"/>
  <c r="AU60" i="1"/>
  <c r="AQ66" i="1"/>
  <c r="AQ65" i="1"/>
  <c r="AQ64" i="1"/>
  <c r="AQ63" i="1"/>
  <c r="AQ62" i="1"/>
  <c r="AQ61" i="1"/>
  <c r="AO67" i="1"/>
  <c r="AO66" i="1"/>
  <c r="AO65" i="1"/>
  <c r="AO64" i="1"/>
  <c r="AO63" i="1"/>
  <c r="AO62" i="1"/>
  <c r="AO61" i="1"/>
  <c r="AO60" i="1"/>
  <c r="AR60" i="1" s="1"/>
  <c r="AR69" i="1"/>
  <c r="BB67" i="1"/>
  <c r="BD67" i="1" s="1"/>
  <c r="BB66" i="1"/>
  <c r="BB65" i="1"/>
  <c r="BB64" i="1"/>
  <c r="BB63" i="1"/>
  <c r="BB62" i="1"/>
  <c r="BB61" i="1"/>
  <c r="BB60" i="1"/>
  <c r="BD60" i="1" s="1"/>
  <c r="AV67" i="1"/>
  <c r="AV66" i="1"/>
  <c r="AV65" i="1"/>
  <c r="AV64" i="1"/>
  <c r="AV63" i="1"/>
  <c r="AV62" i="1"/>
  <c r="AV61" i="1"/>
  <c r="AV60" i="1"/>
  <c r="AX60" i="1" s="1"/>
  <c r="AZ67" i="1"/>
  <c r="AZ66" i="1"/>
  <c r="AZ65" i="1"/>
  <c r="AZ64" i="1"/>
  <c r="AZ63" i="1"/>
  <c r="AZ62" i="1"/>
  <c r="AZ61" i="1"/>
  <c r="AZ60" i="1"/>
  <c r="AZ68" i="1"/>
  <c r="AX69" i="1"/>
  <c r="AT67" i="1"/>
  <c r="AT66" i="1"/>
  <c r="AT65" i="1"/>
  <c r="AT64" i="1"/>
  <c r="AT63" i="1"/>
  <c r="AT62" i="1"/>
  <c r="AT61" i="1"/>
  <c r="AT60" i="1"/>
  <c r="AP67" i="1"/>
  <c r="AP66" i="1"/>
  <c r="AP65" i="1"/>
  <c r="AP64" i="1"/>
  <c r="AP63" i="1"/>
  <c r="AP62" i="1"/>
  <c r="AP61" i="1"/>
  <c r="AP60" i="1"/>
  <c r="AP68" i="1"/>
  <c r="AN67" i="1"/>
  <c r="AN66" i="1"/>
  <c r="AN65" i="1"/>
  <c r="AN64" i="1"/>
  <c r="AN63" i="1"/>
  <c r="AN62" i="1"/>
  <c r="AN61" i="1"/>
  <c r="AN60" i="1"/>
  <c r="BD69" i="1"/>
  <c r="AK66" i="1"/>
  <c r="AK65" i="1"/>
  <c r="AK64" i="1"/>
  <c r="AK63" i="1"/>
  <c r="AK62" i="1"/>
  <c r="AK61" i="1"/>
  <c r="AI67" i="1"/>
  <c r="AI66" i="1"/>
  <c r="AI65" i="1"/>
  <c r="AI64" i="1"/>
  <c r="AI63" i="1"/>
  <c r="AI62" i="1"/>
  <c r="AI61" i="1"/>
  <c r="AI60" i="1"/>
  <c r="AE66" i="1"/>
  <c r="AE65" i="1"/>
  <c r="AE64" i="1"/>
  <c r="AE63" i="1"/>
  <c r="AE62" i="1"/>
  <c r="AE61" i="1"/>
  <c r="AC67" i="1"/>
  <c r="AC66" i="1"/>
  <c r="AC65" i="1"/>
  <c r="AC64" i="1"/>
  <c r="AC63" i="1"/>
  <c r="AC62" i="1"/>
  <c r="AC61" i="1"/>
  <c r="AC68" i="1" s="1"/>
  <c r="AC60" i="1"/>
  <c r="Y66" i="1"/>
  <c r="Y65" i="1"/>
  <c r="Y64" i="1"/>
  <c r="Y63" i="1"/>
  <c r="Y62" i="1"/>
  <c r="Y61" i="1"/>
  <c r="W61" i="1"/>
  <c r="W66" i="1"/>
  <c r="W65" i="1"/>
  <c r="W64" i="1"/>
  <c r="W63" i="1"/>
  <c r="Z63" i="1" s="1"/>
  <c r="W62" i="1"/>
  <c r="W60" i="1"/>
  <c r="AJ67" i="1"/>
  <c r="AJ66" i="1"/>
  <c r="AJ65" i="1"/>
  <c r="AJ64" i="1"/>
  <c r="AJ63" i="1"/>
  <c r="AJ62" i="1"/>
  <c r="AJ61" i="1"/>
  <c r="AJ60" i="1"/>
  <c r="AD67" i="1"/>
  <c r="AD66" i="1"/>
  <c r="AD65" i="1"/>
  <c r="AD64" i="1"/>
  <c r="AD63" i="1"/>
  <c r="AD62" i="1"/>
  <c r="AD61" i="1"/>
  <c r="AD60" i="1"/>
  <c r="AH67" i="1"/>
  <c r="AH66" i="1"/>
  <c r="AH65" i="1"/>
  <c r="AH64" i="1"/>
  <c r="AH63" i="1"/>
  <c r="AH62" i="1"/>
  <c r="AH61" i="1"/>
  <c r="AH60" i="1"/>
  <c r="AB67" i="1"/>
  <c r="AB66" i="1"/>
  <c r="AB65" i="1"/>
  <c r="AB64" i="1"/>
  <c r="AB63" i="1"/>
  <c r="AB62" i="1"/>
  <c r="AB61" i="1"/>
  <c r="AB60" i="1"/>
  <c r="AL69" i="1"/>
  <c r="AF69" i="1"/>
  <c r="Z69" i="1"/>
  <c r="X66" i="1"/>
  <c r="Z66" i="1" s="1"/>
  <c r="X65" i="1"/>
  <c r="X64" i="1"/>
  <c r="Z64" i="1" s="1"/>
  <c r="X63" i="1"/>
  <c r="X62" i="1"/>
  <c r="Z62" i="1" s="1"/>
  <c r="X61" i="1"/>
  <c r="Z61" i="1" s="1"/>
  <c r="X60" i="1"/>
  <c r="V66" i="1"/>
  <c r="V65" i="1"/>
  <c r="V64" i="1"/>
  <c r="V63" i="1"/>
  <c r="V62" i="1"/>
  <c r="V61" i="1"/>
  <c r="V60" i="1"/>
  <c r="V68" i="1"/>
  <c r="R62" i="1"/>
  <c r="T62" i="1" s="1"/>
  <c r="R61" i="1"/>
  <c r="T61" i="1" s="1"/>
  <c r="R60" i="1"/>
  <c r="T60" i="1" s="1"/>
  <c r="T69" i="1"/>
  <c r="H69" i="1"/>
  <c r="N69" i="1"/>
  <c r="L62" i="1"/>
  <c r="N62" i="1" s="1"/>
  <c r="L61" i="1"/>
  <c r="N61" i="1" s="1"/>
  <c r="L60" i="1"/>
  <c r="N60" i="1" s="1"/>
  <c r="P62" i="1"/>
  <c r="P61" i="1"/>
  <c r="P60" i="1"/>
  <c r="J62" i="1"/>
  <c r="J61" i="1"/>
  <c r="J68" i="1" s="1"/>
  <c r="J60" i="1"/>
  <c r="F62" i="1"/>
  <c r="H62" i="1" s="1"/>
  <c r="F61" i="1"/>
  <c r="H61" i="1" s="1"/>
  <c r="F60" i="1"/>
  <c r="H60" i="1" s="1"/>
  <c r="D62" i="1"/>
  <c r="D61" i="1"/>
  <c r="D60" i="1"/>
  <c r="D68" i="1"/>
  <c r="CB110" i="1" l="1"/>
  <c r="BR96" i="1"/>
  <c r="CB69" i="1"/>
  <c r="CB57" i="1"/>
  <c r="CB41" i="1"/>
  <c r="CB22" i="1"/>
  <c r="E109" i="1"/>
  <c r="AH68" i="1"/>
  <c r="AD68" i="1"/>
  <c r="AJ68" i="1"/>
  <c r="Z60" i="1"/>
  <c r="AF60" i="1"/>
  <c r="AL60" i="1"/>
  <c r="BL68" i="1"/>
  <c r="BO68" i="1"/>
  <c r="BV68" i="1"/>
  <c r="X78" i="1"/>
  <c r="AZ78" i="1"/>
  <c r="AQ78" i="1"/>
  <c r="AR95" i="1"/>
  <c r="AU95" i="1"/>
  <c r="BC95" i="1"/>
  <c r="BV88" i="1"/>
  <c r="Z65" i="1"/>
  <c r="AF63" i="1"/>
  <c r="AF65" i="1"/>
  <c r="AF67" i="1"/>
  <c r="AL61" i="1"/>
  <c r="AL63" i="1"/>
  <c r="AL65" i="1"/>
  <c r="AR66" i="1"/>
  <c r="BH68" i="1"/>
  <c r="T74" i="1"/>
  <c r="AC78" i="1"/>
  <c r="AH78" i="1"/>
  <c r="AL76" i="1"/>
  <c r="AN78" i="1"/>
  <c r="AX73" i="1"/>
  <c r="AU78" i="1"/>
  <c r="AX77" i="1"/>
  <c r="BJ72" i="1"/>
  <c r="BJ73" i="1"/>
  <c r="BH78" i="1"/>
  <c r="BP72" i="1"/>
  <c r="Z95" i="1"/>
  <c r="AB95" i="1"/>
  <c r="CB93" i="1"/>
  <c r="P68" i="1"/>
  <c r="AX62" i="1"/>
  <c r="BB68" i="1"/>
  <c r="AX61" i="1"/>
  <c r="AX67" i="1"/>
  <c r="BD65" i="1"/>
  <c r="BI68" i="1"/>
  <c r="K78" i="1"/>
  <c r="V78" i="1"/>
  <c r="Z74" i="1"/>
  <c r="AL73" i="1"/>
  <c r="AI78" i="1"/>
  <c r="AJ78" i="1"/>
  <c r="AL74" i="1"/>
  <c r="BD84" i="1"/>
  <c r="BA95" i="1"/>
  <c r="BJ95" i="1"/>
  <c r="BS95" i="1"/>
  <c r="BV85" i="1"/>
  <c r="BP95" i="1"/>
  <c r="BV84" i="1"/>
  <c r="BV95" i="1" s="1"/>
  <c r="W78" i="1"/>
  <c r="Z76" i="1"/>
  <c r="Y78" i="1"/>
  <c r="AR73" i="1"/>
  <c r="AR74" i="1"/>
  <c r="AR75" i="1"/>
  <c r="AR77" i="1"/>
  <c r="AX84" i="1"/>
  <c r="AX86" i="1"/>
  <c r="AX88" i="1"/>
  <c r="BD85" i="1"/>
  <c r="BD87" i="1"/>
  <c r="BG95" i="1"/>
  <c r="AR61" i="1"/>
  <c r="AR67" i="1"/>
  <c r="BJ63" i="1"/>
  <c r="BJ65" i="1"/>
  <c r="BP63" i="1"/>
  <c r="BP65" i="1"/>
  <c r="AT68" i="1"/>
  <c r="AR62" i="1"/>
  <c r="AR64" i="1"/>
  <c r="AX64" i="1"/>
  <c r="AW68" i="1"/>
  <c r="BD61" i="1"/>
  <c r="BD63" i="1"/>
  <c r="F78" i="1"/>
  <c r="J78" i="1"/>
  <c r="L78" i="1"/>
  <c r="N74" i="1"/>
  <c r="M78" i="1"/>
  <c r="T73" i="1"/>
  <c r="T75" i="1"/>
  <c r="T77" i="1"/>
  <c r="S78" i="1"/>
  <c r="T76" i="1"/>
  <c r="AL77" i="1"/>
  <c r="AR76" i="1"/>
  <c r="T95" i="1"/>
  <c r="Z77" i="1"/>
  <c r="AD78" i="1"/>
  <c r="AF75" i="1"/>
  <c r="AO78" i="1"/>
  <c r="AT78" i="1"/>
  <c r="AV78" i="1"/>
  <c r="BD73" i="1"/>
  <c r="AN95" i="1"/>
  <c r="AX85" i="1"/>
  <c r="AX95" i="1" s="1"/>
  <c r="AL95" i="1"/>
  <c r="H95" i="1"/>
  <c r="BJ61" i="1"/>
  <c r="BG68" i="1"/>
  <c r="AF74" i="1"/>
  <c r="AF76" i="1"/>
  <c r="Q78" i="1"/>
  <c r="H74" i="1"/>
  <c r="E78" i="1"/>
  <c r="N75" i="1"/>
  <c r="Z75" i="1"/>
  <c r="AE78" i="1"/>
  <c r="AF73" i="1"/>
  <c r="AL75" i="1"/>
  <c r="AK78" i="1"/>
  <c r="BB78" i="1"/>
  <c r="BD74" i="1"/>
  <c r="AX74" i="1"/>
  <c r="AX76" i="1"/>
  <c r="AF62" i="1"/>
  <c r="AF64" i="1"/>
  <c r="AF66" i="1"/>
  <c r="AL64" i="1"/>
  <c r="AL66" i="1"/>
  <c r="AQ68" i="1"/>
  <c r="AX63" i="1"/>
  <c r="AX66" i="1"/>
  <c r="BA68" i="1"/>
  <c r="BD62" i="1"/>
  <c r="BD64" i="1"/>
  <c r="BD66" i="1"/>
  <c r="BJ62" i="1"/>
  <c r="BJ64" i="1"/>
  <c r="BJ66" i="1"/>
  <c r="G78" i="1"/>
  <c r="BP73" i="1"/>
  <c r="CB79" i="1"/>
  <c r="AF61" i="1"/>
  <c r="AE68" i="1"/>
  <c r="AI68" i="1"/>
  <c r="AK68" i="1"/>
  <c r="BC68" i="1"/>
  <c r="AO68" i="1"/>
  <c r="AL62" i="1"/>
  <c r="AR63" i="1"/>
  <c r="AR65" i="1"/>
  <c r="AU68" i="1"/>
  <c r="AX65" i="1"/>
  <c r="BP61" i="1"/>
  <c r="BP68" i="1" s="1"/>
  <c r="BF68" i="1"/>
  <c r="AV68" i="1"/>
  <c r="AN68" i="1"/>
  <c r="AB68" i="1"/>
  <c r="Z22" i="1"/>
  <c r="BX96" i="1" l="1"/>
  <c r="BS96" i="1"/>
  <c r="BD95" i="1"/>
  <c r="T78" i="1"/>
  <c r="T22" i="1"/>
  <c r="N22" i="1"/>
  <c r="H22" i="1"/>
  <c r="BW8" i="1"/>
  <c r="CA8" i="1"/>
  <c r="BZ8" i="1"/>
  <c r="BY8" i="1"/>
  <c r="BX8" i="1"/>
  <c r="BV8" i="1"/>
  <c r="BP8" i="1"/>
  <c r="BJ8" i="1"/>
  <c r="BD8" i="1"/>
  <c r="AX8" i="1"/>
  <c r="AR8" i="1"/>
  <c r="AL8" i="1"/>
  <c r="AF8" i="1"/>
  <c r="Z8" i="1"/>
  <c r="T8" i="1"/>
  <c r="N8" i="1"/>
  <c r="H8" i="1"/>
  <c r="BU46" i="1"/>
  <c r="BU45" i="1"/>
  <c r="BT46" i="1"/>
  <c r="BT45" i="1"/>
  <c r="BS46" i="1"/>
  <c r="BS44" i="1"/>
  <c r="BS45" i="1"/>
  <c r="BO46" i="1"/>
  <c r="BO45" i="1"/>
  <c r="BN46" i="1"/>
  <c r="BN45" i="1"/>
  <c r="BM46" i="1"/>
  <c r="BP46" i="1" s="1"/>
  <c r="BM45" i="1"/>
  <c r="BP45" i="1" s="1"/>
  <c r="BM44" i="1"/>
  <c r="BI53" i="1"/>
  <c r="BI51" i="1"/>
  <c r="BI49" i="1"/>
  <c r="BI48" i="1"/>
  <c r="BI47" i="1"/>
  <c r="BI46" i="1"/>
  <c r="BI45" i="1"/>
  <c r="BH53" i="1"/>
  <c r="BH51" i="1"/>
  <c r="BH49" i="1"/>
  <c r="BH48" i="1"/>
  <c r="BH47" i="1"/>
  <c r="BH46" i="1"/>
  <c r="BH45" i="1"/>
  <c r="BG55" i="1"/>
  <c r="BJ55" i="1" s="1"/>
  <c r="BG54" i="1"/>
  <c r="BJ54" i="1" s="1"/>
  <c r="BG53" i="1"/>
  <c r="BJ53" i="1" s="1"/>
  <c r="BG51" i="1"/>
  <c r="BJ51" i="1" s="1"/>
  <c r="BG50" i="1"/>
  <c r="BJ50" i="1" s="1"/>
  <c r="BG49" i="1"/>
  <c r="BG48" i="1"/>
  <c r="BG47" i="1"/>
  <c r="BG46" i="1"/>
  <c r="BG45" i="1"/>
  <c r="BJ45" i="1" s="1"/>
  <c r="BG44" i="1"/>
  <c r="BJ44" i="1" s="1"/>
  <c r="BV46" i="1"/>
  <c r="BV45" i="1"/>
  <c r="BV44" i="1"/>
  <c r="BR46" i="1"/>
  <c r="BR45" i="1"/>
  <c r="BR44" i="1"/>
  <c r="BP44" i="1"/>
  <c r="BL46" i="1"/>
  <c r="BL45" i="1"/>
  <c r="BL44" i="1"/>
  <c r="BF55" i="1"/>
  <c r="BF54" i="1"/>
  <c r="BF53" i="1"/>
  <c r="BF51" i="1"/>
  <c r="BF50" i="1"/>
  <c r="BF49" i="1"/>
  <c r="BF48" i="1"/>
  <c r="BF47" i="1"/>
  <c r="BF46" i="1"/>
  <c r="BF45" i="1"/>
  <c r="BF44" i="1"/>
  <c r="BC53" i="1"/>
  <c r="BC51" i="1"/>
  <c r="BC49" i="1"/>
  <c r="BC48" i="1"/>
  <c r="BC47" i="1"/>
  <c r="BC46" i="1"/>
  <c r="BC45" i="1"/>
  <c r="BB53" i="1"/>
  <c r="BB51" i="1"/>
  <c r="BB49" i="1"/>
  <c r="BB48" i="1"/>
  <c r="BB47" i="1"/>
  <c r="BB46" i="1"/>
  <c r="BB45" i="1"/>
  <c r="BA55" i="1"/>
  <c r="BD55" i="1" s="1"/>
  <c r="BA54" i="1"/>
  <c r="BD54" i="1" s="1"/>
  <c r="BA53" i="1"/>
  <c r="BD53" i="1" s="1"/>
  <c r="BA51" i="1"/>
  <c r="BA50" i="1"/>
  <c r="BD50" i="1" s="1"/>
  <c r="BA49" i="1"/>
  <c r="BA48" i="1"/>
  <c r="BA47" i="1"/>
  <c r="BA46" i="1"/>
  <c r="BA45" i="1"/>
  <c r="BD45" i="1" s="1"/>
  <c r="BA44" i="1"/>
  <c r="AW53" i="1"/>
  <c r="AW51" i="1"/>
  <c r="AW49" i="1"/>
  <c r="AW48" i="1"/>
  <c r="AW47" i="1"/>
  <c r="AW46" i="1"/>
  <c r="AW45" i="1"/>
  <c r="AV53" i="1"/>
  <c r="AV51" i="1"/>
  <c r="AV49" i="1"/>
  <c r="AV48" i="1"/>
  <c r="AV47" i="1"/>
  <c r="AV46" i="1"/>
  <c r="AV45" i="1"/>
  <c r="AU55" i="1"/>
  <c r="AX55" i="1" s="1"/>
  <c r="AU54" i="1"/>
  <c r="AX54" i="1" s="1"/>
  <c r="AU53" i="1"/>
  <c r="AX53" i="1" s="1"/>
  <c r="AU51" i="1"/>
  <c r="AX51" i="1" s="1"/>
  <c r="AU50" i="1"/>
  <c r="AX50" i="1" s="1"/>
  <c r="AU49" i="1"/>
  <c r="AU48" i="1"/>
  <c r="AU47" i="1"/>
  <c r="AU46" i="1"/>
  <c r="AU45" i="1"/>
  <c r="AX45" i="1" s="1"/>
  <c r="AU44" i="1"/>
  <c r="AX44" i="1" s="1"/>
  <c r="AQ53" i="1"/>
  <c r="AQ51" i="1"/>
  <c r="AQ49" i="1"/>
  <c r="AQ48" i="1"/>
  <c r="AQ47" i="1"/>
  <c r="AQ46" i="1"/>
  <c r="AQ45" i="1"/>
  <c r="AP53" i="1"/>
  <c r="AP51" i="1"/>
  <c r="AP49" i="1"/>
  <c r="AP48" i="1"/>
  <c r="AP47" i="1"/>
  <c r="AP46" i="1"/>
  <c r="AP45" i="1"/>
  <c r="AO55" i="1"/>
  <c r="AO54" i="1"/>
  <c r="AR54" i="1" s="1"/>
  <c r="AO53" i="1"/>
  <c r="AO51" i="1"/>
  <c r="AO49" i="1"/>
  <c r="AO48" i="1"/>
  <c r="AO47" i="1"/>
  <c r="AO46" i="1"/>
  <c r="AO45" i="1"/>
  <c r="AR45" i="1" s="1"/>
  <c r="AO44" i="1"/>
  <c r="BD44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R55" i="1"/>
  <c r="AR53" i="1"/>
  <c r="AR52" i="1"/>
  <c r="AR50" i="1"/>
  <c r="AR44" i="1"/>
  <c r="AT55" i="1"/>
  <c r="AT54" i="1"/>
  <c r="AT53" i="1"/>
  <c r="AT52" i="1"/>
  <c r="AT51" i="1"/>
  <c r="AT50" i="1"/>
  <c r="AT49" i="1"/>
  <c r="AT48" i="1"/>
  <c r="AT47" i="1"/>
  <c r="AT46" i="1"/>
  <c r="AT45" i="1"/>
  <c r="AT44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K53" i="1"/>
  <c r="AJ53" i="1"/>
  <c r="AI53" i="1"/>
  <c r="AH53" i="1"/>
  <c r="AK52" i="1"/>
  <c r="AJ52" i="1"/>
  <c r="AI52" i="1"/>
  <c r="AH52" i="1"/>
  <c r="AK51" i="1"/>
  <c r="AJ51" i="1"/>
  <c r="AI51" i="1"/>
  <c r="AH51" i="1"/>
  <c r="AI50" i="1"/>
  <c r="AH50" i="1"/>
  <c r="AK49" i="1"/>
  <c r="AJ49" i="1"/>
  <c r="AI49" i="1"/>
  <c r="AH49" i="1"/>
  <c r="AK48" i="1"/>
  <c r="AJ48" i="1"/>
  <c r="AI48" i="1"/>
  <c r="AH48" i="1"/>
  <c r="AK47" i="1"/>
  <c r="AJ47" i="1"/>
  <c r="AI47" i="1"/>
  <c r="AH47" i="1"/>
  <c r="AK46" i="1"/>
  <c r="AJ46" i="1"/>
  <c r="AI46" i="1"/>
  <c r="AH46" i="1"/>
  <c r="AK45" i="1"/>
  <c r="AJ45" i="1"/>
  <c r="AI45" i="1"/>
  <c r="AH45" i="1"/>
  <c r="AI44" i="1"/>
  <c r="AH44" i="1"/>
  <c r="AE53" i="1"/>
  <c r="AD53" i="1"/>
  <c r="AC53" i="1"/>
  <c r="AE52" i="1"/>
  <c r="AD52" i="1"/>
  <c r="AC52" i="1"/>
  <c r="AE51" i="1"/>
  <c r="AD51" i="1"/>
  <c r="AC51" i="1"/>
  <c r="AC50" i="1"/>
  <c r="AF50" i="1" s="1"/>
  <c r="AE49" i="1"/>
  <c r="AD49" i="1"/>
  <c r="AC49" i="1"/>
  <c r="AE48" i="1"/>
  <c r="AD48" i="1"/>
  <c r="AC48" i="1"/>
  <c r="AE47" i="1"/>
  <c r="AD47" i="1"/>
  <c r="AC47" i="1"/>
  <c r="AE46" i="1"/>
  <c r="AD46" i="1"/>
  <c r="AC46" i="1"/>
  <c r="AE45" i="1"/>
  <c r="AD45" i="1"/>
  <c r="AC45" i="1"/>
  <c r="AC44" i="1"/>
  <c r="Y53" i="1"/>
  <c r="Y52" i="1"/>
  <c r="Y51" i="1"/>
  <c r="Y49" i="1"/>
  <c r="Y48" i="1"/>
  <c r="Y47" i="1"/>
  <c r="Y46" i="1"/>
  <c r="Y45" i="1"/>
  <c r="W53" i="1"/>
  <c r="W52" i="1"/>
  <c r="W51" i="1"/>
  <c r="W50" i="1"/>
  <c r="Z50" i="1" s="1"/>
  <c r="W49" i="1"/>
  <c r="W48" i="1"/>
  <c r="W47" i="1"/>
  <c r="W46" i="1"/>
  <c r="W45" i="1"/>
  <c r="W44" i="1"/>
  <c r="X53" i="1"/>
  <c r="X52" i="1"/>
  <c r="X51" i="1"/>
  <c r="X49" i="1"/>
  <c r="X48" i="1"/>
  <c r="X47" i="1"/>
  <c r="X46" i="1"/>
  <c r="X45" i="1"/>
  <c r="AB53" i="1"/>
  <c r="AB52" i="1"/>
  <c r="AB51" i="1"/>
  <c r="AB50" i="1"/>
  <c r="AB49" i="1"/>
  <c r="AB48" i="1"/>
  <c r="AB47" i="1"/>
  <c r="AB46" i="1"/>
  <c r="AB45" i="1"/>
  <c r="AB44" i="1"/>
  <c r="AL50" i="1"/>
  <c r="AL44" i="1"/>
  <c r="AF44" i="1"/>
  <c r="Z44" i="1"/>
  <c r="V45" i="1"/>
  <c r="V46" i="1"/>
  <c r="V47" i="1"/>
  <c r="V48" i="1"/>
  <c r="V49" i="1"/>
  <c r="V50" i="1"/>
  <c r="V51" i="1"/>
  <c r="V52" i="1"/>
  <c r="V53" i="1"/>
  <c r="V44" i="1"/>
  <c r="S53" i="1"/>
  <c r="S52" i="1"/>
  <c r="S51" i="1"/>
  <c r="S49" i="1"/>
  <c r="S48" i="1"/>
  <c r="S47" i="1"/>
  <c r="S46" i="1"/>
  <c r="S45" i="1"/>
  <c r="R53" i="1"/>
  <c r="R52" i="1"/>
  <c r="R51" i="1"/>
  <c r="R49" i="1"/>
  <c r="R48" i="1"/>
  <c r="R47" i="1"/>
  <c r="R46" i="1"/>
  <c r="R45" i="1"/>
  <c r="Q53" i="1"/>
  <c r="Q52" i="1"/>
  <c r="T52" i="1" s="1"/>
  <c r="Q51" i="1"/>
  <c r="T51" i="1" s="1"/>
  <c r="Q50" i="1"/>
  <c r="T50" i="1" s="1"/>
  <c r="Q49" i="1"/>
  <c r="Q48" i="1"/>
  <c r="Q47" i="1"/>
  <c r="Q46" i="1"/>
  <c r="Q45" i="1"/>
  <c r="T45" i="1" s="1"/>
  <c r="Q44" i="1"/>
  <c r="P53" i="1"/>
  <c r="P52" i="1"/>
  <c r="P51" i="1"/>
  <c r="P50" i="1"/>
  <c r="P49" i="1"/>
  <c r="P48" i="1"/>
  <c r="P47" i="1"/>
  <c r="P46" i="1"/>
  <c r="P45" i="1"/>
  <c r="P44" i="1"/>
  <c r="M49" i="1"/>
  <c r="M48" i="1"/>
  <c r="M47" i="1"/>
  <c r="M46" i="1"/>
  <c r="M45" i="1"/>
  <c r="L49" i="1"/>
  <c r="L48" i="1"/>
  <c r="L47" i="1"/>
  <c r="L46" i="1"/>
  <c r="L45" i="1"/>
  <c r="K49" i="1"/>
  <c r="K48" i="1"/>
  <c r="K47" i="1"/>
  <c r="K46" i="1"/>
  <c r="K45" i="1"/>
  <c r="K44" i="1"/>
  <c r="J49" i="1"/>
  <c r="J48" i="1"/>
  <c r="J47" i="1"/>
  <c r="J46" i="1"/>
  <c r="J45" i="1"/>
  <c r="J44" i="1"/>
  <c r="G46" i="1"/>
  <c r="G45" i="1"/>
  <c r="E46" i="1"/>
  <c r="E45" i="1"/>
  <c r="E44" i="1"/>
  <c r="H44" i="1"/>
  <c r="T53" i="1"/>
  <c r="T44" i="1"/>
  <c r="N44" i="1"/>
  <c r="F46" i="1"/>
  <c r="F45" i="1"/>
  <c r="D46" i="1"/>
  <c r="D45" i="1"/>
  <c r="D44" i="1"/>
  <c r="BU32" i="1"/>
  <c r="BU31" i="1"/>
  <c r="BU30" i="1"/>
  <c r="BU29" i="1"/>
  <c r="BU28" i="1"/>
  <c r="BU27" i="1"/>
  <c r="BS38" i="1"/>
  <c r="BS37" i="1"/>
  <c r="BS36" i="1"/>
  <c r="BS32" i="1"/>
  <c r="BS31" i="1"/>
  <c r="BS30" i="1"/>
  <c r="BS29" i="1"/>
  <c r="BS28" i="1"/>
  <c r="BS27" i="1"/>
  <c r="BS25" i="1"/>
  <c r="BO32" i="1"/>
  <c r="BO31" i="1"/>
  <c r="BO30" i="1"/>
  <c r="BO29" i="1"/>
  <c r="BO28" i="1"/>
  <c r="BO27" i="1"/>
  <c r="BM38" i="1"/>
  <c r="BM37" i="1"/>
  <c r="BM36" i="1"/>
  <c r="BM32" i="1"/>
  <c r="BM31" i="1"/>
  <c r="BM30" i="1"/>
  <c r="BM29" i="1"/>
  <c r="BM28" i="1"/>
  <c r="BM27" i="1"/>
  <c r="BM25" i="1"/>
  <c r="BI39" i="1"/>
  <c r="BI33" i="1"/>
  <c r="BI32" i="1"/>
  <c r="BI31" i="1"/>
  <c r="BI30" i="1"/>
  <c r="BI29" i="1"/>
  <c r="BI28" i="1"/>
  <c r="BI27" i="1"/>
  <c r="BG39" i="1"/>
  <c r="BG38" i="1"/>
  <c r="BG37" i="1"/>
  <c r="BG36" i="1"/>
  <c r="BG33" i="1"/>
  <c r="BG32" i="1"/>
  <c r="BG31" i="1"/>
  <c r="BG30" i="1"/>
  <c r="BG29" i="1"/>
  <c r="BG28" i="1"/>
  <c r="BG27" i="1"/>
  <c r="BG25" i="1"/>
  <c r="BT32" i="1"/>
  <c r="BT31" i="1"/>
  <c r="BT30" i="1"/>
  <c r="BT29" i="1"/>
  <c r="BT28" i="1"/>
  <c r="BT27" i="1"/>
  <c r="BY96" i="1" l="1"/>
  <c r="BT96" i="1"/>
  <c r="BZ96" i="1" s="1"/>
  <c r="BU96" i="1"/>
  <c r="CA96" i="1" s="1"/>
  <c r="H46" i="1"/>
  <c r="N45" i="1"/>
  <c r="N47" i="1"/>
  <c r="H45" i="1"/>
  <c r="AH56" i="1"/>
  <c r="CB8" i="1"/>
  <c r="AF52" i="1"/>
  <c r="AL46" i="1"/>
  <c r="D56" i="1"/>
  <c r="N49" i="1"/>
  <c r="P56" i="1"/>
  <c r="T47" i="1"/>
  <c r="T49" i="1"/>
  <c r="V56" i="1"/>
  <c r="AB56" i="1"/>
  <c r="Z46" i="1"/>
  <c r="Z51" i="1"/>
  <c r="Z52" i="1"/>
  <c r="AF45" i="1"/>
  <c r="AF46" i="1"/>
  <c r="AF47" i="1"/>
  <c r="AF48" i="1"/>
  <c r="AF49" i="1"/>
  <c r="AF51" i="1"/>
  <c r="AF53" i="1"/>
  <c r="AL45" i="1"/>
  <c r="AL47" i="1"/>
  <c r="AL48" i="1"/>
  <c r="AL49" i="1"/>
  <c r="AL51" i="1"/>
  <c r="AL52" i="1"/>
  <c r="AL53" i="1"/>
  <c r="AR47" i="1"/>
  <c r="AR49" i="1"/>
  <c r="AX47" i="1"/>
  <c r="AX49" i="1"/>
  <c r="AX46" i="1"/>
  <c r="AX48" i="1"/>
  <c r="BJ46" i="1"/>
  <c r="BJ48" i="1"/>
  <c r="BJ47" i="1"/>
  <c r="BJ49" i="1"/>
  <c r="Z53" i="1"/>
  <c r="J56" i="1"/>
  <c r="BD47" i="1"/>
  <c r="BD49" i="1"/>
  <c r="BD48" i="1"/>
  <c r="Z45" i="1"/>
  <c r="Z47" i="1"/>
  <c r="Z49" i="1"/>
  <c r="AR46" i="1"/>
  <c r="AR48" i="1"/>
  <c r="BR56" i="1"/>
  <c r="BL56" i="1"/>
  <c r="BF56" i="1"/>
  <c r="BD46" i="1"/>
  <c r="BD51" i="1"/>
  <c r="AZ56" i="1"/>
  <c r="AT56" i="1"/>
  <c r="AR51" i="1"/>
  <c r="AN56" i="1"/>
  <c r="Z48" i="1"/>
  <c r="T46" i="1"/>
  <c r="T48" i="1"/>
  <c r="N46" i="1"/>
  <c r="N48" i="1"/>
  <c r="BN32" i="1"/>
  <c r="BN31" i="1"/>
  <c r="BP31" i="1" s="1"/>
  <c r="BN30" i="1"/>
  <c r="BP30" i="1" s="1"/>
  <c r="BN29" i="1"/>
  <c r="BP29" i="1" s="1"/>
  <c r="BN28" i="1"/>
  <c r="BN27" i="1"/>
  <c r="BV38" i="1"/>
  <c r="BV37" i="1"/>
  <c r="BV36" i="1"/>
  <c r="BV32" i="1"/>
  <c r="BV31" i="1"/>
  <c r="BV30" i="1"/>
  <c r="BV29" i="1"/>
  <c r="BV28" i="1"/>
  <c r="BV27" i="1"/>
  <c r="BV25" i="1"/>
  <c r="BV15" i="1"/>
  <c r="BV12" i="1"/>
  <c r="BV6" i="1"/>
  <c r="BR38" i="1"/>
  <c r="BR37" i="1"/>
  <c r="BR36" i="1"/>
  <c r="BR32" i="1"/>
  <c r="BR31" i="1"/>
  <c r="BR30" i="1"/>
  <c r="BR29" i="1"/>
  <c r="BR28" i="1"/>
  <c r="BR27" i="1"/>
  <c r="BR25" i="1"/>
  <c r="BL38" i="1"/>
  <c r="BL37" i="1"/>
  <c r="BL36" i="1"/>
  <c r="BL32" i="1"/>
  <c r="BL31" i="1"/>
  <c r="BL30" i="1"/>
  <c r="BL29" i="1"/>
  <c r="BL28" i="1"/>
  <c r="BL27" i="1"/>
  <c r="BL26" i="1"/>
  <c r="BL25" i="1"/>
  <c r="BH39" i="1"/>
  <c r="BH33" i="1"/>
  <c r="BH32" i="1"/>
  <c r="BJ32" i="1" s="1"/>
  <c r="BH31" i="1"/>
  <c r="BJ31" i="1" s="1"/>
  <c r="BH30" i="1"/>
  <c r="BJ30" i="1" s="1"/>
  <c r="BH29" i="1"/>
  <c r="BJ29" i="1" s="1"/>
  <c r="BH28" i="1"/>
  <c r="BJ28" i="1" s="1"/>
  <c r="BH27" i="1"/>
  <c r="BJ27" i="1" s="1"/>
  <c r="BE40" i="1"/>
  <c r="BP38" i="1"/>
  <c r="BP37" i="1"/>
  <c r="BP36" i="1"/>
  <c r="BP32" i="1"/>
  <c r="BP28" i="1"/>
  <c r="BP27" i="1"/>
  <c r="BP25" i="1"/>
  <c r="BP15" i="1"/>
  <c r="BP12" i="1"/>
  <c r="BP6" i="1"/>
  <c r="BJ39" i="1"/>
  <c r="BJ38" i="1"/>
  <c r="BJ37" i="1"/>
  <c r="BJ36" i="1"/>
  <c r="BJ33" i="1"/>
  <c r="BJ25" i="1"/>
  <c r="BJ20" i="1"/>
  <c r="BJ19" i="1"/>
  <c r="BJ18" i="1"/>
  <c r="BJ16" i="1"/>
  <c r="BJ15" i="1"/>
  <c r="BJ14" i="1"/>
  <c r="BJ12" i="1"/>
  <c r="BJ11" i="1"/>
  <c r="BJ6" i="1"/>
  <c r="BF39" i="1"/>
  <c r="BF38" i="1"/>
  <c r="BF37" i="1"/>
  <c r="BF36" i="1"/>
  <c r="BF33" i="1"/>
  <c r="BF32" i="1"/>
  <c r="BF31" i="1"/>
  <c r="BF30" i="1"/>
  <c r="BF29" i="1"/>
  <c r="BF28" i="1"/>
  <c r="BF27" i="1"/>
  <c r="BF25" i="1"/>
  <c r="BA37" i="1"/>
  <c r="BA36" i="1"/>
  <c r="BA33" i="1"/>
  <c r="BA32" i="1"/>
  <c r="BA31" i="1"/>
  <c r="BA30" i="1"/>
  <c r="BA29" i="1"/>
  <c r="BA28" i="1"/>
  <c r="BA27" i="1"/>
  <c r="BA25" i="1"/>
  <c r="BC33" i="1"/>
  <c r="BC32" i="1"/>
  <c r="BC31" i="1"/>
  <c r="BC30" i="1"/>
  <c r="BC29" i="1"/>
  <c r="BC28" i="1"/>
  <c r="BC27" i="1"/>
  <c r="AU37" i="1"/>
  <c r="AU36" i="1"/>
  <c r="AU33" i="1"/>
  <c r="AU32" i="1"/>
  <c r="AU31" i="1"/>
  <c r="AU30" i="1"/>
  <c r="AU29" i="1"/>
  <c r="AU28" i="1"/>
  <c r="AU27" i="1"/>
  <c r="AU25" i="1"/>
  <c r="AW33" i="1"/>
  <c r="AW32" i="1"/>
  <c r="AW31" i="1"/>
  <c r="AW30" i="1"/>
  <c r="AW29" i="1"/>
  <c r="AW28" i="1"/>
  <c r="AW27" i="1"/>
  <c r="AO36" i="1"/>
  <c r="AR36" i="1" s="1"/>
  <c r="AO35" i="1"/>
  <c r="AO33" i="1"/>
  <c r="AO32" i="1"/>
  <c r="AO31" i="1"/>
  <c r="AO30" i="1"/>
  <c r="AO29" i="1"/>
  <c r="AO28" i="1"/>
  <c r="AO27" i="1"/>
  <c r="AO25" i="1"/>
  <c r="AQ35" i="1"/>
  <c r="AQ33" i="1"/>
  <c r="AQ32" i="1"/>
  <c r="AQ31" i="1"/>
  <c r="AQ30" i="1"/>
  <c r="AQ29" i="1"/>
  <c r="AQ28" i="1"/>
  <c r="AQ27" i="1"/>
  <c r="BD37" i="1"/>
  <c r="BD36" i="1"/>
  <c r="BD35" i="1"/>
  <c r="BD34" i="1"/>
  <c r="BD26" i="1"/>
  <c r="BD25" i="1"/>
  <c r="BB33" i="1"/>
  <c r="BB32" i="1"/>
  <c r="BB31" i="1"/>
  <c r="BB30" i="1"/>
  <c r="BB29" i="1"/>
  <c r="BB28" i="1"/>
  <c r="BB27" i="1"/>
  <c r="BD27" i="1" s="1"/>
  <c r="AZ37" i="1"/>
  <c r="AZ36" i="1"/>
  <c r="AZ35" i="1"/>
  <c r="AZ34" i="1"/>
  <c r="AZ33" i="1"/>
  <c r="AZ32" i="1"/>
  <c r="AZ31" i="1"/>
  <c r="AZ30" i="1"/>
  <c r="AZ29" i="1"/>
  <c r="AZ28" i="1"/>
  <c r="AZ27" i="1"/>
  <c r="AZ25" i="1"/>
  <c r="AV33" i="1"/>
  <c r="AV25" i="1"/>
  <c r="AV27" i="1"/>
  <c r="AT37" i="1"/>
  <c r="AT36" i="1"/>
  <c r="AT33" i="1"/>
  <c r="AT32" i="1"/>
  <c r="AT31" i="1"/>
  <c r="AT30" i="1"/>
  <c r="AT29" i="1"/>
  <c r="AT28" i="1"/>
  <c r="AT27" i="1"/>
  <c r="AT25" i="1"/>
  <c r="AR26" i="1"/>
  <c r="CB96" i="1" l="1"/>
  <c r="BV96" i="1"/>
  <c r="BD30" i="1"/>
  <c r="BD29" i="1"/>
  <c r="BD31" i="1"/>
  <c r="BD33" i="1"/>
  <c r="BD28" i="1"/>
  <c r="BD32" i="1"/>
  <c r="AZ40" i="1"/>
  <c r="AT40" i="1"/>
  <c r="BR40" i="1"/>
  <c r="BL40" i="1"/>
  <c r="BF40" i="1"/>
  <c r="AP35" i="1"/>
  <c r="AR35" i="1" s="1"/>
  <c r="AP25" i="1"/>
  <c r="AR25" i="1" s="1"/>
  <c r="AP34" i="1"/>
  <c r="AR34" i="1" s="1"/>
  <c r="AP33" i="1"/>
  <c r="AR33" i="1" s="1"/>
  <c r="AP32" i="1"/>
  <c r="AR32" i="1" s="1"/>
  <c r="AP31" i="1"/>
  <c r="AR31" i="1" s="1"/>
  <c r="AP30" i="1"/>
  <c r="AR30" i="1" s="1"/>
  <c r="AP29" i="1"/>
  <c r="AR29" i="1" s="1"/>
  <c r="AP28" i="1"/>
  <c r="AR28" i="1" s="1"/>
  <c r="AP27" i="1"/>
  <c r="AR27" i="1" s="1"/>
  <c r="AN36" i="1"/>
  <c r="AN35" i="1"/>
  <c r="AN34" i="1"/>
  <c r="AN33" i="1"/>
  <c r="AN32" i="1"/>
  <c r="AN31" i="1"/>
  <c r="AN30" i="1"/>
  <c r="AN29" i="1"/>
  <c r="AN28" i="1"/>
  <c r="AN27" i="1"/>
  <c r="AN25" i="1"/>
  <c r="AI36" i="1"/>
  <c r="AL36" i="1" s="1"/>
  <c r="AI35" i="1"/>
  <c r="AI34" i="1"/>
  <c r="AI33" i="1"/>
  <c r="AI32" i="1"/>
  <c r="AI31" i="1"/>
  <c r="AI30" i="1"/>
  <c r="AI29" i="1"/>
  <c r="AI28" i="1"/>
  <c r="AI27" i="1"/>
  <c r="AI25" i="1"/>
  <c r="AH25" i="1"/>
  <c r="AK35" i="1"/>
  <c r="AK34" i="1"/>
  <c r="AK33" i="1"/>
  <c r="AK32" i="1"/>
  <c r="AK31" i="1"/>
  <c r="AK30" i="1"/>
  <c r="AK29" i="1"/>
  <c r="AK28" i="1"/>
  <c r="AK27" i="1"/>
  <c r="AC35" i="1"/>
  <c r="AC34" i="1"/>
  <c r="AC33" i="1"/>
  <c r="AC32" i="1"/>
  <c r="AC31" i="1"/>
  <c r="AC30" i="1"/>
  <c r="AC29" i="1"/>
  <c r="AC28" i="1"/>
  <c r="AC27" i="1"/>
  <c r="AC25" i="1"/>
  <c r="AF25" i="1" s="1"/>
  <c r="AE35" i="1"/>
  <c r="AE34" i="1"/>
  <c r="AE33" i="1"/>
  <c r="AE32" i="1"/>
  <c r="AE31" i="1"/>
  <c r="AE30" i="1"/>
  <c r="AE29" i="1"/>
  <c r="AE28" i="1"/>
  <c r="AE27" i="1"/>
  <c r="W33" i="1"/>
  <c r="W32" i="1"/>
  <c r="W31" i="1"/>
  <c r="W30" i="1"/>
  <c r="W29" i="1"/>
  <c r="W28" i="1"/>
  <c r="W27" i="1"/>
  <c r="W25" i="1"/>
  <c r="Y33" i="1"/>
  <c r="Y32" i="1"/>
  <c r="Y31" i="1"/>
  <c r="Y30" i="1"/>
  <c r="Y29" i="1"/>
  <c r="Y28" i="1"/>
  <c r="Y27" i="1"/>
  <c r="AL26" i="1"/>
  <c r="AF36" i="1"/>
  <c r="AF26" i="1"/>
  <c r="Z26" i="1"/>
  <c r="AJ35" i="1"/>
  <c r="AJ34" i="1"/>
  <c r="AJ33" i="1"/>
  <c r="AJ32" i="1"/>
  <c r="AJ31" i="1"/>
  <c r="AJ30" i="1"/>
  <c r="AJ29" i="1"/>
  <c r="AJ28" i="1"/>
  <c r="AJ27" i="1"/>
  <c r="AJ25" i="1"/>
  <c r="AL25" i="1" s="1"/>
  <c r="AH36" i="1"/>
  <c r="AH35" i="1"/>
  <c r="AH34" i="1"/>
  <c r="AH33" i="1"/>
  <c r="AH32" i="1"/>
  <c r="AH31" i="1"/>
  <c r="AH30" i="1"/>
  <c r="AH29" i="1"/>
  <c r="AH28" i="1"/>
  <c r="AH27" i="1"/>
  <c r="AD35" i="1"/>
  <c r="AD34" i="1"/>
  <c r="AD33" i="1"/>
  <c r="AD32" i="1"/>
  <c r="AD31" i="1"/>
  <c r="AD30" i="1"/>
  <c r="AD29" i="1"/>
  <c r="AD28" i="1"/>
  <c r="AD27" i="1"/>
  <c r="AD25" i="1"/>
  <c r="AB35" i="1"/>
  <c r="AB34" i="1"/>
  <c r="AB33" i="1"/>
  <c r="AB32" i="1"/>
  <c r="AB31" i="1"/>
  <c r="AB30" i="1"/>
  <c r="AB29" i="1"/>
  <c r="AB28" i="1"/>
  <c r="AB27" i="1"/>
  <c r="AB25" i="1"/>
  <c r="X33" i="1"/>
  <c r="Z33" i="1" s="1"/>
  <c r="X32" i="1"/>
  <c r="X31" i="1"/>
  <c r="Z31" i="1" s="1"/>
  <c r="X30" i="1"/>
  <c r="X29" i="1"/>
  <c r="Z29" i="1" s="1"/>
  <c r="X28" i="1"/>
  <c r="X27" i="1"/>
  <c r="X25" i="1"/>
  <c r="Z25" i="1" s="1"/>
  <c r="V33" i="1"/>
  <c r="V32" i="1"/>
  <c r="V31" i="1"/>
  <c r="V30" i="1"/>
  <c r="V29" i="1"/>
  <c r="V28" i="1"/>
  <c r="V27" i="1"/>
  <c r="V25" i="1"/>
  <c r="R32" i="1"/>
  <c r="T32" i="1" s="1"/>
  <c r="R31" i="1"/>
  <c r="T31" i="1" s="1"/>
  <c r="R30" i="1"/>
  <c r="T30" i="1" s="1"/>
  <c r="R29" i="1"/>
  <c r="T29" i="1" s="1"/>
  <c r="R28" i="1"/>
  <c r="T28" i="1" s="1"/>
  <c r="R27" i="1"/>
  <c r="T27" i="1" s="1"/>
  <c r="R26" i="1"/>
  <c r="T26" i="1" s="1"/>
  <c r="R25" i="1"/>
  <c r="T25" i="1" s="1"/>
  <c r="P32" i="1"/>
  <c r="P31" i="1"/>
  <c r="P30" i="1"/>
  <c r="P29" i="1"/>
  <c r="P28" i="1"/>
  <c r="P27" i="1"/>
  <c r="P26" i="1"/>
  <c r="P25" i="1"/>
  <c r="L26" i="1"/>
  <c r="N26" i="1" s="1"/>
  <c r="L25" i="1"/>
  <c r="N25" i="1" s="1"/>
  <c r="J26" i="1"/>
  <c r="J25" i="1"/>
  <c r="J40" i="1" s="1"/>
  <c r="F25" i="1"/>
  <c r="H25" i="1" s="1"/>
  <c r="F26" i="1"/>
  <c r="H26" i="1" s="1"/>
  <c r="D26" i="1"/>
  <c r="D25" i="1"/>
  <c r="BX26" i="1"/>
  <c r="BX25" i="1"/>
  <c r="CA94" i="1"/>
  <c r="BZ94" i="1"/>
  <c r="BY94" i="1"/>
  <c r="CA92" i="1"/>
  <c r="BZ92" i="1"/>
  <c r="BY92" i="1"/>
  <c r="CA91" i="1"/>
  <c r="BZ91" i="1"/>
  <c r="BY91" i="1"/>
  <c r="CA90" i="1"/>
  <c r="BZ90" i="1"/>
  <c r="BY90" i="1"/>
  <c r="CA89" i="1"/>
  <c r="BZ89" i="1"/>
  <c r="BY89" i="1"/>
  <c r="CA88" i="1"/>
  <c r="BZ88" i="1"/>
  <c r="BY88" i="1"/>
  <c r="CA87" i="1"/>
  <c r="BZ87" i="1"/>
  <c r="BY87" i="1"/>
  <c r="CA86" i="1"/>
  <c r="BZ86" i="1"/>
  <c r="BY86" i="1"/>
  <c r="CA85" i="1"/>
  <c r="BZ85" i="1"/>
  <c r="BY85" i="1"/>
  <c r="CA84" i="1"/>
  <c r="BZ84" i="1"/>
  <c r="BY84" i="1"/>
  <c r="CA83" i="1"/>
  <c r="BZ83" i="1"/>
  <c r="BY83" i="1"/>
  <c r="CA82" i="1"/>
  <c r="BZ82" i="1"/>
  <c r="BY82" i="1"/>
  <c r="CA77" i="1"/>
  <c r="BZ77" i="1"/>
  <c r="BY77" i="1"/>
  <c r="CA76" i="1"/>
  <c r="BZ76" i="1"/>
  <c r="BY76" i="1"/>
  <c r="CA75" i="1"/>
  <c r="BZ75" i="1"/>
  <c r="BY75" i="1"/>
  <c r="CA74" i="1"/>
  <c r="BZ74" i="1"/>
  <c r="BY74" i="1"/>
  <c r="CA73" i="1"/>
  <c r="BZ73" i="1"/>
  <c r="BY73" i="1"/>
  <c r="CA72" i="1"/>
  <c r="BZ72" i="1"/>
  <c r="BY72" i="1"/>
  <c r="CA67" i="1"/>
  <c r="BZ67" i="1"/>
  <c r="BY67" i="1"/>
  <c r="CA66" i="1"/>
  <c r="BZ66" i="1"/>
  <c r="BY66" i="1"/>
  <c r="CA65" i="1"/>
  <c r="BZ65" i="1"/>
  <c r="BY65" i="1"/>
  <c r="CA64" i="1"/>
  <c r="BZ64" i="1"/>
  <c r="BY64" i="1"/>
  <c r="CA63" i="1"/>
  <c r="BZ63" i="1"/>
  <c r="BY63" i="1"/>
  <c r="CA62" i="1"/>
  <c r="BZ62" i="1"/>
  <c r="BY62" i="1"/>
  <c r="CA61" i="1"/>
  <c r="BZ61" i="1"/>
  <c r="BY61" i="1"/>
  <c r="CA60" i="1"/>
  <c r="BZ60" i="1"/>
  <c r="BY60" i="1"/>
  <c r="BX94" i="1"/>
  <c r="BX92" i="1"/>
  <c r="BX91" i="1"/>
  <c r="BX90" i="1"/>
  <c r="BX89" i="1"/>
  <c r="BX88" i="1"/>
  <c r="BX87" i="1"/>
  <c r="BX86" i="1"/>
  <c r="BX85" i="1"/>
  <c r="BX84" i="1"/>
  <c r="BX83" i="1"/>
  <c r="BX82" i="1"/>
  <c r="BX77" i="1"/>
  <c r="BX76" i="1"/>
  <c r="BX75" i="1"/>
  <c r="BX74" i="1"/>
  <c r="BX73" i="1"/>
  <c r="BX72" i="1"/>
  <c r="BX67" i="1"/>
  <c r="BX66" i="1"/>
  <c r="BX65" i="1"/>
  <c r="BX64" i="1"/>
  <c r="BX63" i="1"/>
  <c r="BX62" i="1"/>
  <c r="BX61" i="1"/>
  <c r="BX60" i="1"/>
  <c r="BX55" i="1"/>
  <c r="BX54" i="1"/>
  <c r="BX53" i="1"/>
  <c r="BX52" i="1"/>
  <c r="BX51" i="1"/>
  <c r="BX50" i="1"/>
  <c r="BX49" i="1"/>
  <c r="BX48" i="1"/>
  <c r="BX47" i="1"/>
  <c r="BX46" i="1"/>
  <c r="BX45" i="1"/>
  <c r="BX44" i="1"/>
  <c r="BX39" i="1"/>
  <c r="BX38" i="1"/>
  <c r="BX37" i="1"/>
  <c r="BR15" i="1"/>
  <c r="BR12" i="1"/>
  <c r="BR21" i="1" s="1"/>
  <c r="BR6" i="1"/>
  <c r="BR7" i="1" s="1"/>
  <c r="BL15" i="1"/>
  <c r="BL12" i="1"/>
  <c r="BL21" i="1" s="1"/>
  <c r="BL6" i="1"/>
  <c r="BL7" i="1" s="1"/>
  <c r="BF20" i="1"/>
  <c r="BF19" i="1"/>
  <c r="BF18" i="1"/>
  <c r="BF17" i="1"/>
  <c r="BF16" i="1"/>
  <c r="BF15" i="1"/>
  <c r="BF14" i="1"/>
  <c r="BF13" i="1"/>
  <c r="BF12" i="1"/>
  <c r="BF11" i="1"/>
  <c r="BF6" i="1"/>
  <c r="BF7" i="1" s="1"/>
  <c r="BD15" i="1"/>
  <c r="BD12" i="1"/>
  <c r="BD6" i="1"/>
  <c r="AX15" i="1"/>
  <c r="AX13" i="1"/>
  <c r="AX12" i="1"/>
  <c r="AX6" i="1"/>
  <c r="AR20" i="1"/>
  <c r="AR19" i="1"/>
  <c r="AR18" i="1"/>
  <c r="AR17" i="1"/>
  <c r="AR16" i="1"/>
  <c r="AR15" i="1"/>
  <c r="AR14" i="1"/>
  <c r="AR13" i="1"/>
  <c r="AR12" i="1"/>
  <c r="AR11" i="1"/>
  <c r="AR6" i="1"/>
  <c r="AL16" i="1"/>
  <c r="AL14" i="1"/>
  <c r="AL12" i="1"/>
  <c r="AL6" i="1"/>
  <c r="AF16" i="1"/>
  <c r="AF15" i="1"/>
  <c r="AF14" i="1"/>
  <c r="AF13" i="1"/>
  <c r="AF12" i="1"/>
  <c r="AF11" i="1"/>
  <c r="AF6" i="1"/>
  <c r="Z12" i="1"/>
  <c r="Z11" i="1"/>
  <c r="Z6" i="1"/>
  <c r="T13" i="1"/>
  <c r="T12" i="1"/>
  <c r="T11" i="1"/>
  <c r="T6" i="1"/>
  <c r="N13" i="1"/>
  <c r="N12" i="1"/>
  <c r="N11" i="1"/>
  <c r="N6" i="1"/>
  <c r="H13" i="1"/>
  <c r="H12" i="1"/>
  <c r="H11" i="1"/>
  <c r="H6" i="1"/>
  <c r="AZ15" i="1"/>
  <c r="AZ12" i="1"/>
  <c r="AZ21" i="1" s="1"/>
  <c r="AZ7" i="1"/>
  <c r="AZ6" i="1"/>
  <c r="AT15" i="1"/>
  <c r="AT13" i="1"/>
  <c r="AT12" i="1"/>
  <c r="AT11" i="1"/>
  <c r="AT7" i="1"/>
  <c r="AT6" i="1"/>
  <c r="AN20" i="1"/>
  <c r="AN19" i="1"/>
  <c r="AN18" i="1"/>
  <c r="AN17" i="1"/>
  <c r="AN16" i="1"/>
  <c r="AN15" i="1"/>
  <c r="AN14" i="1"/>
  <c r="AN13" i="1"/>
  <c r="AN12" i="1"/>
  <c r="AN11" i="1"/>
  <c r="AN7" i="1"/>
  <c r="AN6" i="1"/>
  <c r="AJ15" i="1"/>
  <c r="AL15" i="1" s="1"/>
  <c r="AJ13" i="1"/>
  <c r="AL13" i="1" s="1"/>
  <c r="AJ11" i="1"/>
  <c r="AL11" i="1" s="1"/>
  <c r="AH16" i="1"/>
  <c r="AH15" i="1"/>
  <c r="AH14" i="1"/>
  <c r="AH13" i="1"/>
  <c r="AH12" i="1"/>
  <c r="AH11" i="1"/>
  <c r="AH6" i="1"/>
  <c r="AH7" i="1" s="1"/>
  <c r="AB16" i="1"/>
  <c r="AB15" i="1"/>
  <c r="AB14" i="1"/>
  <c r="AB12" i="1"/>
  <c r="AB11" i="1"/>
  <c r="AB7" i="1"/>
  <c r="AB6" i="1"/>
  <c r="V12" i="1"/>
  <c r="V11" i="1"/>
  <c r="V21" i="1" s="1"/>
  <c r="V6" i="1"/>
  <c r="V7" i="1" s="1"/>
  <c r="P13" i="1"/>
  <c r="P12" i="1"/>
  <c r="P21" i="1" s="1"/>
  <c r="P11" i="1"/>
  <c r="P7" i="1"/>
  <c r="P6" i="1"/>
  <c r="J13" i="1"/>
  <c r="J12" i="1"/>
  <c r="J11" i="1"/>
  <c r="J7" i="1"/>
  <c r="J6" i="1"/>
  <c r="D12" i="1"/>
  <c r="D21" i="1" s="1"/>
  <c r="D11" i="1"/>
  <c r="D6" i="1"/>
  <c r="BX6" i="1" s="1"/>
  <c r="BX7" i="1" s="1"/>
  <c r="BX9" i="1" s="1"/>
  <c r="BX11" i="1" l="1"/>
  <c r="D7" i="1"/>
  <c r="D9" i="1" s="1"/>
  <c r="J9" i="1" s="1"/>
  <c r="P9" i="1" s="1"/>
  <c r="V9" i="1" s="1"/>
  <c r="AB9" i="1" s="1"/>
  <c r="AH9" i="1" s="1"/>
  <c r="AN9" i="1" s="1"/>
  <c r="AT9" i="1" s="1"/>
  <c r="AZ9" i="1" s="1"/>
  <c r="BF9" i="1" s="1"/>
  <c r="BL9" i="1" s="1"/>
  <c r="BR9" i="1" s="1"/>
  <c r="D23" i="1" s="1"/>
  <c r="BX13" i="1"/>
  <c r="BX15" i="1"/>
  <c r="AN21" i="1"/>
  <c r="BX18" i="1"/>
  <c r="BX20" i="1"/>
  <c r="BX17" i="1"/>
  <c r="BX19" i="1"/>
  <c r="AF28" i="1"/>
  <c r="AF30" i="1"/>
  <c r="AF32" i="1"/>
  <c r="AF34" i="1"/>
  <c r="AH40" i="1"/>
  <c r="BZ95" i="1"/>
  <c r="CA95" i="1"/>
  <c r="BY95" i="1"/>
  <c r="BX95" i="1"/>
  <c r="V40" i="1"/>
  <c r="AB40" i="1"/>
  <c r="BX35" i="1"/>
  <c r="AF27" i="1"/>
  <c r="AF29" i="1"/>
  <c r="AF31" i="1"/>
  <c r="AF33" i="1"/>
  <c r="AF35" i="1"/>
  <c r="BY78" i="1"/>
  <c r="CA78" i="1"/>
  <c r="BZ78" i="1"/>
  <c r="BX78" i="1"/>
  <c r="BX12" i="1"/>
  <c r="BX14" i="1"/>
  <c r="BX16" i="1"/>
  <c r="AT21" i="1"/>
  <c r="BX29" i="1"/>
  <c r="Z28" i="1"/>
  <c r="Z30" i="1"/>
  <c r="Z32" i="1"/>
  <c r="BX32" i="1"/>
  <c r="BX36" i="1"/>
  <c r="AL27" i="1"/>
  <c r="AL31" i="1"/>
  <c r="AL35" i="1"/>
  <c r="Z27" i="1"/>
  <c r="AN40" i="1"/>
  <c r="BY68" i="1"/>
  <c r="CA68" i="1"/>
  <c r="BZ68" i="1"/>
  <c r="BX68" i="1"/>
  <c r="BX21" i="1"/>
  <c r="BX23" i="1" s="1"/>
  <c r="BF21" i="1"/>
  <c r="BX31" i="1"/>
  <c r="BX30" i="1"/>
  <c r="BX28" i="1"/>
  <c r="BX34" i="1"/>
  <c r="AL28" i="1"/>
  <c r="AL30" i="1"/>
  <c r="AL32" i="1"/>
  <c r="AL34" i="1"/>
  <c r="AL29" i="1"/>
  <c r="AL33" i="1"/>
  <c r="BX56" i="1"/>
  <c r="BX27" i="1"/>
  <c r="BX33" i="1"/>
  <c r="P40" i="1"/>
  <c r="D40" i="1"/>
  <c r="AB21" i="1"/>
  <c r="J21" i="1"/>
  <c r="Y68" i="1"/>
  <c r="X68" i="1"/>
  <c r="W68" i="1"/>
  <c r="S68" i="1"/>
  <c r="R68" i="1"/>
  <c r="Q68" i="1"/>
  <c r="M68" i="1"/>
  <c r="L68" i="1"/>
  <c r="K68" i="1"/>
  <c r="G68" i="1"/>
  <c r="F68" i="1"/>
  <c r="E68" i="1"/>
  <c r="J23" i="1" l="1"/>
  <c r="P23" i="1" s="1"/>
  <c r="V23" i="1" s="1"/>
  <c r="AB23" i="1" s="1"/>
  <c r="AH23" i="1" s="1"/>
  <c r="AN23" i="1" s="1"/>
  <c r="AT23" i="1" s="1"/>
  <c r="AZ23" i="1" s="1"/>
  <c r="BF23" i="1" s="1"/>
  <c r="BL23" i="1" s="1"/>
  <c r="BR23" i="1" s="1"/>
  <c r="D42" i="1" s="1"/>
  <c r="J42" i="1" s="1"/>
  <c r="P42" i="1" s="1"/>
  <c r="V42" i="1" s="1"/>
  <c r="AB42" i="1" s="1"/>
  <c r="AH42" i="1" s="1"/>
  <c r="AN42" i="1" s="1"/>
  <c r="AT42" i="1" s="1"/>
  <c r="AZ42" i="1" s="1"/>
  <c r="BF42" i="1" s="1"/>
  <c r="BL42" i="1" s="1"/>
  <c r="BR42" i="1" s="1"/>
  <c r="D58" i="1" s="1"/>
  <c r="J58" i="1" s="1"/>
  <c r="P58" i="1" s="1"/>
  <c r="V58" i="1" s="1"/>
  <c r="AB58" i="1" s="1"/>
  <c r="AH58" i="1" s="1"/>
  <c r="AN58" i="1" s="1"/>
  <c r="AT58" i="1" s="1"/>
  <c r="AZ58" i="1" s="1"/>
  <c r="BF58" i="1" s="1"/>
  <c r="BL58" i="1" s="1"/>
  <c r="BR58" i="1" s="1"/>
  <c r="D70" i="1" s="1"/>
  <c r="J70" i="1" s="1"/>
  <c r="P70" i="1" s="1"/>
  <c r="V70" i="1" s="1"/>
  <c r="AB70" i="1" s="1"/>
  <c r="AH70" i="1" s="1"/>
  <c r="AN70" i="1" s="1"/>
  <c r="AT70" i="1" s="1"/>
  <c r="AZ70" i="1" s="1"/>
  <c r="BF70" i="1" s="1"/>
  <c r="BL70" i="1" s="1"/>
  <c r="BR70" i="1" s="1"/>
  <c r="D80" i="1" s="1"/>
  <c r="J80" i="1" s="1"/>
  <c r="P80" i="1" s="1"/>
  <c r="V80" i="1" s="1"/>
  <c r="AB80" i="1" s="1"/>
  <c r="AH80" i="1" s="1"/>
  <c r="AN80" i="1" s="1"/>
  <c r="AT80" i="1" s="1"/>
  <c r="AZ80" i="1" s="1"/>
  <c r="BF80" i="1" s="1"/>
  <c r="BL80" i="1" s="1"/>
  <c r="BR80" i="1" s="1"/>
  <c r="D97" i="1" s="1"/>
  <c r="J97" i="1" s="1"/>
  <c r="P97" i="1" s="1"/>
  <c r="V97" i="1" s="1"/>
  <c r="AB97" i="1" s="1"/>
  <c r="AH97" i="1" s="1"/>
  <c r="AN97" i="1" s="1"/>
  <c r="AT97" i="1" s="1"/>
  <c r="AZ97" i="1" s="1"/>
  <c r="BF97" i="1" s="1"/>
  <c r="BL97" i="1" s="1"/>
  <c r="BR97" i="1" s="1"/>
  <c r="D111" i="1" s="1"/>
  <c r="J111" i="1" s="1"/>
  <c r="P111" i="1" s="1"/>
  <c r="V111" i="1" s="1"/>
  <c r="AB111" i="1" s="1"/>
  <c r="AH111" i="1" s="1"/>
  <c r="AN111" i="1" s="1"/>
  <c r="AT111" i="1" s="1"/>
  <c r="AZ111" i="1" s="1"/>
  <c r="BF111" i="1" s="1"/>
  <c r="BL111" i="1" s="1"/>
  <c r="BR111" i="1" s="1"/>
  <c r="BX40" i="1"/>
  <c r="BX42" i="1" s="1"/>
  <c r="BX58" i="1" s="1"/>
  <c r="BX70" i="1" s="1"/>
  <c r="BX80" i="1" s="1"/>
  <c r="BX97" i="1" s="1"/>
  <c r="BX111" i="1" s="1"/>
  <c r="CA55" i="1"/>
  <c r="BZ55" i="1"/>
  <c r="BY55" i="1"/>
  <c r="CA54" i="1"/>
  <c r="BZ54" i="1"/>
  <c r="BY54" i="1"/>
  <c r="CA53" i="1"/>
  <c r="BZ53" i="1"/>
  <c r="BY53" i="1"/>
  <c r="CA52" i="1"/>
  <c r="BZ52" i="1"/>
  <c r="BY52" i="1"/>
  <c r="CA51" i="1"/>
  <c r="BZ51" i="1"/>
  <c r="BY51" i="1"/>
  <c r="CA50" i="1"/>
  <c r="BZ50" i="1"/>
  <c r="BY50" i="1"/>
  <c r="CA49" i="1"/>
  <c r="BZ49" i="1"/>
  <c r="BY49" i="1"/>
  <c r="CA48" i="1"/>
  <c r="BZ48" i="1"/>
  <c r="BY48" i="1"/>
  <c r="CA47" i="1"/>
  <c r="BZ47" i="1"/>
  <c r="BY47" i="1"/>
  <c r="CA46" i="1"/>
  <c r="BZ46" i="1"/>
  <c r="BY46" i="1"/>
  <c r="CA45" i="1"/>
  <c r="BZ45" i="1"/>
  <c r="BY45" i="1"/>
  <c r="CA44" i="1"/>
  <c r="BZ44" i="1"/>
  <c r="BY44" i="1"/>
  <c r="BU56" i="1"/>
  <c r="BT56" i="1"/>
  <c r="BS56" i="1"/>
  <c r="BO56" i="1"/>
  <c r="BN56" i="1"/>
  <c r="BM56" i="1"/>
  <c r="BI56" i="1"/>
  <c r="BH56" i="1"/>
  <c r="BG56" i="1"/>
  <c r="BC56" i="1"/>
  <c r="BB56" i="1"/>
  <c r="BA56" i="1"/>
  <c r="AW56" i="1"/>
  <c r="AV56" i="1"/>
  <c r="AU56" i="1"/>
  <c r="AQ56" i="1"/>
  <c r="AP56" i="1"/>
  <c r="AO56" i="1"/>
  <c r="AK56" i="1"/>
  <c r="AJ56" i="1"/>
  <c r="AI56" i="1"/>
  <c r="AE56" i="1"/>
  <c r="AD56" i="1"/>
  <c r="AC56" i="1"/>
  <c r="Y56" i="1"/>
  <c r="X56" i="1"/>
  <c r="W56" i="1"/>
  <c r="S56" i="1"/>
  <c r="R56" i="1"/>
  <c r="Q56" i="1"/>
  <c r="M56" i="1"/>
  <c r="L56" i="1"/>
  <c r="K56" i="1"/>
  <c r="G56" i="1"/>
  <c r="F56" i="1"/>
  <c r="E56" i="1"/>
  <c r="CA39" i="1"/>
  <c r="BZ39" i="1"/>
  <c r="BY39" i="1"/>
  <c r="CA38" i="1"/>
  <c r="BZ38" i="1"/>
  <c r="BY38" i="1"/>
  <c r="CA37" i="1"/>
  <c r="BZ37" i="1"/>
  <c r="BY37" i="1"/>
  <c r="CA36" i="1"/>
  <c r="BZ36" i="1"/>
  <c r="BY36" i="1"/>
  <c r="CA35" i="1"/>
  <c r="BZ35" i="1"/>
  <c r="BY35" i="1"/>
  <c r="CA34" i="1"/>
  <c r="BZ34" i="1"/>
  <c r="BY34" i="1"/>
  <c r="CA33" i="1"/>
  <c r="BZ33" i="1"/>
  <c r="BY33" i="1"/>
  <c r="CA32" i="1"/>
  <c r="BZ32" i="1"/>
  <c r="BY32" i="1"/>
  <c r="CA31" i="1"/>
  <c r="BZ31" i="1"/>
  <c r="BY31" i="1"/>
  <c r="CA30" i="1"/>
  <c r="BZ30" i="1"/>
  <c r="BY30" i="1"/>
  <c r="CA29" i="1"/>
  <c r="BZ29" i="1"/>
  <c r="BY29" i="1"/>
  <c r="CA28" i="1"/>
  <c r="BZ28" i="1"/>
  <c r="BY28" i="1"/>
  <c r="CA27" i="1"/>
  <c r="BZ27" i="1"/>
  <c r="BY27" i="1"/>
  <c r="CA26" i="1"/>
  <c r="BZ26" i="1"/>
  <c r="BY26" i="1"/>
  <c r="CA25" i="1"/>
  <c r="BZ25" i="1"/>
  <c r="BY25" i="1"/>
  <c r="BU40" i="1"/>
  <c r="BT40" i="1"/>
  <c r="BS40" i="1"/>
  <c r="BO40" i="1"/>
  <c r="BN40" i="1"/>
  <c r="BM40" i="1"/>
  <c r="BI40" i="1"/>
  <c r="BH40" i="1"/>
  <c r="BG40" i="1"/>
  <c r="BC40" i="1"/>
  <c r="BB40" i="1"/>
  <c r="BA40" i="1"/>
  <c r="AW40" i="1"/>
  <c r="AV40" i="1"/>
  <c r="AU40" i="1"/>
  <c r="AQ40" i="1"/>
  <c r="AP40" i="1"/>
  <c r="AO40" i="1"/>
  <c r="AM40" i="1"/>
  <c r="AK40" i="1"/>
  <c r="AJ40" i="1"/>
  <c r="AI40" i="1"/>
  <c r="AG40" i="1"/>
  <c r="AE40" i="1"/>
  <c r="AD40" i="1"/>
  <c r="AC40" i="1"/>
  <c r="Z40" i="1"/>
  <c r="Y40" i="1"/>
  <c r="X40" i="1"/>
  <c r="W40" i="1"/>
  <c r="U40" i="1"/>
  <c r="T40" i="1"/>
  <c r="S40" i="1"/>
  <c r="R40" i="1"/>
  <c r="Q40" i="1"/>
  <c r="M40" i="1"/>
  <c r="L40" i="1"/>
  <c r="K40" i="1"/>
  <c r="G40" i="1"/>
  <c r="F40" i="1"/>
  <c r="E40" i="1"/>
  <c r="BU21" i="1"/>
  <c r="BT21" i="1"/>
  <c r="BS21" i="1"/>
  <c r="BO21" i="1"/>
  <c r="BN21" i="1"/>
  <c r="BM21" i="1"/>
  <c r="BI21" i="1"/>
  <c r="BH21" i="1"/>
  <c r="BG21" i="1"/>
  <c r="BC21" i="1"/>
  <c r="BB21" i="1"/>
  <c r="BA21" i="1"/>
  <c r="AW21" i="1"/>
  <c r="AV21" i="1"/>
  <c r="AU21" i="1"/>
  <c r="AQ21" i="1"/>
  <c r="AP21" i="1"/>
  <c r="AO21" i="1"/>
  <c r="AK21" i="1"/>
  <c r="AJ21" i="1"/>
  <c r="AI21" i="1"/>
  <c r="AE21" i="1"/>
  <c r="AD21" i="1"/>
  <c r="AC21" i="1"/>
  <c r="Y21" i="1"/>
  <c r="X21" i="1"/>
  <c r="W21" i="1"/>
  <c r="S21" i="1"/>
  <c r="R21" i="1"/>
  <c r="Q21" i="1"/>
  <c r="M21" i="1"/>
  <c r="L21" i="1"/>
  <c r="K21" i="1"/>
  <c r="CA20" i="1"/>
  <c r="BZ20" i="1"/>
  <c r="BY20" i="1"/>
  <c r="CA19" i="1"/>
  <c r="BZ19" i="1"/>
  <c r="CA18" i="1"/>
  <c r="BZ18" i="1"/>
  <c r="BY18" i="1"/>
  <c r="CA17" i="1"/>
  <c r="BZ17" i="1"/>
  <c r="BY17" i="1"/>
  <c r="CA16" i="1"/>
  <c r="BZ16" i="1"/>
  <c r="BY16" i="1"/>
  <c r="CA15" i="1"/>
  <c r="BZ15" i="1"/>
  <c r="BY15" i="1"/>
  <c r="CA14" i="1"/>
  <c r="BZ14" i="1"/>
  <c r="BY14" i="1"/>
  <c r="CA13" i="1"/>
  <c r="BZ13" i="1"/>
  <c r="BY13" i="1"/>
  <c r="CA12" i="1"/>
  <c r="BZ12" i="1"/>
  <c r="BY12" i="1"/>
  <c r="CA11" i="1"/>
  <c r="BZ11" i="1"/>
  <c r="BY11" i="1"/>
  <c r="G21" i="1"/>
  <c r="F21" i="1"/>
  <c r="BE7" i="1"/>
  <c r="BD7" i="1"/>
  <c r="BC7" i="1"/>
  <c r="BB7" i="1"/>
  <c r="BA7" i="1"/>
  <c r="AY7" i="1"/>
  <c r="AX7" i="1"/>
  <c r="AW7" i="1"/>
  <c r="AV7" i="1"/>
  <c r="AU7" i="1"/>
  <c r="AS7" i="1"/>
  <c r="AR7" i="1"/>
  <c r="AQ7" i="1"/>
  <c r="AP7" i="1"/>
  <c r="AO7" i="1"/>
  <c r="AM7" i="1"/>
  <c r="AL7" i="1"/>
  <c r="AK7" i="1"/>
  <c r="AJ7" i="1"/>
  <c r="AI7" i="1"/>
  <c r="AG7" i="1"/>
  <c r="AF7" i="1"/>
  <c r="AE7" i="1"/>
  <c r="AD7" i="1"/>
  <c r="AC7" i="1"/>
  <c r="AA7" i="1"/>
  <c r="Z7" i="1"/>
  <c r="Y7" i="1"/>
  <c r="X7" i="1"/>
  <c r="W7" i="1"/>
  <c r="U7" i="1"/>
  <c r="T7" i="1"/>
  <c r="S7" i="1"/>
  <c r="R7" i="1"/>
  <c r="Q7" i="1"/>
  <c r="O7" i="1"/>
  <c r="N7" i="1"/>
  <c r="M7" i="1"/>
  <c r="L7" i="1"/>
  <c r="K7" i="1"/>
  <c r="I7" i="1"/>
  <c r="H7" i="1"/>
  <c r="H9" i="1" s="1"/>
  <c r="G7" i="1"/>
  <c r="G9" i="1" s="1"/>
  <c r="M9" i="1" s="1"/>
  <c r="S9" i="1" s="1"/>
  <c r="Y9" i="1" s="1"/>
  <c r="AE9" i="1" s="1"/>
  <c r="AK9" i="1" s="1"/>
  <c r="AQ9" i="1" s="1"/>
  <c r="AW9" i="1" s="1"/>
  <c r="BC9" i="1" s="1"/>
  <c r="F7" i="1"/>
  <c r="F9" i="1" s="1"/>
  <c r="E7" i="1"/>
  <c r="E9" i="1" s="1"/>
  <c r="K9" i="1" s="1"/>
  <c r="Q9" i="1" s="1"/>
  <c r="W9" i="1" s="1"/>
  <c r="AC9" i="1" s="1"/>
  <c r="AI9" i="1" s="1"/>
  <c r="AO9" i="1" s="1"/>
  <c r="AU9" i="1" s="1"/>
  <c r="BA9" i="1" s="1"/>
  <c r="C7" i="1"/>
  <c r="C9" i="1" s="1"/>
  <c r="BV7" i="1"/>
  <c r="BU7" i="1"/>
  <c r="BT7" i="1"/>
  <c r="BS7" i="1"/>
  <c r="BQ7" i="1"/>
  <c r="BP7" i="1"/>
  <c r="BO7" i="1"/>
  <c r="BN7" i="1"/>
  <c r="BM7" i="1"/>
  <c r="BK7" i="1"/>
  <c r="BJ7" i="1"/>
  <c r="BI7" i="1"/>
  <c r="BH7" i="1"/>
  <c r="BG7" i="1"/>
  <c r="CA6" i="1"/>
  <c r="CA7" i="1" s="1"/>
  <c r="CA9" i="1" s="1"/>
  <c r="BI9" i="1" l="1"/>
  <c r="BO9" i="1" s="1"/>
  <c r="BU9" i="1" s="1"/>
  <c r="G23" i="1" s="1"/>
  <c r="M23" i="1" s="1"/>
  <c r="S23" i="1" s="1"/>
  <c r="Y23" i="1" s="1"/>
  <c r="AE23" i="1" s="1"/>
  <c r="AK23" i="1" s="1"/>
  <c r="AQ23" i="1" s="1"/>
  <c r="AW23" i="1" s="1"/>
  <c r="BC23" i="1" s="1"/>
  <c r="BI23" i="1" s="1"/>
  <c r="BO23" i="1" s="1"/>
  <c r="BU23" i="1" s="1"/>
  <c r="G42" i="1" s="1"/>
  <c r="M42" i="1" s="1"/>
  <c r="S42" i="1" s="1"/>
  <c r="I9" i="1"/>
  <c r="O9" i="1" s="1"/>
  <c r="U9" i="1" s="1"/>
  <c r="AA9" i="1" s="1"/>
  <c r="AG9" i="1" s="1"/>
  <c r="AM9" i="1" s="1"/>
  <c r="AS9" i="1" s="1"/>
  <c r="AY9" i="1" s="1"/>
  <c r="BE9" i="1" s="1"/>
  <c r="BK9" i="1" s="1"/>
  <c r="BQ9" i="1" s="1"/>
  <c r="L9" i="1"/>
  <c r="R9" i="1" s="1"/>
  <c r="X9" i="1" s="1"/>
  <c r="AD9" i="1" s="1"/>
  <c r="AJ9" i="1" s="1"/>
  <c r="AP9" i="1" s="1"/>
  <c r="AV9" i="1" s="1"/>
  <c r="BB9" i="1" s="1"/>
  <c r="BH9" i="1" s="1"/>
  <c r="BN9" i="1" s="1"/>
  <c r="BT9" i="1" s="1"/>
  <c r="F23" i="1" s="1"/>
  <c r="L23" i="1" s="1"/>
  <c r="R23" i="1" s="1"/>
  <c r="X23" i="1" s="1"/>
  <c r="AD23" i="1" s="1"/>
  <c r="N9" i="1"/>
  <c r="T9" i="1" s="1"/>
  <c r="Z9" i="1" s="1"/>
  <c r="AF9" i="1" s="1"/>
  <c r="AL9" i="1" s="1"/>
  <c r="AR9" i="1" s="1"/>
  <c r="AX9" i="1" s="1"/>
  <c r="BD9" i="1" s="1"/>
  <c r="BJ9" i="1" s="1"/>
  <c r="BP9" i="1" s="1"/>
  <c r="BV9" i="1" s="1"/>
  <c r="AJ23" i="1"/>
  <c r="AP23" i="1" s="1"/>
  <c r="AV23" i="1" s="1"/>
  <c r="BB23" i="1" s="1"/>
  <c r="BH23" i="1" s="1"/>
  <c r="BN23" i="1" s="1"/>
  <c r="BT23" i="1" s="1"/>
  <c r="F42" i="1" s="1"/>
  <c r="L42" i="1" s="1"/>
  <c r="R42" i="1" s="1"/>
  <c r="X42" i="1" s="1"/>
  <c r="AD42" i="1" s="1"/>
  <c r="AJ42" i="1" s="1"/>
  <c r="AP42" i="1" s="1"/>
  <c r="AV42" i="1" s="1"/>
  <c r="BB42" i="1" s="1"/>
  <c r="BH42" i="1" s="1"/>
  <c r="BN42" i="1" s="1"/>
  <c r="BT42" i="1" s="1"/>
  <c r="F58" i="1" s="1"/>
  <c r="L58" i="1" s="1"/>
  <c r="R58" i="1" s="1"/>
  <c r="X58" i="1" s="1"/>
  <c r="AD58" i="1" s="1"/>
  <c r="AJ58" i="1" s="1"/>
  <c r="AP58" i="1" s="1"/>
  <c r="AV58" i="1" s="1"/>
  <c r="BB58" i="1" s="1"/>
  <c r="BH58" i="1" s="1"/>
  <c r="BN58" i="1" s="1"/>
  <c r="BT58" i="1" s="1"/>
  <c r="F70" i="1" s="1"/>
  <c r="L70" i="1" s="1"/>
  <c r="R70" i="1" s="1"/>
  <c r="X70" i="1" s="1"/>
  <c r="AD70" i="1" s="1"/>
  <c r="AJ70" i="1" s="1"/>
  <c r="AP70" i="1" s="1"/>
  <c r="AV70" i="1" s="1"/>
  <c r="BB70" i="1" s="1"/>
  <c r="BH70" i="1" s="1"/>
  <c r="BN70" i="1" s="1"/>
  <c r="BT70" i="1" s="1"/>
  <c r="F80" i="1" s="1"/>
  <c r="L80" i="1" s="1"/>
  <c r="R80" i="1" s="1"/>
  <c r="X80" i="1" s="1"/>
  <c r="AD80" i="1" s="1"/>
  <c r="AJ80" i="1" s="1"/>
  <c r="AP80" i="1" s="1"/>
  <c r="AV80" i="1" s="1"/>
  <c r="BB80" i="1" s="1"/>
  <c r="BH80" i="1" s="1"/>
  <c r="BN80" i="1" s="1"/>
  <c r="BT80" i="1" s="1"/>
  <c r="F97" i="1" s="1"/>
  <c r="L97" i="1" s="1"/>
  <c r="R97" i="1" s="1"/>
  <c r="X97" i="1" s="1"/>
  <c r="AD97" i="1" s="1"/>
  <c r="AJ97" i="1" s="1"/>
  <c r="AP97" i="1" s="1"/>
  <c r="AV97" i="1" s="1"/>
  <c r="BB97" i="1" s="1"/>
  <c r="BH97" i="1" s="1"/>
  <c r="BN97" i="1" s="1"/>
  <c r="BT97" i="1" s="1"/>
  <c r="F111" i="1" s="1"/>
  <c r="L111" i="1" s="1"/>
  <c r="R111" i="1" s="1"/>
  <c r="X111" i="1" s="1"/>
  <c r="AD111" i="1" s="1"/>
  <c r="AJ111" i="1" s="1"/>
  <c r="AP111" i="1" s="1"/>
  <c r="AV111" i="1" s="1"/>
  <c r="BB111" i="1" s="1"/>
  <c r="BH111" i="1" s="1"/>
  <c r="BN111" i="1" s="1"/>
  <c r="BT111" i="1" s="1"/>
  <c r="BG9" i="1"/>
  <c r="BM9" i="1" s="1"/>
  <c r="BS9" i="1" s="1"/>
  <c r="Y42" i="1"/>
  <c r="AE42" i="1" s="1"/>
  <c r="AK42" i="1" s="1"/>
  <c r="AQ42" i="1" s="1"/>
  <c r="AW42" i="1" s="1"/>
  <c r="BC42" i="1" s="1"/>
  <c r="BI42" i="1" s="1"/>
  <c r="BO42" i="1" s="1"/>
  <c r="BU42" i="1" s="1"/>
  <c r="G58" i="1" s="1"/>
  <c r="M58" i="1" s="1"/>
  <c r="S58" i="1" s="1"/>
  <c r="Y58" i="1" s="1"/>
  <c r="AE58" i="1" s="1"/>
  <c r="AK58" i="1" s="1"/>
  <c r="AQ58" i="1" s="1"/>
  <c r="AW58" i="1" s="1"/>
  <c r="BC58" i="1" s="1"/>
  <c r="BI58" i="1" s="1"/>
  <c r="BO58" i="1" s="1"/>
  <c r="BU58" i="1" s="1"/>
  <c r="G70" i="1" s="1"/>
  <c r="M70" i="1" s="1"/>
  <c r="S70" i="1" s="1"/>
  <c r="Y70" i="1" s="1"/>
  <c r="AE70" i="1" s="1"/>
  <c r="AK70" i="1" s="1"/>
  <c r="AQ70" i="1" s="1"/>
  <c r="AW70" i="1" s="1"/>
  <c r="BC70" i="1" s="1"/>
  <c r="BI70" i="1" s="1"/>
  <c r="BO70" i="1" s="1"/>
  <c r="BU70" i="1" s="1"/>
  <c r="G80" i="1" s="1"/>
  <c r="M80" i="1" s="1"/>
  <c r="S80" i="1" s="1"/>
  <c r="Y80" i="1" s="1"/>
  <c r="AE80" i="1" s="1"/>
  <c r="AK80" i="1" s="1"/>
  <c r="AQ80" i="1" s="1"/>
  <c r="AW80" i="1" s="1"/>
  <c r="BC80" i="1" s="1"/>
  <c r="BI80" i="1" s="1"/>
  <c r="BO80" i="1" s="1"/>
  <c r="BU80" i="1" s="1"/>
  <c r="G97" i="1" s="1"/>
  <c r="M97" i="1" s="1"/>
  <c r="S97" i="1" s="1"/>
  <c r="Y97" i="1" s="1"/>
  <c r="AE97" i="1" s="1"/>
  <c r="AK97" i="1" s="1"/>
  <c r="AQ97" i="1" s="1"/>
  <c r="AW97" i="1" s="1"/>
  <c r="BC97" i="1" s="1"/>
  <c r="BI97" i="1" s="1"/>
  <c r="BO97" i="1" s="1"/>
  <c r="BU97" i="1" s="1"/>
  <c r="G111" i="1" s="1"/>
  <c r="M111" i="1" s="1"/>
  <c r="S111" i="1" s="1"/>
  <c r="Y111" i="1" s="1"/>
  <c r="AE111" i="1" s="1"/>
  <c r="AK111" i="1" s="1"/>
  <c r="AQ111" i="1" s="1"/>
  <c r="AW111" i="1" s="1"/>
  <c r="BC111" i="1" s="1"/>
  <c r="BI111" i="1" s="1"/>
  <c r="BO111" i="1" s="1"/>
  <c r="BU111" i="1" s="1"/>
  <c r="CA56" i="1"/>
  <c r="BY56" i="1"/>
  <c r="BZ56" i="1"/>
  <c r="BY40" i="1"/>
  <c r="CA40" i="1"/>
  <c r="BZ40" i="1"/>
  <c r="CA21" i="1"/>
  <c r="CA23" i="1" s="1"/>
  <c r="CA42" i="1" s="1"/>
  <c r="CA58" i="1" s="1"/>
  <c r="CA70" i="1" s="1"/>
  <c r="CA80" i="1" s="1"/>
  <c r="CA97" i="1" s="1"/>
  <c r="CA111" i="1" s="1"/>
  <c r="BZ21" i="1"/>
  <c r="BZ6" i="1"/>
  <c r="BZ7" i="1" s="1"/>
  <c r="BZ9" i="1" s="1"/>
  <c r="BY6" i="1"/>
  <c r="CB6" i="1" l="1"/>
  <c r="CB7" i="1" s="1"/>
  <c r="CB9" i="1" s="1"/>
  <c r="BY7" i="1"/>
  <c r="BY9" i="1" s="1"/>
  <c r="BZ23" i="1"/>
  <c r="BZ42" i="1" s="1"/>
  <c r="BZ58" i="1" s="1"/>
  <c r="BZ70" i="1" s="1"/>
  <c r="BZ80" i="1" s="1"/>
  <c r="BZ97" i="1" s="1"/>
  <c r="BZ111" i="1" s="1"/>
  <c r="A100" i="1"/>
  <c r="A101" i="1" s="1"/>
  <c r="A102" i="1" s="1"/>
  <c r="CB77" i="1"/>
  <c r="BW77" i="1"/>
  <c r="CB76" i="1"/>
  <c r="BW76" i="1"/>
  <c r="CB75" i="1"/>
  <c r="BW75" i="1"/>
  <c r="CB74" i="1"/>
  <c r="BW74" i="1"/>
  <c r="CB73" i="1"/>
  <c r="BW73" i="1"/>
  <c r="CB72" i="1"/>
  <c r="BW72" i="1"/>
  <c r="CB67" i="1"/>
  <c r="BW67" i="1"/>
  <c r="CB66" i="1"/>
  <c r="BW66" i="1"/>
  <c r="CB65" i="1"/>
  <c r="BW65" i="1"/>
  <c r="CB64" i="1"/>
  <c r="BW64" i="1"/>
  <c r="CB63" i="1"/>
  <c r="BW63" i="1"/>
  <c r="CB62" i="1"/>
  <c r="BW62" i="1"/>
  <c r="CB61" i="1"/>
  <c r="BW61" i="1"/>
  <c r="A73" i="1"/>
  <c r="A74" i="1" s="1"/>
  <c r="A75" i="1" s="1"/>
  <c r="A76" i="1" s="1"/>
  <c r="A77" i="1" s="1"/>
  <c r="A61" i="1"/>
  <c r="A62" i="1" s="1"/>
  <c r="A63" i="1" s="1"/>
  <c r="A64" i="1" s="1"/>
  <c r="A65" i="1" s="1"/>
  <c r="A66" i="1" s="1"/>
  <c r="A67" i="1" s="1"/>
  <c r="CB94" i="1" l="1"/>
  <c r="BW94" i="1"/>
  <c r="CB92" i="1"/>
  <c r="BW92" i="1"/>
  <c r="CB91" i="1"/>
  <c r="BW91" i="1"/>
  <c r="CB90" i="1"/>
  <c r="BW90" i="1"/>
  <c r="CB89" i="1"/>
  <c r="BW89" i="1"/>
  <c r="CB88" i="1"/>
  <c r="BW88" i="1"/>
  <c r="CB87" i="1"/>
  <c r="BW87" i="1"/>
  <c r="CB86" i="1"/>
  <c r="BW86" i="1"/>
  <c r="CB85" i="1"/>
  <c r="BW85" i="1"/>
  <c r="CB84" i="1"/>
  <c r="BW84" i="1"/>
  <c r="CB83" i="1"/>
  <c r="BW83" i="1"/>
  <c r="CB82" i="1"/>
  <c r="BW82" i="1"/>
  <c r="BW95" i="1" s="1"/>
  <c r="BV78" i="1"/>
  <c r="BQ78" i="1"/>
  <c r="BP78" i="1"/>
  <c r="BK78" i="1"/>
  <c r="BJ78" i="1"/>
  <c r="BE78" i="1"/>
  <c r="BD78" i="1"/>
  <c r="AY78" i="1"/>
  <c r="AX78" i="1"/>
  <c r="AS78" i="1"/>
  <c r="AR78" i="1"/>
  <c r="AM78" i="1"/>
  <c r="AL78" i="1"/>
  <c r="AG78" i="1"/>
  <c r="AF78" i="1"/>
  <c r="AA78" i="1"/>
  <c r="Z78" i="1"/>
  <c r="U78" i="1"/>
  <c r="O78" i="1"/>
  <c r="N78" i="1"/>
  <c r="I78" i="1"/>
  <c r="H78" i="1"/>
  <c r="C78" i="1"/>
  <c r="BQ68" i="1"/>
  <c r="BK68" i="1"/>
  <c r="BJ68" i="1"/>
  <c r="BE68" i="1"/>
  <c r="BD68" i="1"/>
  <c r="AY68" i="1"/>
  <c r="AX68" i="1"/>
  <c r="AS68" i="1"/>
  <c r="AR68" i="1"/>
  <c r="AM68" i="1"/>
  <c r="AL68" i="1"/>
  <c r="AG68" i="1"/>
  <c r="AF68" i="1"/>
  <c r="AA68" i="1"/>
  <c r="Z68" i="1"/>
  <c r="U68" i="1"/>
  <c r="T68" i="1"/>
  <c r="O68" i="1"/>
  <c r="N68" i="1"/>
  <c r="I68" i="1"/>
  <c r="H68" i="1"/>
  <c r="C68" i="1"/>
  <c r="BV56" i="1"/>
  <c r="BQ56" i="1"/>
  <c r="BP56" i="1"/>
  <c r="BK56" i="1"/>
  <c r="BJ56" i="1"/>
  <c r="BE56" i="1"/>
  <c r="BD56" i="1"/>
  <c r="AY56" i="1"/>
  <c r="AX56" i="1"/>
  <c r="AS56" i="1"/>
  <c r="AR56" i="1"/>
  <c r="AM56" i="1"/>
  <c r="AL56" i="1"/>
  <c r="AG56" i="1"/>
  <c r="AF56" i="1"/>
  <c r="AA56" i="1"/>
  <c r="Z56" i="1"/>
  <c r="U56" i="1"/>
  <c r="T56" i="1"/>
  <c r="O56" i="1"/>
  <c r="N56" i="1"/>
  <c r="I56" i="1"/>
  <c r="H56" i="1"/>
  <c r="C56" i="1"/>
  <c r="CB95" i="1" l="1"/>
  <c r="CB78" i="1"/>
  <c r="BW78" i="1"/>
  <c r="CB60" i="1"/>
  <c r="CB68" i="1" s="1"/>
  <c r="BW60" i="1"/>
  <c r="BW68" i="1" s="1"/>
  <c r="CB55" i="1"/>
  <c r="BW55" i="1"/>
  <c r="CB54" i="1"/>
  <c r="BW54" i="1"/>
  <c r="CB53" i="1"/>
  <c r="BW53" i="1"/>
  <c r="CB52" i="1"/>
  <c r="BW52" i="1"/>
  <c r="CB51" i="1"/>
  <c r="BW51" i="1"/>
  <c r="CB50" i="1"/>
  <c r="BW50" i="1"/>
  <c r="CB49" i="1"/>
  <c r="BW49" i="1"/>
  <c r="CB48" i="1"/>
  <c r="BW48" i="1"/>
  <c r="CB47" i="1"/>
  <c r="BW47" i="1"/>
  <c r="CB46" i="1"/>
  <c r="BW46" i="1"/>
  <c r="CB45" i="1"/>
  <c r="BW45" i="1"/>
  <c r="CB44" i="1"/>
  <c r="BW44" i="1"/>
  <c r="A44" i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BV40" i="1"/>
  <c r="BQ40" i="1"/>
  <c r="BP40" i="1"/>
  <c r="BK40" i="1"/>
  <c r="BJ40" i="1"/>
  <c r="BD40" i="1"/>
  <c r="AY40" i="1"/>
  <c r="AX40" i="1"/>
  <c r="AS40" i="1"/>
  <c r="AR40" i="1"/>
  <c r="AL40" i="1"/>
  <c r="AF40" i="1"/>
  <c r="AA40" i="1"/>
  <c r="O40" i="1"/>
  <c r="N40" i="1"/>
  <c r="I40" i="1"/>
  <c r="H40" i="1"/>
  <c r="C40" i="1"/>
  <c r="CB56" i="1" l="1"/>
  <c r="A83" i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55" i="1"/>
  <c r="BW56" i="1"/>
  <c r="BV21" i="1"/>
  <c r="BQ21" i="1"/>
  <c r="BP21" i="1"/>
  <c r="BK21" i="1"/>
  <c r="BJ21" i="1"/>
  <c r="BE21" i="1"/>
  <c r="BD21" i="1"/>
  <c r="AY21" i="1"/>
  <c r="AX21" i="1"/>
  <c r="AS21" i="1"/>
  <c r="AR21" i="1"/>
  <c r="AM21" i="1"/>
  <c r="AL21" i="1"/>
  <c r="AG21" i="1"/>
  <c r="AF21" i="1"/>
  <c r="AA21" i="1"/>
  <c r="Z21" i="1"/>
  <c r="U21" i="1"/>
  <c r="T21" i="1"/>
  <c r="O21" i="1"/>
  <c r="N21" i="1"/>
  <c r="I21" i="1"/>
  <c r="H21" i="1"/>
  <c r="H23" i="1" s="1"/>
  <c r="N23" i="1" s="1"/>
  <c r="T23" i="1" s="1"/>
  <c r="Z23" i="1" s="1"/>
  <c r="AF23" i="1" s="1"/>
  <c r="AL23" i="1" s="1"/>
  <c r="AR23" i="1" s="1"/>
  <c r="AX23" i="1" s="1"/>
  <c r="BD23" i="1" s="1"/>
  <c r="BJ23" i="1" s="1"/>
  <c r="BP23" i="1" s="1"/>
  <c r="BV23" i="1" s="1"/>
  <c r="H42" i="1" s="1"/>
  <c r="N42" i="1" s="1"/>
  <c r="T42" i="1" s="1"/>
  <c r="Z42" i="1" s="1"/>
  <c r="AF42" i="1" s="1"/>
  <c r="AL42" i="1" s="1"/>
  <c r="AR42" i="1" s="1"/>
  <c r="AX42" i="1" s="1"/>
  <c r="BD42" i="1" s="1"/>
  <c r="BJ42" i="1" s="1"/>
  <c r="BP42" i="1" s="1"/>
  <c r="BV42" i="1" s="1"/>
  <c r="H58" i="1" s="1"/>
  <c r="N58" i="1" s="1"/>
  <c r="T58" i="1" s="1"/>
  <c r="Z58" i="1" s="1"/>
  <c r="AF58" i="1" s="1"/>
  <c r="AL58" i="1" s="1"/>
  <c r="AR58" i="1" s="1"/>
  <c r="AX58" i="1" s="1"/>
  <c r="BD58" i="1" s="1"/>
  <c r="BJ58" i="1" s="1"/>
  <c r="BP58" i="1" s="1"/>
  <c r="BV58" i="1" s="1"/>
  <c r="H70" i="1" s="1"/>
  <c r="N70" i="1" s="1"/>
  <c r="T70" i="1" s="1"/>
  <c r="Z70" i="1" s="1"/>
  <c r="AF70" i="1" s="1"/>
  <c r="AL70" i="1" s="1"/>
  <c r="AR70" i="1" s="1"/>
  <c r="AX70" i="1" s="1"/>
  <c r="BD70" i="1" s="1"/>
  <c r="BJ70" i="1" s="1"/>
  <c r="BP70" i="1" s="1"/>
  <c r="BV70" i="1" s="1"/>
  <c r="H80" i="1" s="1"/>
  <c r="N80" i="1" s="1"/>
  <c r="T80" i="1" s="1"/>
  <c r="Z80" i="1" s="1"/>
  <c r="AF80" i="1" s="1"/>
  <c r="AL80" i="1" s="1"/>
  <c r="AR80" i="1" s="1"/>
  <c r="AX80" i="1" s="1"/>
  <c r="BD80" i="1" s="1"/>
  <c r="BJ80" i="1" s="1"/>
  <c r="BP80" i="1" s="1"/>
  <c r="BV80" i="1" s="1"/>
  <c r="H97" i="1" s="1"/>
  <c r="N97" i="1" s="1"/>
  <c r="T97" i="1" s="1"/>
  <c r="Z97" i="1" s="1"/>
  <c r="AF97" i="1" s="1"/>
  <c r="AL97" i="1" s="1"/>
  <c r="AR97" i="1" s="1"/>
  <c r="AX97" i="1" s="1"/>
  <c r="BD97" i="1" s="1"/>
  <c r="BJ97" i="1" s="1"/>
  <c r="BP97" i="1" s="1"/>
  <c r="BV97" i="1" s="1"/>
  <c r="H111" i="1" s="1"/>
  <c r="N111" i="1" s="1"/>
  <c r="T111" i="1" s="1"/>
  <c r="Z111" i="1" s="1"/>
  <c r="AF111" i="1" s="1"/>
  <c r="AL111" i="1" s="1"/>
  <c r="AR111" i="1" s="1"/>
  <c r="AX111" i="1" s="1"/>
  <c r="BD111" i="1" s="1"/>
  <c r="BJ111" i="1" s="1"/>
  <c r="BP111" i="1" s="1"/>
  <c r="BV111" i="1" s="1"/>
  <c r="C21" i="1"/>
  <c r="C23" i="1" s="1"/>
  <c r="I23" i="1" s="1"/>
  <c r="O23" i="1" s="1"/>
  <c r="U23" i="1" s="1"/>
  <c r="AA23" i="1" s="1"/>
  <c r="AG23" i="1" s="1"/>
  <c r="AM23" i="1" s="1"/>
  <c r="AS23" i="1" s="1"/>
  <c r="AY23" i="1" s="1"/>
  <c r="BE23" i="1" s="1"/>
  <c r="BK23" i="1" s="1"/>
  <c r="BQ23" i="1" s="1"/>
  <c r="C42" i="1" s="1"/>
  <c r="I42" i="1" s="1"/>
  <c r="O42" i="1" s="1"/>
  <c r="U42" i="1" s="1"/>
  <c r="AA42" i="1" s="1"/>
  <c r="AG42" i="1" s="1"/>
  <c r="AM42" i="1" s="1"/>
  <c r="AS42" i="1" s="1"/>
  <c r="AY42" i="1" s="1"/>
  <c r="BE42" i="1" s="1"/>
  <c r="BK42" i="1" s="1"/>
  <c r="BQ42" i="1" s="1"/>
  <c r="C58" i="1" s="1"/>
  <c r="I58" i="1" s="1"/>
  <c r="O58" i="1" s="1"/>
  <c r="U58" i="1" s="1"/>
  <c r="AA58" i="1" s="1"/>
  <c r="AG58" i="1" s="1"/>
  <c r="AM58" i="1" s="1"/>
  <c r="AS58" i="1" s="1"/>
  <c r="AY58" i="1" s="1"/>
  <c r="BE58" i="1" s="1"/>
  <c r="BK58" i="1" s="1"/>
  <c r="BQ58" i="1" s="1"/>
  <c r="C70" i="1" s="1"/>
  <c r="I70" i="1" s="1"/>
  <c r="O70" i="1" s="1"/>
  <c r="U70" i="1" s="1"/>
  <c r="AA70" i="1" s="1"/>
  <c r="AG70" i="1" s="1"/>
  <c r="AM70" i="1" s="1"/>
  <c r="AS70" i="1" s="1"/>
  <c r="AY70" i="1" s="1"/>
  <c r="BE70" i="1" s="1"/>
  <c r="BK70" i="1" s="1"/>
  <c r="BQ70" i="1" s="1"/>
  <c r="C80" i="1" s="1"/>
  <c r="I80" i="1" s="1"/>
  <c r="O80" i="1" s="1"/>
  <c r="U80" i="1" s="1"/>
  <c r="AA80" i="1" s="1"/>
  <c r="AG80" i="1" s="1"/>
  <c r="AM80" i="1" s="1"/>
  <c r="AS80" i="1" s="1"/>
  <c r="AY80" i="1" s="1"/>
  <c r="BE80" i="1" s="1"/>
  <c r="BK80" i="1" s="1"/>
  <c r="BQ80" i="1" s="1"/>
  <c r="C97" i="1" s="1"/>
  <c r="I97" i="1" s="1"/>
  <c r="O97" i="1" s="1"/>
  <c r="U97" i="1" s="1"/>
  <c r="AA97" i="1" s="1"/>
  <c r="AG97" i="1" s="1"/>
  <c r="AM97" i="1" s="1"/>
  <c r="AS97" i="1" s="1"/>
  <c r="AY97" i="1" s="1"/>
  <c r="BE97" i="1" s="1"/>
  <c r="BK97" i="1" s="1"/>
  <c r="BQ97" i="1" s="1"/>
  <c r="C111" i="1" s="1"/>
  <c r="I111" i="1" s="1"/>
  <c r="O111" i="1" s="1"/>
  <c r="U111" i="1" s="1"/>
  <c r="AA111" i="1" s="1"/>
  <c r="AG111" i="1" s="1"/>
  <c r="AM111" i="1" s="1"/>
  <c r="AS111" i="1" s="1"/>
  <c r="AY111" i="1" s="1"/>
  <c r="BE111" i="1" s="1"/>
  <c r="BK111" i="1" s="1"/>
  <c r="BQ111" i="1" s="1"/>
  <c r="CB39" i="1"/>
  <c r="BW39" i="1"/>
  <c r="CB38" i="1"/>
  <c r="BW38" i="1"/>
  <c r="CB37" i="1"/>
  <c r="BW37" i="1"/>
  <c r="CB36" i="1"/>
  <c r="BW36" i="1"/>
  <c r="CB35" i="1"/>
  <c r="BW35" i="1"/>
  <c r="CB34" i="1"/>
  <c r="BW34" i="1"/>
  <c r="CB33" i="1"/>
  <c r="BW33" i="1"/>
  <c r="CB32" i="1"/>
  <c r="BW32" i="1"/>
  <c r="CB31" i="1"/>
  <c r="BW31" i="1"/>
  <c r="CB30" i="1"/>
  <c r="BW30" i="1"/>
  <c r="CB29" i="1"/>
  <c r="BW29" i="1"/>
  <c r="CB28" i="1"/>
  <c r="BW28" i="1"/>
  <c r="CB27" i="1"/>
  <c r="BW27" i="1"/>
  <c r="CB26" i="1"/>
  <c r="BW26" i="1"/>
  <c r="CB25" i="1"/>
  <c r="CB40" i="1" s="1"/>
  <c r="BW25" i="1"/>
  <c r="CB20" i="1"/>
  <c r="BW20" i="1"/>
  <c r="CB19" i="1"/>
  <c r="BW19" i="1"/>
  <c r="CB18" i="1"/>
  <c r="BW18" i="1"/>
  <c r="CB17" i="1"/>
  <c r="BW17" i="1"/>
  <c r="CB16" i="1"/>
  <c r="BW16" i="1"/>
  <c r="CB15" i="1"/>
  <c r="BW15" i="1"/>
  <c r="CB14" i="1"/>
  <c r="BW14" i="1"/>
  <c r="CB13" i="1"/>
  <c r="BW13" i="1"/>
  <c r="CB12" i="1"/>
  <c r="BW12" i="1"/>
  <c r="CB11" i="1"/>
  <c r="CB21" i="1" s="1"/>
  <c r="CB23" i="1" s="1"/>
  <c r="BW11" i="1"/>
  <c r="BW21" i="1" s="1"/>
  <c r="BW6" i="1"/>
  <c r="BW7" i="1" s="1"/>
  <c r="BW9" i="1" s="1"/>
  <c r="A13" i="1"/>
  <c r="A14" i="1" s="1"/>
  <c r="A15" i="1" s="1"/>
  <c r="A16" i="1" s="1"/>
  <c r="A17" i="1" s="1"/>
  <c r="A18" i="1" s="1"/>
  <c r="A19" i="1" s="1"/>
  <c r="A20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BW23" i="1" l="1"/>
  <c r="CB42" i="1"/>
  <c r="CB58" i="1" s="1"/>
  <c r="CB70" i="1" s="1"/>
  <c r="CB80" i="1" s="1"/>
  <c r="CB97" i="1" s="1"/>
  <c r="CB111" i="1" s="1"/>
  <c r="BW40" i="1"/>
  <c r="BW42" i="1" s="1"/>
  <c r="BW58" i="1" s="1"/>
  <c r="BW70" i="1" s="1"/>
  <c r="BW80" i="1" s="1"/>
  <c r="BW97" i="1" s="1"/>
  <c r="BW111" i="1" s="1"/>
  <c r="A37" i="1"/>
  <c r="A38" i="1" s="1"/>
  <c r="A39" i="1" s="1"/>
  <c r="E21" i="1"/>
  <c r="E23" i="1" s="1"/>
  <c r="K23" i="1" s="1"/>
  <c r="Q23" i="1" s="1"/>
  <c r="W23" i="1" s="1"/>
  <c r="AC23" i="1" s="1"/>
  <c r="AI23" i="1" s="1"/>
  <c r="AO23" i="1" s="1"/>
  <c r="AU23" i="1" s="1"/>
  <c r="BA23" i="1" s="1"/>
  <c r="BG23" i="1" s="1"/>
  <c r="BM23" i="1" s="1"/>
  <c r="BS23" i="1" s="1"/>
  <c r="E42" i="1" s="1"/>
  <c r="K42" i="1" s="1"/>
  <c r="Q42" i="1" s="1"/>
  <c r="W42" i="1" s="1"/>
  <c r="AC42" i="1" s="1"/>
  <c r="AI42" i="1" s="1"/>
  <c r="AO42" i="1" s="1"/>
  <c r="AU42" i="1" s="1"/>
  <c r="BA42" i="1" s="1"/>
  <c r="BG42" i="1" s="1"/>
  <c r="BM42" i="1" s="1"/>
  <c r="BS42" i="1" s="1"/>
  <c r="E58" i="1" s="1"/>
  <c r="K58" i="1" s="1"/>
  <c r="Q58" i="1" s="1"/>
  <c r="W58" i="1" s="1"/>
  <c r="AC58" i="1" s="1"/>
  <c r="AI58" i="1" s="1"/>
  <c r="AO58" i="1" s="1"/>
  <c r="AU58" i="1" s="1"/>
  <c r="BA58" i="1" s="1"/>
  <c r="BG58" i="1" s="1"/>
  <c r="BM58" i="1" s="1"/>
  <c r="BS58" i="1" s="1"/>
  <c r="E70" i="1" s="1"/>
  <c r="K70" i="1" s="1"/>
  <c r="Q70" i="1" s="1"/>
  <c r="W70" i="1" s="1"/>
  <c r="AC70" i="1" s="1"/>
  <c r="AI70" i="1" s="1"/>
  <c r="AO70" i="1" s="1"/>
  <c r="AU70" i="1" s="1"/>
  <c r="BA70" i="1" s="1"/>
  <c r="BG70" i="1" s="1"/>
  <c r="BM70" i="1" s="1"/>
  <c r="BS70" i="1" s="1"/>
  <c r="E80" i="1" s="1"/>
  <c r="K80" i="1" s="1"/>
  <c r="Q80" i="1" s="1"/>
  <c r="W80" i="1" s="1"/>
  <c r="AC80" i="1" s="1"/>
  <c r="AI80" i="1" s="1"/>
  <c r="AO80" i="1" s="1"/>
  <c r="AU80" i="1" s="1"/>
  <c r="BA80" i="1" s="1"/>
  <c r="BG80" i="1" s="1"/>
  <c r="BM80" i="1" s="1"/>
  <c r="BS80" i="1" s="1"/>
  <c r="E97" i="1" s="1"/>
  <c r="K97" i="1" s="1"/>
  <c r="Q97" i="1" s="1"/>
  <c r="W97" i="1" s="1"/>
  <c r="AC97" i="1" s="1"/>
  <c r="AI97" i="1" s="1"/>
  <c r="AO97" i="1" s="1"/>
  <c r="AU97" i="1" s="1"/>
  <c r="BA97" i="1" s="1"/>
  <c r="BG97" i="1" s="1"/>
  <c r="BM97" i="1" s="1"/>
  <c r="BS97" i="1" s="1"/>
  <c r="E111" i="1" s="1"/>
  <c r="K111" i="1" s="1"/>
  <c r="Q111" i="1" s="1"/>
  <c r="W111" i="1" s="1"/>
  <c r="AC111" i="1" s="1"/>
  <c r="AI111" i="1" s="1"/>
  <c r="AO111" i="1" s="1"/>
  <c r="AU111" i="1" s="1"/>
  <c r="BA111" i="1" s="1"/>
  <c r="BG111" i="1" s="1"/>
  <c r="BM111" i="1" s="1"/>
  <c r="BS111" i="1" s="1"/>
  <c r="BY19" i="1"/>
  <c r="BY21" i="1" s="1"/>
  <c r="BY23" i="1" s="1"/>
  <c r="BY42" i="1" s="1"/>
  <c r="BY58" i="1" s="1"/>
  <c r="BY70" i="1" s="1"/>
  <c r="BY80" i="1" s="1"/>
  <c r="BY97" i="1" s="1"/>
  <c r="BY111" i="1" s="1"/>
</calcChain>
</file>

<file path=xl/sharedStrings.xml><?xml version="1.0" encoding="utf-8"?>
<sst xmlns="http://schemas.openxmlformats.org/spreadsheetml/2006/main" count="350" uniqueCount="92">
  <si>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</si>
  <si>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</si>
  <si>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</si>
  <si>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</si>
  <si>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</si>
  <si>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</si>
  <si>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</si>
  <si>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</si>
  <si>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</si>
  <si>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</si>
  <si>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</si>
  <si>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</si>
  <si>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Жами:</t>
  </si>
  <si>
    <t>ФИО</t>
  </si>
  <si>
    <t>Т/№</t>
  </si>
  <si>
    <t>ШЕН ЖИЕ</t>
  </si>
  <si>
    <t>Ойлик иш хаки суммаси</t>
  </si>
  <si>
    <t>2014 йил</t>
  </si>
  <si>
    <t>ТОШЕВ ЭРГАШ</t>
  </si>
  <si>
    <t>ЭРГАШЕВ АКРАМ</t>
  </si>
  <si>
    <t>ПУ СЯОЖУН</t>
  </si>
  <si>
    <t>САПАРОВ ХУСАН ХОЛИЯРОВИЧ</t>
  </si>
  <si>
    <t>ЮЛДАШЕВ ШАРИФ</t>
  </si>
  <si>
    <t xml:space="preserve">ЮЛДАШЕВ АЛИШЕР </t>
  </si>
  <si>
    <t>ЖАНГ ЖИНЧИАНГ</t>
  </si>
  <si>
    <t>НИ ЧИНХЕ</t>
  </si>
  <si>
    <t>ШОДИЯРОВ ИХТИЁР АМИРОВИЧ</t>
  </si>
  <si>
    <t>НОМИРОВ ЖАХОНГИР ХУДОЁРОВИЧ</t>
  </si>
  <si>
    <t>ХУРСАНОВ МУЗАФФАР</t>
  </si>
  <si>
    <t>ШАКАРОВ ДИЛШОДЖОН</t>
  </si>
  <si>
    <t>МУЛКИЕВ ФАЙЗУЛЛА</t>
  </si>
  <si>
    <t>1 с базада 2013 йил</t>
  </si>
  <si>
    <t>ХУЖАЁРОВ СИРОЖИДДИН</t>
  </si>
  <si>
    <t>LIU FANG ХХХ</t>
  </si>
  <si>
    <t>WU ERHU</t>
  </si>
  <si>
    <t>WANG YANHUI</t>
  </si>
  <si>
    <t>БУРИЕВ САЛОХИДДИН</t>
  </si>
  <si>
    <t>2015 йил</t>
  </si>
  <si>
    <t>2016 йил</t>
  </si>
  <si>
    <t>HUANG JIANYUN</t>
  </si>
  <si>
    <t>2017 йил</t>
  </si>
  <si>
    <t>2018 йил</t>
  </si>
  <si>
    <t>2019 йил</t>
  </si>
  <si>
    <t>НОРМУРОДОВ ШАВКАТЖОН ЧОРШАНБИЕВИЧ</t>
  </si>
  <si>
    <t>NORBOYEV DOSTONJON PANJIO‘G‘LI</t>
  </si>
  <si>
    <t>QILICHOVA QURBONOY NOMOZOVNA</t>
  </si>
  <si>
    <t>ХУЖАМБЕРДИЕВА НОРЖОН ЭРКИНОВНА</t>
  </si>
  <si>
    <t>YIN ANG ХХХ</t>
  </si>
  <si>
    <t>ZHANG XINA ХХХ</t>
  </si>
  <si>
    <t>ZHOU ZHONG XING</t>
  </si>
  <si>
    <t>2020 йил</t>
  </si>
  <si>
    <t>БЕРДАНОВ АБДУГАББОР</t>
  </si>
  <si>
    <t>ЦЗИН ФЕНГПУ</t>
  </si>
  <si>
    <t>МАХКАМОВА АДОЛАТ</t>
  </si>
  <si>
    <t>ХАЙДАРОВ ЧОРИ</t>
  </si>
  <si>
    <t>Даромад солиги</t>
  </si>
  <si>
    <t>ИНПС</t>
  </si>
  <si>
    <t>Жами хисобланаган солик суммаси</t>
  </si>
  <si>
    <t>Хисобланган солик суммаси</t>
  </si>
  <si>
    <t>Тўланди</t>
  </si>
  <si>
    <t>Қолдиқ:</t>
  </si>
  <si>
    <t xml:space="preserve">Пенсия фонди </t>
  </si>
  <si>
    <t>ЕСП</t>
  </si>
  <si>
    <t>2013 йил</t>
  </si>
  <si>
    <t>LIU JIAN BANG</t>
  </si>
  <si>
    <t>YIN XIN HONG ХХХ</t>
  </si>
  <si>
    <t>Солиқ турлари</t>
  </si>
  <si>
    <t>"G'UZOR YI JI" ни солиқ тўловлари бўйича хисоб китоблар 2020 йил 15.07.2020 йил холатига</t>
  </si>
  <si>
    <t>增值税                                              Қўшимча қиймат солиғи</t>
  </si>
  <si>
    <t>营业税                                                 Ягона солиқ тўлови</t>
  </si>
  <si>
    <t>资源税                                                       Недра солиғи</t>
  </si>
  <si>
    <t>财产税                                               Юридик шахсларни мулк солиғи</t>
  </si>
  <si>
    <t>土地税                                               Юридик шахсларни ер солиғи</t>
  </si>
  <si>
    <t>社保                                             Ягона ижтимоий тўлов</t>
  </si>
  <si>
    <t>养老金                                                Пенсия фонди</t>
  </si>
  <si>
    <t>个人所得税                                           Даромад солиғи</t>
  </si>
  <si>
    <t>个人累计缴费                              Пенсия жамғармаси (ИНПС)</t>
  </si>
  <si>
    <t>税务部门发展基金扣除                              СОРЖга йигимлар</t>
  </si>
  <si>
    <t>水资源税                                                    Сув ресурслари солиги</t>
  </si>
  <si>
    <t>个人累计缴费滞纳金                    ИНПС пеняси</t>
  </si>
  <si>
    <t>年初欠税                                     Йил бошига қарздорлик</t>
  </si>
  <si>
    <t>财务年度                                                                          Хисобот йилида</t>
  </si>
  <si>
    <t>年底欠税                                       Йил охирига қарздорлик</t>
  </si>
  <si>
    <t>税款              Асосий қарздорлик</t>
  </si>
  <si>
    <t>滞纳金            Пеня</t>
  </si>
  <si>
    <t>税款计算 Хисобланган солиқ суммаси</t>
  </si>
  <si>
    <t>已缴纳的 税款 Тўланган солиқ суммаси</t>
  </si>
  <si>
    <t>滞纳金计算 Хисобланган пеня суммаси</t>
  </si>
  <si>
    <t>已缴纳的 滞纳金    Тўланган пеня суммаси</t>
  </si>
  <si>
    <t>税款              Асосий қарздорлик суммаси</t>
  </si>
  <si>
    <t>滞纳金             Пеня суммаси</t>
  </si>
  <si>
    <t>财务年度                                                                                                          Хисобот йилида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</si>
</sst>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b/>
      <sz val="9"/>
      <name val="Times New Roman"/>
      <family val="1"/>
      <charset val="204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4" xfId="0" applyFont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" fontId="3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/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4" fontId="5" fillId="4" borderId="1" xfId="0" applyNumberFormat="1" applyFont="1" applyFill="1" applyBorder="1" applyAlignment="1">
      <alignment horizontal="center" vertical="center" wrapText="1"/>
    </xf>
    <xf numFmtId="0" fontId="6" fillId="4" borderId="0" xfId="0" applyFont="1" applyFill="1"/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4" fontId="1" fillId="4" borderId="5" xfId="0" applyNumberFormat="1" applyFont="1" applyFill="1" applyBorder="1" applyAlignment="1">
      <alignment horizontal="center" vertical="center" wrapText="1"/>
    </xf>
    <xf numFmtId="4" fontId="1" fillId="4" borderId="1" xfId="0" applyNumberFormat="1" applyFont="1" applyFill="1" applyBorder="1" applyAlignment="1">
      <alignment horizontal="center" vertical="center" wrapText="1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0" fontId="2" fillId="3" borderId="0" xfId="0" applyFont="1" applyFill="1"/>
    <xf numFmtId="0" fontId="1" fillId="3" borderId="5" xfId="0" applyFont="1" applyFill="1" applyBorder="1" applyAlignment="1">
      <alignment horizontal="center" vertical="center" wrapText="1"/>
    </xf>
    <xf numFmtId="4" fontId="1" fillId="3" borderId="5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" fontId="3" fillId="5" borderId="1" xfId="0" applyNumberFormat="1" applyFont="1" applyFill="1" applyBorder="1" applyAlignment="1">
      <alignment horizontal="center" vertical="center" wrapText="1"/>
    </xf>
    <xf numFmtId="4" fontId="4" fillId="0" borderId="0" xfId="0" applyNumberFormat="1" applyFont="1"/>
    <xf numFmtId="0" fontId="7" fillId="0" borderId="0" xfId="0" applyFont="1"/>
    <xf numFmtId="0" fontId="1" fillId="0" borderId="0" xfId="0" applyFont="1" applyBorder="1" applyAlignment="1">
      <alignment vertical="center" wrapText="1"/>
    </xf>
    <xf numFmtId="4" fontId="0" fillId="0" borderId="0" xfId="0" applyNumberFormat="1"/>
    <xf numFmtId="4" fontId="3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4" fontId="3" fillId="0" borderId="9" xfId="0" applyNumberFormat="1" applyFont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 wrapText="1"/>
    </xf>
    <xf numFmtId="4" fontId="11" fillId="6" borderId="1" xfId="0" applyNumberFormat="1" applyFont="1" applyFill="1" applyBorder="1" applyAlignment="1">
      <alignment horizontal="center" vertical="center" wrapText="1"/>
    </xf>
    <xf numFmtId="4" fontId="11" fillId="0" borderId="1" xfId="0" applyNumberFormat="1" applyFont="1" applyFill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4" fontId="12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0" fillId="0" borderId="0" xfId="0"/>
    <xf numFmtId="0" fontId="0" fillId="0" borderId="0" xfId="0" applyBorder="1"/>
    <xf numFmtId="4" fontId="11" fillId="0" borderId="1" xfId="0" applyNumberFormat="1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25"/>
  <sheetViews>
    <sheetView tabSelected="1" view="pageBreakPreview" topLeftCell="A64" zoomScaleNormal="100" zoomScaleSheetLayoutView="100" workbookViewId="0">
      <selection activeCell="H102" sqref="H102"/>
    </sheetView>
  </sheetViews>
  <sheetFormatPr defaultRowHeight="15" x14ac:dyDescent="0.25"/>
  <cols>
    <col min="1" max="1" width="6.5703125" style="10" customWidth="1"/>
    <col min="2" max="2" width="32" style="10" customWidth="1"/>
    <col min="3" max="3" width="13.5703125" style="10" customWidth="1"/>
    <col min="4" max="8" width="11.7109375" style="10" customWidth="1"/>
    <col min="9" max="9" width="14.7109375" style="10" customWidth="1"/>
    <col min="10" max="14" width="11.7109375" style="10" customWidth="1"/>
    <col min="15" max="15" width="14" style="10" customWidth="1"/>
    <col min="16" max="19" width="11.7109375" style="10" customWidth="1"/>
    <col min="20" max="20" width="12.28515625" style="10" customWidth="1"/>
    <col min="21" max="21" width="14.42578125" style="10" customWidth="1"/>
    <col min="22" max="26" width="11.7109375" style="10" customWidth="1"/>
    <col min="27" max="27" width="13.42578125" style="10" customWidth="1"/>
    <col min="28" max="32" width="11.7109375" style="10" customWidth="1"/>
    <col min="33" max="33" width="15.140625" style="10" customWidth="1"/>
    <col min="34" max="38" width="11.7109375" style="10" customWidth="1"/>
    <col min="39" max="39" width="15" style="10" customWidth="1"/>
    <col min="40" max="44" width="11.7109375" style="10" customWidth="1"/>
    <col min="45" max="45" width="14.140625" style="10" customWidth="1"/>
    <col min="46" max="50" width="11.7109375" style="10" customWidth="1"/>
    <col min="51" max="51" width="13.5703125" style="10" customWidth="1"/>
    <col min="52" max="55" width="11.7109375" style="10" customWidth="1"/>
    <col min="56" max="56" width="13.42578125" style="10" customWidth="1"/>
    <col min="57" max="57" width="14.140625" style="10" customWidth="1"/>
    <col min="58" max="62" width="11.7109375" style="10" customWidth="1"/>
    <col min="63" max="63" width="14" style="10" customWidth="1"/>
    <col min="64" max="67" width="11.7109375" style="10" customWidth="1"/>
    <col min="68" max="68" width="12.28515625" style="10" customWidth="1"/>
    <col min="69" max="69" width="13.42578125" style="10" customWidth="1"/>
    <col min="70" max="73" width="11.7109375" style="10" customWidth="1"/>
    <col min="74" max="74" width="12.7109375" style="10" customWidth="1"/>
    <col min="75" max="75" width="13.42578125" style="10" customWidth="1"/>
    <col min="76" max="76" width="12.140625" style="10" customWidth="1"/>
    <col min="77" max="77" width="12.7109375" style="10" customWidth="1"/>
    <col min="78" max="78" width="11.28515625" style="10" customWidth="1"/>
    <col min="79" max="79" width="11.42578125" style="10" customWidth="1"/>
    <col min="80" max="80" width="15.28515625" style="10" customWidth="1"/>
  </cols>
  <sheetData>
    <row r="1" spans="1:80" x14ac:dyDescent="0.25">
      <c r="A1" s="66" t="s">
        <v>31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</row>
    <row r="2" spans="1:80" x14ac:dyDescent="0.25">
      <c r="A2" s="63" t="s">
        <v>14</v>
      </c>
      <c r="B2" s="63" t="s">
        <v>13</v>
      </c>
      <c r="C2" s="59" t="s">
        <v>0</v>
      </c>
      <c r="D2" s="60"/>
      <c r="E2" s="60"/>
      <c r="F2" s="60"/>
      <c r="G2" s="60"/>
      <c r="H2" s="62"/>
      <c r="I2" s="59" t="s">
        <v>1</v>
      </c>
      <c r="J2" s="60"/>
      <c r="K2" s="60"/>
      <c r="L2" s="60"/>
      <c r="M2" s="60"/>
      <c r="N2" s="62"/>
      <c r="O2" s="59" t="s">
        <v>2</v>
      </c>
      <c r="P2" s="60"/>
      <c r="Q2" s="60"/>
      <c r="R2" s="60"/>
      <c r="S2" s="60"/>
      <c r="T2" s="62"/>
      <c r="U2" s="59" t="s">
        <v>3</v>
      </c>
      <c r="V2" s="60"/>
      <c r="W2" s="60"/>
      <c r="X2" s="60"/>
      <c r="Y2" s="60"/>
      <c r="Z2" s="62"/>
      <c r="AA2" s="59" t="s">
        <v>4</v>
      </c>
      <c r="AB2" s="60"/>
      <c r="AC2" s="60"/>
      <c r="AD2" s="60"/>
      <c r="AE2" s="60"/>
      <c r="AF2" s="62"/>
      <c r="AG2" s="59" t="s">
        <v>5</v>
      </c>
      <c r="AH2" s="60"/>
      <c r="AI2" s="60"/>
      <c r="AJ2" s="60"/>
      <c r="AK2" s="60"/>
      <c r="AL2" s="62"/>
      <c r="AM2" s="59" t="s">
        <v>6</v>
      </c>
      <c r="AN2" s="60"/>
      <c r="AO2" s="60"/>
      <c r="AP2" s="60"/>
      <c r="AQ2" s="60"/>
      <c r="AR2" s="62"/>
      <c r="AS2" s="59" t="s">
        <v>7</v>
      </c>
      <c r="AT2" s="60"/>
      <c r="AU2" s="60"/>
      <c r="AV2" s="60"/>
      <c r="AW2" s="60"/>
      <c r="AX2" s="62"/>
      <c r="AY2" s="59" t="s">
        <v>8</v>
      </c>
      <c r="AZ2" s="60"/>
      <c r="BA2" s="60"/>
      <c r="BB2" s="60"/>
      <c r="BC2" s="60"/>
      <c r="BD2" s="62"/>
      <c r="BE2" s="59" t="s">
        <v>9</v>
      </c>
      <c r="BF2" s="60"/>
      <c r="BG2" s="60"/>
      <c r="BH2" s="60"/>
      <c r="BI2" s="60"/>
      <c r="BJ2" s="62"/>
      <c r="BK2" s="59" t="s">
        <v>10</v>
      </c>
      <c r="BL2" s="60"/>
      <c r="BM2" s="60"/>
      <c r="BN2" s="60"/>
      <c r="BO2" s="60"/>
      <c r="BP2" s="62"/>
      <c r="BQ2" s="59" t="s">
        <v>11</v>
      </c>
      <c r="BR2" s="60"/>
      <c r="BS2" s="60"/>
      <c r="BT2" s="60"/>
      <c r="BU2" s="60"/>
      <c r="BV2" s="62"/>
      <c r="BW2" s="59" t="s">
        <v>12</v>
      </c>
      <c r="BX2" s="60"/>
      <c r="BY2" s="60"/>
      <c r="BZ2" s="60"/>
      <c r="CA2" s="60"/>
      <c r="CB2" s="61"/>
    </row>
    <row r="3" spans="1:80" ht="18.75" customHeight="1" x14ac:dyDescent="0.25">
      <c r="A3" s="65"/>
      <c r="B3" s="65"/>
      <c r="C3" s="63" t="s">
        <v>16</v>
      </c>
      <c r="D3" s="59" t="s">
        <v>58</v>
      </c>
      <c r="E3" s="60"/>
      <c r="F3" s="60"/>
      <c r="G3" s="60"/>
      <c r="H3" s="62"/>
      <c r="I3" s="63" t="s">
        <v>16</v>
      </c>
      <c r="J3" s="59" t="s">
        <v>58</v>
      </c>
      <c r="K3" s="60"/>
      <c r="L3" s="60"/>
      <c r="M3" s="60"/>
      <c r="N3" s="62"/>
      <c r="O3" s="63" t="s">
        <v>16</v>
      </c>
      <c r="P3" s="59" t="s">
        <v>58</v>
      </c>
      <c r="Q3" s="60"/>
      <c r="R3" s="60"/>
      <c r="S3" s="60"/>
      <c r="T3" s="62"/>
      <c r="U3" s="63" t="s">
        <v>16</v>
      </c>
      <c r="V3" s="59" t="s">
        <v>58</v>
      </c>
      <c r="W3" s="60"/>
      <c r="X3" s="60"/>
      <c r="Y3" s="60"/>
      <c r="Z3" s="62"/>
      <c r="AA3" s="63" t="s">
        <v>16</v>
      </c>
      <c r="AB3" s="59" t="s">
        <v>58</v>
      </c>
      <c r="AC3" s="60"/>
      <c r="AD3" s="60"/>
      <c r="AE3" s="60"/>
      <c r="AF3" s="62"/>
      <c r="AG3" s="63" t="s">
        <v>16</v>
      </c>
      <c r="AH3" s="59" t="s">
        <v>58</v>
      </c>
      <c r="AI3" s="60"/>
      <c r="AJ3" s="60"/>
      <c r="AK3" s="60"/>
      <c r="AL3" s="62"/>
      <c r="AM3" s="63" t="s">
        <v>16</v>
      </c>
      <c r="AN3" s="59" t="s">
        <v>58</v>
      </c>
      <c r="AO3" s="60"/>
      <c r="AP3" s="60"/>
      <c r="AQ3" s="60"/>
      <c r="AR3" s="62"/>
      <c r="AS3" s="63" t="s">
        <v>16</v>
      </c>
      <c r="AT3" s="59" t="s">
        <v>58</v>
      </c>
      <c r="AU3" s="60"/>
      <c r="AV3" s="60"/>
      <c r="AW3" s="60"/>
      <c r="AX3" s="62"/>
      <c r="AY3" s="63" t="s">
        <v>16</v>
      </c>
      <c r="AZ3" s="59" t="s">
        <v>58</v>
      </c>
      <c r="BA3" s="60"/>
      <c r="BB3" s="60"/>
      <c r="BC3" s="60"/>
      <c r="BD3" s="62"/>
      <c r="BE3" s="63" t="s">
        <v>16</v>
      </c>
      <c r="BF3" s="59" t="s">
        <v>58</v>
      </c>
      <c r="BG3" s="60"/>
      <c r="BH3" s="60"/>
      <c r="BI3" s="60"/>
      <c r="BJ3" s="62"/>
      <c r="BK3" s="63" t="s">
        <v>16</v>
      </c>
      <c r="BL3" s="59" t="s">
        <v>58</v>
      </c>
      <c r="BM3" s="60"/>
      <c r="BN3" s="60"/>
      <c r="BO3" s="60"/>
      <c r="BP3" s="62"/>
      <c r="BQ3" s="63" t="s">
        <v>16</v>
      </c>
      <c r="BR3" s="59" t="s">
        <v>58</v>
      </c>
      <c r="BS3" s="60"/>
      <c r="BT3" s="60"/>
      <c r="BU3" s="60"/>
      <c r="BV3" s="62"/>
      <c r="BW3" s="63" t="s">
        <v>16</v>
      </c>
      <c r="BX3" s="59" t="s">
        <v>58</v>
      </c>
      <c r="BY3" s="60"/>
      <c r="BZ3" s="60"/>
      <c r="CA3" s="60"/>
      <c r="CB3" s="62"/>
    </row>
    <row r="4" spans="1:80" ht="51.75" customHeight="1" x14ac:dyDescent="0.25">
      <c r="A4" s="64"/>
      <c r="B4" s="64"/>
      <c r="C4" s="64"/>
      <c r="D4" s="12" t="s">
        <v>62</v>
      </c>
      <c r="E4" s="1" t="s">
        <v>55</v>
      </c>
      <c r="F4" s="1" t="s">
        <v>61</v>
      </c>
      <c r="G4" s="1" t="s">
        <v>56</v>
      </c>
      <c r="H4" s="1" t="s">
        <v>57</v>
      </c>
      <c r="I4" s="64"/>
      <c r="J4" s="12" t="s">
        <v>62</v>
      </c>
      <c r="K4" s="13" t="s">
        <v>55</v>
      </c>
      <c r="L4" s="13" t="s">
        <v>61</v>
      </c>
      <c r="M4" s="13" t="s">
        <v>56</v>
      </c>
      <c r="N4" s="13" t="s">
        <v>57</v>
      </c>
      <c r="O4" s="64"/>
      <c r="P4" s="12" t="s">
        <v>62</v>
      </c>
      <c r="Q4" s="13" t="s">
        <v>55</v>
      </c>
      <c r="R4" s="13" t="s">
        <v>61</v>
      </c>
      <c r="S4" s="13" t="s">
        <v>56</v>
      </c>
      <c r="T4" s="13" t="s">
        <v>57</v>
      </c>
      <c r="U4" s="64"/>
      <c r="V4" s="12" t="s">
        <v>62</v>
      </c>
      <c r="W4" s="13" t="s">
        <v>55</v>
      </c>
      <c r="X4" s="13" t="s">
        <v>61</v>
      </c>
      <c r="Y4" s="13" t="s">
        <v>56</v>
      </c>
      <c r="Z4" s="13" t="s">
        <v>57</v>
      </c>
      <c r="AA4" s="64"/>
      <c r="AB4" s="12" t="s">
        <v>62</v>
      </c>
      <c r="AC4" s="13" t="s">
        <v>55</v>
      </c>
      <c r="AD4" s="13" t="s">
        <v>61</v>
      </c>
      <c r="AE4" s="13" t="s">
        <v>56</v>
      </c>
      <c r="AF4" s="13" t="s">
        <v>57</v>
      </c>
      <c r="AG4" s="64"/>
      <c r="AH4" s="12" t="s">
        <v>62</v>
      </c>
      <c r="AI4" s="13" t="s">
        <v>55</v>
      </c>
      <c r="AJ4" s="13" t="s">
        <v>61</v>
      </c>
      <c r="AK4" s="13" t="s">
        <v>56</v>
      </c>
      <c r="AL4" s="13" t="s">
        <v>57</v>
      </c>
      <c r="AM4" s="64"/>
      <c r="AN4" s="12" t="s">
        <v>62</v>
      </c>
      <c r="AO4" s="13" t="s">
        <v>55</v>
      </c>
      <c r="AP4" s="13" t="s">
        <v>61</v>
      </c>
      <c r="AQ4" s="13" t="s">
        <v>56</v>
      </c>
      <c r="AR4" s="13" t="s">
        <v>57</v>
      </c>
      <c r="AS4" s="64"/>
      <c r="AT4" s="12" t="s">
        <v>62</v>
      </c>
      <c r="AU4" s="13" t="s">
        <v>55</v>
      </c>
      <c r="AV4" s="13" t="s">
        <v>61</v>
      </c>
      <c r="AW4" s="13" t="s">
        <v>56</v>
      </c>
      <c r="AX4" s="13" t="s">
        <v>57</v>
      </c>
      <c r="AY4" s="64"/>
      <c r="AZ4" s="12" t="s">
        <v>62</v>
      </c>
      <c r="BA4" s="13" t="s">
        <v>55</v>
      </c>
      <c r="BB4" s="13" t="s">
        <v>61</v>
      </c>
      <c r="BC4" s="13" t="s">
        <v>56</v>
      </c>
      <c r="BD4" s="13" t="s">
        <v>57</v>
      </c>
      <c r="BE4" s="64"/>
      <c r="BF4" s="12" t="s">
        <v>62</v>
      </c>
      <c r="BG4" s="13" t="s">
        <v>55</v>
      </c>
      <c r="BH4" s="13" t="s">
        <v>61</v>
      </c>
      <c r="BI4" s="13" t="s">
        <v>56</v>
      </c>
      <c r="BJ4" s="13" t="s">
        <v>57</v>
      </c>
      <c r="BK4" s="64"/>
      <c r="BL4" s="12" t="s">
        <v>62</v>
      </c>
      <c r="BM4" s="13" t="s">
        <v>55</v>
      </c>
      <c r="BN4" s="13" t="s">
        <v>61</v>
      </c>
      <c r="BO4" s="13" t="s">
        <v>56</v>
      </c>
      <c r="BP4" s="13" t="s">
        <v>57</v>
      </c>
      <c r="BQ4" s="64"/>
      <c r="BR4" s="12" t="s">
        <v>62</v>
      </c>
      <c r="BS4" s="13" t="s">
        <v>55</v>
      </c>
      <c r="BT4" s="13" t="s">
        <v>61</v>
      </c>
      <c r="BU4" s="13" t="s">
        <v>56</v>
      </c>
      <c r="BV4" s="13" t="s">
        <v>57</v>
      </c>
      <c r="BW4" s="64"/>
      <c r="BX4" s="12" t="s">
        <v>62</v>
      </c>
      <c r="BY4" s="13" t="s">
        <v>55</v>
      </c>
      <c r="BZ4" s="13" t="s">
        <v>61</v>
      </c>
      <c r="CA4" s="13" t="s">
        <v>56</v>
      </c>
      <c r="CB4" s="13" t="s">
        <v>57</v>
      </c>
    </row>
    <row r="5" spans="1:80" s="2" customFormat="1" ht="12.75" x14ac:dyDescent="0.2">
      <c r="A5" s="3"/>
      <c r="B5" s="11" t="s">
        <v>63</v>
      </c>
      <c r="C5" s="1"/>
      <c r="D5" s="13"/>
      <c r="E5" s="1"/>
      <c r="F5" s="1"/>
      <c r="G5" s="1"/>
      <c r="H5" s="1"/>
      <c r="I5" s="1"/>
      <c r="J5" s="13"/>
      <c r="K5" s="1"/>
      <c r="L5" s="1"/>
      <c r="M5" s="1"/>
      <c r="N5" s="1"/>
      <c r="O5" s="1"/>
      <c r="P5" s="13"/>
      <c r="Q5" s="1"/>
      <c r="R5" s="1"/>
      <c r="S5" s="1"/>
      <c r="T5" s="1"/>
      <c r="U5" s="1"/>
      <c r="V5" s="13"/>
      <c r="W5" s="1"/>
      <c r="X5" s="1"/>
      <c r="Y5" s="1"/>
      <c r="Z5" s="1"/>
      <c r="AA5" s="1"/>
      <c r="AB5" s="13"/>
      <c r="AC5" s="1"/>
      <c r="AD5" s="1"/>
      <c r="AE5" s="1"/>
      <c r="AF5" s="1"/>
      <c r="AG5" s="1"/>
      <c r="AH5" s="13"/>
      <c r="AI5" s="1"/>
      <c r="AJ5" s="1"/>
      <c r="AK5" s="1"/>
      <c r="AL5" s="1"/>
      <c r="AM5" s="1"/>
      <c r="AN5" s="13"/>
      <c r="AO5" s="1"/>
      <c r="AP5" s="1"/>
      <c r="AQ5" s="1"/>
      <c r="AR5" s="1"/>
      <c r="AS5" s="1"/>
      <c r="AT5" s="13"/>
      <c r="AU5" s="1"/>
      <c r="AV5" s="1"/>
      <c r="AW5" s="1"/>
      <c r="AX5" s="1"/>
      <c r="AY5" s="1"/>
      <c r="AZ5" s="13"/>
      <c r="BA5" s="1"/>
      <c r="BB5" s="1"/>
      <c r="BC5" s="1"/>
      <c r="BD5" s="1"/>
      <c r="BE5" s="1"/>
      <c r="BF5" s="13"/>
      <c r="BG5" s="1"/>
      <c r="BH5" s="1"/>
      <c r="BI5" s="1"/>
      <c r="BJ5" s="1"/>
      <c r="BK5" s="1"/>
      <c r="BL5" s="13"/>
      <c r="BM5" s="1"/>
      <c r="BN5" s="1"/>
      <c r="BO5" s="1"/>
      <c r="BP5" s="1"/>
      <c r="BQ5" s="1"/>
      <c r="BR5" s="13"/>
      <c r="BS5" s="1"/>
      <c r="BT5" s="1"/>
      <c r="BU5" s="1"/>
      <c r="BV5" s="1"/>
      <c r="BW5" s="1"/>
      <c r="BX5" s="13"/>
      <c r="BY5" s="1"/>
      <c r="BZ5" s="1"/>
      <c r="CA5" s="1"/>
      <c r="CB5" s="1"/>
    </row>
    <row r="6" spans="1:80" s="2" customFormat="1" ht="12.75" x14ac:dyDescent="0.2">
      <c r="A6" s="1">
        <v>1</v>
      </c>
      <c r="B6" s="5" t="s">
        <v>15</v>
      </c>
      <c r="C6" s="6">
        <v>500000</v>
      </c>
      <c r="D6" s="6">
        <f>C6*0.25</f>
        <v>125000</v>
      </c>
      <c r="E6" s="6">
        <v>48164</v>
      </c>
      <c r="F6" s="6">
        <f>+C6*0.06</f>
        <v>30000</v>
      </c>
      <c r="G6" s="6">
        <v>0</v>
      </c>
      <c r="H6" s="6">
        <f>+E6+F6+G6</f>
        <v>78164</v>
      </c>
      <c r="I6" s="6">
        <v>500000</v>
      </c>
      <c r="J6" s="6">
        <f>I6*0.25</f>
        <v>125000</v>
      </c>
      <c r="K6" s="6">
        <v>48164</v>
      </c>
      <c r="L6" s="6">
        <f>+I6*0.06</f>
        <v>30000</v>
      </c>
      <c r="M6" s="6"/>
      <c r="N6" s="6">
        <f>K6+L6+M6</f>
        <v>78164</v>
      </c>
      <c r="O6" s="6">
        <v>500000</v>
      </c>
      <c r="P6" s="6">
        <f>O6*0.25</f>
        <v>125000</v>
      </c>
      <c r="Q6" s="6">
        <v>48164</v>
      </c>
      <c r="R6" s="6">
        <f>+O6*0.06</f>
        <v>30000</v>
      </c>
      <c r="S6" s="6"/>
      <c r="T6" s="6">
        <f>Q6+R6+S6</f>
        <v>78164</v>
      </c>
      <c r="U6" s="6">
        <v>500000</v>
      </c>
      <c r="V6" s="6">
        <f>U6*0.25</f>
        <v>125000</v>
      </c>
      <c r="W6" s="6">
        <v>48164</v>
      </c>
      <c r="X6" s="6">
        <f>+U6*0.06</f>
        <v>30000</v>
      </c>
      <c r="Y6" s="6"/>
      <c r="Z6" s="6">
        <f>W6+X6+Y6</f>
        <v>78164</v>
      </c>
      <c r="AA6" s="6">
        <v>500000</v>
      </c>
      <c r="AB6" s="6">
        <f>AA6*0.25</f>
        <v>125000</v>
      </c>
      <c r="AC6" s="6">
        <v>48164</v>
      </c>
      <c r="AD6" s="6">
        <f>+AA6*0.06</f>
        <v>30000</v>
      </c>
      <c r="AE6" s="6"/>
      <c r="AF6" s="6">
        <f>AC6+AD6+AE6</f>
        <v>78164</v>
      </c>
      <c r="AG6" s="6">
        <v>500000</v>
      </c>
      <c r="AH6" s="6">
        <f>AG6*0.25</f>
        <v>125000</v>
      </c>
      <c r="AI6" s="6">
        <v>48164</v>
      </c>
      <c r="AJ6" s="6">
        <f>+AG6*0.06</f>
        <v>30000</v>
      </c>
      <c r="AK6" s="6"/>
      <c r="AL6" s="6">
        <f>AI6+AJ6+AK6</f>
        <v>78164</v>
      </c>
      <c r="AM6" s="6">
        <v>500000</v>
      </c>
      <c r="AN6" s="6">
        <f>AM6*0.25</f>
        <v>125000</v>
      </c>
      <c r="AO6" s="6">
        <v>48164</v>
      </c>
      <c r="AP6" s="6">
        <f>+AM6*0.06</f>
        <v>30000</v>
      </c>
      <c r="AQ6" s="6"/>
      <c r="AR6" s="6">
        <f>AO6+AP6+AQ6</f>
        <v>78164</v>
      </c>
      <c r="AS6" s="6">
        <v>480769.23</v>
      </c>
      <c r="AT6" s="6">
        <f>AS6*0.25</f>
        <v>120192.3075</v>
      </c>
      <c r="AU6" s="6">
        <v>45087.8</v>
      </c>
      <c r="AV6" s="6">
        <f>+AS6*0.06</f>
        <v>28846.153799999996</v>
      </c>
      <c r="AW6" s="6"/>
      <c r="AX6" s="6">
        <f>AU6+AV6+AW6</f>
        <v>73933.953800000003</v>
      </c>
      <c r="AY6" s="6">
        <v>500000</v>
      </c>
      <c r="AZ6" s="6">
        <f>AY6*0.25</f>
        <v>125000</v>
      </c>
      <c r="BA6" s="6">
        <v>48164</v>
      </c>
      <c r="BB6" s="6">
        <f>+AY6*0.06</f>
        <v>30000</v>
      </c>
      <c r="BC6" s="6"/>
      <c r="BD6" s="6">
        <f>BA6+BB6+BC6</f>
        <v>78164</v>
      </c>
      <c r="BE6" s="6">
        <v>500000</v>
      </c>
      <c r="BF6" s="6">
        <f>BE6*0.25</f>
        <v>125000</v>
      </c>
      <c r="BG6" s="6">
        <v>48164</v>
      </c>
      <c r="BH6" s="6">
        <f>+BE6*0.06</f>
        <v>30000</v>
      </c>
      <c r="BI6" s="6"/>
      <c r="BJ6" s="6">
        <f>BG6+BH6+BI6</f>
        <v>78164</v>
      </c>
      <c r="BK6" s="6">
        <v>500000</v>
      </c>
      <c r="BL6" s="6">
        <f>BK6*0.25</f>
        <v>125000</v>
      </c>
      <c r="BM6" s="6">
        <v>48164</v>
      </c>
      <c r="BN6" s="6">
        <f>+BK6*0.06</f>
        <v>30000</v>
      </c>
      <c r="BO6" s="6"/>
      <c r="BP6" s="6">
        <f>BM6+BN6+BO6</f>
        <v>78164</v>
      </c>
      <c r="BQ6" s="6">
        <v>500000</v>
      </c>
      <c r="BR6" s="6">
        <f>BQ6*0.25</f>
        <v>125000</v>
      </c>
      <c r="BS6" s="6">
        <v>48164</v>
      </c>
      <c r="BT6" s="6">
        <f>+BQ6*0.06</f>
        <v>30000</v>
      </c>
      <c r="BU6" s="6"/>
      <c r="BV6" s="6">
        <f>BS6+BT6+BU6</f>
        <v>78164</v>
      </c>
      <c r="BW6" s="7">
        <f>C6+I6+O6+U6+AA6+AG6+AM6+AS6+AY6+BE6+BK6+BQ6</f>
        <v>5980769.2300000004</v>
      </c>
      <c r="BX6" s="7">
        <f>D6+J6+P6+V6+AB6+AH6+AN6+AT6+AZ6+BF6+BL6+BR6</f>
        <v>1495192.3075000001</v>
      </c>
      <c r="BY6" s="7">
        <f>E6+K6+Q6+W6+AC6+AI6+AO6+AU6+BA6+BG6+BM6+BS6</f>
        <v>574891.80000000005</v>
      </c>
      <c r="BZ6" s="7">
        <f>F6+L6+R6+X6+AD6+AJ6+AP6+AV6+BB6+BH6+BN6+BT6</f>
        <v>358846.15379999997</v>
      </c>
      <c r="CA6" s="7">
        <f>G6+M6+S6+Y6+AE6+AK6+AQ6+AW6+BC6+BI6+BO6+BU6</f>
        <v>0</v>
      </c>
      <c r="CB6" s="7">
        <f>BY6+BZ6+CA6</f>
        <v>933737.95380000002</v>
      </c>
    </row>
    <row r="7" spans="1:80" s="2" customFormat="1" ht="12.75" x14ac:dyDescent="0.2">
      <c r="A7" s="8"/>
      <c r="B7" s="9" t="s">
        <v>12</v>
      </c>
      <c r="C7" s="4">
        <f t="shared" ref="C7:BF7" si="0">C6</f>
        <v>500000</v>
      </c>
      <c r="D7" s="4">
        <f t="shared" si="0"/>
        <v>125000</v>
      </c>
      <c r="E7" s="4">
        <f t="shared" si="0"/>
        <v>48164</v>
      </c>
      <c r="F7" s="4">
        <f t="shared" si="0"/>
        <v>30000</v>
      </c>
      <c r="G7" s="4">
        <f t="shared" si="0"/>
        <v>0</v>
      </c>
      <c r="H7" s="4">
        <f t="shared" si="0"/>
        <v>78164</v>
      </c>
      <c r="I7" s="4">
        <f t="shared" si="0"/>
        <v>500000</v>
      </c>
      <c r="J7" s="4">
        <f t="shared" si="0"/>
        <v>125000</v>
      </c>
      <c r="K7" s="4">
        <f t="shared" si="0"/>
        <v>48164</v>
      </c>
      <c r="L7" s="4">
        <f t="shared" si="0"/>
        <v>30000</v>
      </c>
      <c r="M7" s="4">
        <f t="shared" si="0"/>
        <v>0</v>
      </c>
      <c r="N7" s="4">
        <f t="shared" si="0"/>
        <v>78164</v>
      </c>
      <c r="O7" s="4">
        <f t="shared" si="0"/>
        <v>500000</v>
      </c>
      <c r="P7" s="4">
        <f t="shared" si="0"/>
        <v>125000</v>
      </c>
      <c r="Q7" s="4">
        <f t="shared" si="0"/>
        <v>48164</v>
      </c>
      <c r="R7" s="4">
        <f t="shared" si="0"/>
        <v>30000</v>
      </c>
      <c r="S7" s="4">
        <f t="shared" si="0"/>
        <v>0</v>
      </c>
      <c r="T7" s="4">
        <f t="shared" si="0"/>
        <v>78164</v>
      </c>
      <c r="U7" s="4">
        <f t="shared" si="0"/>
        <v>500000</v>
      </c>
      <c r="V7" s="4">
        <f t="shared" si="0"/>
        <v>125000</v>
      </c>
      <c r="W7" s="4">
        <f t="shared" si="0"/>
        <v>48164</v>
      </c>
      <c r="X7" s="4">
        <f t="shared" si="0"/>
        <v>30000</v>
      </c>
      <c r="Y7" s="4">
        <f t="shared" si="0"/>
        <v>0</v>
      </c>
      <c r="Z7" s="4">
        <f t="shared" si="0"/>
        <v>78164</v>
      </c>
      <c r="AA7" s="4">
        <f t="shared" si="0"/>
        <v>500000</v>
      </c>
      <c r="AB7" s="4">
        <f t="shared" si="0"/>
        <v>125000</v>
      </c>
      <c r="AC7" s="4">
        <f t="shared" si="0"/>
        <v>48164</v>
      </c>
      <c r="AD7" s="4">
        <f t="shared" si="0"/>
        <v>30000</v>
      </c>
      <c r="AE7" s="4">
        <f t="shared" si="0"/>
        <v>0</v>
      </c>
      <c r="AF7" s="4">
        <f t="shared" si="0"/>
        <v>78164</v>
      </c>
      <c r="AG7" s="4">
        <f t="shared" si="0"/>
        <v>500000</v>
      </c>
      <c r="AH7" s="4">
        <f t="shared" si="0"/>
        <v>125000</v>
      </c>
      <c r="AI7" s="4">
        <f t="shared" si="0"/>
        <v>48164</v>
      </c>
      <c r="AJ7" s="4">
        <f t="shared" si="0"/>
        <v>30000</v>
      </c>
      <c r="AK7" s="4">
        <f t="shared" si="0"/>
        <v>0</v>
      </c>
      <c r="AL7" s="4">
        <f t="shared" si="0"/>
        <v>78164</v>
      </c>
      <c r="AM7" s="4">
        <f t="shared" si="0"/>
        <v>500000</v>
      </c>
      <c r="AN7" s="4">
        <f t="shared" si="0"/>
        <v>125000</v>
      </c>
      <c r="AO7" s="4">
        <f t="shared" si="0"/>
        <v>48164</v>
      </c>
      <c r="AP7" s="4">
        <f t="shared" si="0"/>
        <v>30000</v>
      </c>
      <c r="AQ7" s="4">
        <f t="shared" si="0"/>
        <v>0</v>
      </c>
      <c r="AR7" s="4">
        <f t="shared" si="0"/>
        <v>78164</v>
      </c>
      <c r="AS7" s="4">
        <f t="shared" si="0"/>
        <v>480769.23</v>
      </c>
      <c r="AT7" s="4">
        <f t="shared" si="0"/>
        <v>120192.3075</v>
      </c>
      <c r="AU7" s="4">
        <f t="shared" si="0"/>
        <v>45087.8</v>
      </c>
      <c r="AV7" s="4">
        <f t="shared" si="0"/>
        <v>28846.153799999996</v>
      </c>
      <c r="AW7" s="4">
        <f t="shared" si="0"/>
        <v>0</v>
      </c>
      <c r="AX7" s="4">
        <f t="shared" si="0"/>
        <v>73933.953800000003</v>
      </c>
      <c r="AY7" s="4">
        <f t="shared" si="0"/>
        <v>500000</v>
      </c>
      <c r="AZ7" s="4">
        <f t="shared" si="0"/>
        <v>125000</v>
      </c>
      <c r="BA7" s="4">
        <f t="shared" si="0"/>
        <v>48164</v>
      </c>
      <c r="BB7" s="4">
        <f t="shared" si="0"/>
        <v>30000</v>
      </c>
      <c r="BC7" s="4">
        <f t="shared" si="0"/>
        <v>0</v>
      </c>
      <c r="BD7" s="4">
        <f t="shared" si="0"/>
        <v>78164</v>
      </c>
      <c r="BE7" s="4">
        <f t="shared" si="0"/>
        <v>500000</v>
      </c>
      <c r="BF7" s="4">
        <f t="shared" si="0"/>
        <v>125000</v>
      </c>
      <c r="BG7" s="4">
        <f>BG6</f>
        <v>48164</v>
      </c>
      <c r="BH7" s="4">
        <f t="shared" ref="BH7:CB7" si="1">BH6</f>
        <v>30000</v>
      </c>
      <c r="BI7" s="4">
        <f t="shared" si="1"/>
        <v>0</v>
      </c>
      <c r="BJ7" s="4">
        <f t="shared" si="1"/>
        <v>78164</v>
      </c>
      <c r="BK7" s="4">
        <f t="shared" si="1"/>
        <v>500000</v>
      </c>
      <c r="BL7" s="4">
        <f t="shared" si="1"/>
        <v>125000</v>
      </c>
      <c r="BM7" s="4">
        <f t="shared" si="1"/>
        <v>48164</v>
      </c>
      <c r="BN7" s="4">
        <f t="shared" si="1"/>
        <v>30000</v>
      </c>
      <c r="BO7" s="4">
        <f t="shared" si="1"/>
        <v>0</v>
      </c>
      <c r="BP7" s="4">
        <f t="shared" si="1"/>
        <v>78164</v>
      </c>
      <c r="BQ7" s="4">
        <f t="shared" si="1"/>
        <v>500000</v>
      </c>
      <c r="BR7" s="4">
        <f t="shared" si="1"/>
        <v>125000</v>
      </c>
      <c r="BS7" s="4">
        <f t="shared" si="1"/>
        <v>48164</v>
      </c>
      <c r="BT7" s="4">
        <f t="shared" si="1"/>
        <v>30000</v>
      </c>
      <c r="BU7" s="4">
        <f t="shared" si="1"/>
        <v>0</v>
      </c>
      <c r="BV7" s="4">
        <f t="shared" si="1"/>
        <v>78164</v>
      </c>
      <c r="BW7" s="4">
        <f t="shared" si="1"/>
        <v>5980769.2300000004</v>
      </c>
      <c r="BX7" s="4">
        <f t="shared" si="1"/>
        <v>1495192.3075000001</v>
      </c>
      <c r="BY7" s="4">
        <f t="shared" si="1"/>
        <v>574891.80000000005</v>
      </c>
      <c r="BZ7" s="4">
        <f t="shared" si="1"/>
        <v>358846.15379999997</v>
      </c>
      <c r="CA7" s="4">
        <f t="shared" si="1"/>
        <v>0</v>
      </c>
      <c r="CB7" s="4">
        <f t="shared" si="1"/>
        <v>933737.95380000002</v>
      </c>
    </row>
    <row r="8" spans="1:80" s="29" customFormat="1" ht="12.75" x14ac:dyDescent="0.2">
      <c r="A8" s="26"/>
      <c r="B8" s="27" t="s">
        <v>59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f>E8+F8+G8</f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f>K8+L8+M8</f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f>Q8+R8+S8</f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f>W8+X8+Y8</f>
        <v>0</v>
      </c>
      <c r="AA8" s="28">
        <v>0</v>
      </c>
      <c r="AB8" s="28">
        <v>145454.75</v>
      </c>
      <c r="AC8" s="28">
        <v>100727.33</v>
      </c>
      <c r="AD8" s="28">
        <v>10909.2</v>
      </c>
      <c r="AE8" s="28">
        <v>1818.19</v>
      </c>
      <c r="AF8" s="28">
        <f>AC8+AD8+AE8</f>
        <v>113454.72</v>
      </c>
      <c r="AG8" s="28">
        <v>0</v>
      </c>
      <c r="AH8" s="28">
        <v>145454.75</v>
      </c>
      <c r="AI8" s="28">
        <v>100727.33</v>
      </c>
      <c r="AJ8" s="28">
        <v>10909.2</v>
      </c>
      <c r="AK8" s="28">
        <v>1818.19</v>
      </c>
      <c r="AL8" s="28">
        <f>AI8+AJ8+AK8</f>
        <v>113454.72</v>
      </c>
      <c r="AM8" s="28">
        <v>0</v>
      </c>
      <c r="AN8" s="28">
        <v>427201.84</v>
      </c>
      <c r="AO8" s="28">
        <v>100727.33</v>
      </c>
      <c r="AP8" s="28">
        <v>10909.2</v>
      </c>
      <c r="AQ8" s="28">
        <v>1818.19</v>
      </c>
      <c r="AR8" s="28">
        <f>AO8+AP8+AQ8</f>
        <v>113454.72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f>AU8+AV8+AW8</f>
        <v>0</v>
      </c>
      <c r="AY8" s="28">
        <v>0</v>
      </c>
      <c r="AZ8" s="28">
        <v>290909.5</v>
      </c>
      <c r="BA8" s="28">
        <f>41401.57+160053.09</f>
        <v>201454.66</v>
      </c>
      <c r="BB8" s="28">
        <v>21818.400000000001</v>
      </c>
      <c r="BC8" s="28">
        <v>3636.38</v>
      </c>
      <c r="BD8" s="28">
        <f>+BA8+BB8+BC8</f>
        <v>226909.44</v>
      </c>
      <c r="BE8" s="28">
        <v>0</v>
      </c>
      <c r="BF8" s="28">
        <v>671018.35</v>
      </c>
      <c r="BG8" s="28">
        <v>0</v>
      </c>
      <c r="BH8" s="28">
        <v>180395</v>
      </c>
      <c r="BI8" s="28">
        <v>30000</v>
      </c>
      <c r="BJ8" s="28">
        <f>+BG8+BH8+BI8</f>
        <v>210395</v>
      </c>
      <c r="BK8" s="28">
        <v>0</v>
      </c>
      <c r="BL8" s="28">
        <v>180000</v>
      </c>
      <c r="BM8" s="28">
        <v>0</v>
      </c>
      <c r="BN8" s="28">
        <v>60000</v>
      </c>
      <c r="BO8" s="28">
        <v>10000</v>
      </c>
      <c r="BP8" s="28">
        <f>+BM8+BN8+BO8</f>
        <v>70000</v>
      </c>
      <c r="BQ8" s="28">
        <v>0</v>
      </c>
      <c r="BR8" s="28">
        <v>0</v>
      </c>
      <c r="BS8" s="28">
        <v>0</v>
      </c>
      <c r="BT8" s="28">
        <v>0</v>
      </c>
      <c r="BU8" s="28">
        <v>0</v>
      </c>
      <c r="BV8" s="28">
        <f>+BS8+BT8+BU8</f>
        <v>0</v>
      </c>
      <c r="BW8" s="28">
        <f>C8+I8+O8+U8+AA8+AG8+AM8+AS8+AY8+BE8+BK8+BQ8</f>
        <v>0</v>
      </c>
      <c r="BX8" s="28">
        <f>D8+J8+P8+V8+AB8+AH8+AN8+AT8+AZ8+BF8+BL8+BR8</f>
        <v>1860039.19</v>
      </c>
      <c r="BY8" s="28">
        <f>E8+K8+Q8+W8+AC8+AI8+AO8+AU8+BA8+BG8+BM8+BS8</f>
        <v>503636.65</v>
      </c>
      <c r="BZ8" s="28">
        <f>F8+L8+R8+X8+AD8+AJ8+AP8+AV8+BB8+BH8+BN8+BT8</f>
        <v>294941</v>
      </c>
      <c r="CA8" s="28">
        <f>G8+M8+S8+Y8+AE8+AK8+AQ8+AW8+BC8+BI8+BO8+BU8</f>
        <v>49090.95</v>
      </c>
      <c r="CB8" s="28">
        <f>BY8+BZ8+CA8</f>
        <v>847668.6</v>
      </c>
    </row>
    <row r="9" spans="1:80" s="20" customFormat="1" ht="12.75" x14ac:dyDescent="0.2">
      <c r="A9" s="17"/>
      <c r="B9" s="18" t="s">
        <v>60</v>
      </c>
      <c r="C9" s="19">
        <f>C7-C8</f>
        <v>500000</v>
      </c>
      <c r="D9" s="19">
        <f t="shared" ref="D9:H9" si="2">D7-D8</f>
        <v>125000</v>
      </c>
      <c r="E9" s="19">
        <f t="shared" si="2"/>
        <v>48164</v>
      </c>
      <c r="F9" s="19">
        <f t="shared" si="2"/>
        <v>30000</v>
      </c>
      <c r="G9" s="19">
        <f t="shared" si="2"/>
        <v>0</v>
      </c>
      <c r="H9" s="19">
        <f t="shared" si="2"/>
        <v>78164</v>
      </c>
      <c r="I9" s="19">
        <f t="shared" ref="I9:AY9" si="3">C9+I7-I8</f>
        <v>1000000</v>
      </c>
      <c r="J9" s="19">
        <f t="shared" si="3"/>
        <v>250000</v>
      </c>
      <c r="K9" s="19">
        <f t="shared" si="3"/>
        <v>96328</v>
      </c>
      <c r="L9" s="19">
        <f t="shared" si="3"/>
        <v>60000</v>
      </c>
      <c r="M9" s="19">
        <f t="shared" si="3"/>
        <v>0</v>
      </c>
      <c r="N9" s="19">
        <f t="shared" si="3"/>
        <v>156328</v>
      </c>
      <c r="O9" s="19">
        <f t="shared" si="3"/>
        <v>1500000</v>
      </c>
      <c r="P9" s="19">
        <f t="shared" si="3"/>
        <v>375000</v>
      </c>
      <c r="Q9" s="19">
        <f t="shared" si="3"/>
        <v>144492</v>
      </c>
      <c r="R9" s="19">
        <f t="shared" si="3"/>
        <v>90000</v>
      </c>
      <c r="S9" s="19">
        <f t="shared" si="3"/>
        <v>0</v>
      </c>
      <c r="T9" s="19">
        <f t="shared" si="3"/>
        <v>234492</v>
      </c>
      <c r="U9" s="19">
        <f t="shared" si="3"/>
        <v>2000000</v>
      </c>
      <c r="V9" s="19">
        <f t="shared" si="3"/>
        <v>500000</v>
      </c>
      <c r="W9" s="19">
        <f t="shared" si="3"/>
        <v>192656</v>
      </c>
      <c r="X9" s="19">
        <f t="shared" si="3"/>
        <v>120000</v>
      </c>
      <c r="Y9" s="19">
        <f t="shared" si="3"/>
        <v>0</v>
      </c>
      <c r="Z9" s="19">
        <f t="shared" si="3"/>
        <v>312656</v>
      </c>
      <c r="AA9" s="19">
        <f t="shared" si="3"/>
        <v>2500000</v>
      </c>
      <c r="AB9" s="19">
        <f t="shared" si="3"/>
        <v>479545.25</v>
      </c>
      <c r="AC9" s="19">
        <f t="shared" si="3"/>
        <v>140092.66999999998</v>
      </c>
      <c r="AD9" s="19">
        <f t="shared" si="3"/>
        <v>139090.79999999999</v>
      </c>
      <c r="AE9" s="19">
        <f t="shared" si="3"/>
        <v>-1818.19</v>
      </c>
      <c r="AF9" s="19">
        <f t="shared" si="3"/>
        <v>277365.28000000003</v>
      </c>
      <c r="AG9" s="19">
        <f t="shared" si="3"/>
        <v>3000000</v>
      </c>
      <c r="AH9" s="19">
        <f t="shared" si="3"/>
        <v>459090.5</v>
      </c>
      <c r="AI9" s="19">
        <f t="shared" si="3"/>
        <v>87529.339999999982</v>
      </c>
      <c r="AJ9" s="19">
        <f t="shared" si="3"/>
        <v>158181.59999999998</v>
      </c>
      <c r="AK9" s="19">
        <f t="shared" si="3"/>
        <v>-3636.38</v>
      </c>
      <c r="AL9" s="19">
        <f t="shared" si="3"/>
        <v>242074.56000000003</v>
      </c>
      <c r="AM9" s="19">
        <f t="shared" si="3"/>
        <v>3500000</v>
      </c>
      <c r="AN9" s="19">
        <f t="shared" si="3"/>
        <v>156888.65999999997</v>
      </c>
      <c r="AO9" s="19">
        <f t="shared" si="3"/>
        <v>34966.009999999966</v>
      </c>
      <c r="AP9" s="19">
        <f t="shared" si="3"/>
        <v>177272.39999999997</v>
      </c>
      <c r="AQ9" s="19">
        <f t="shared" si="3"/>
        <v>-5454.57</v>
      </c>
      <c r="AR9" s="19">
        <f t="shared" si="3"/>
        <v>206783.84000000005</v>
      </c>
      <c r="AS9" s="19">
        <f t="shared" si="3"/>
        <v>3980769.23</v>
      </c>
      <c r="AT9" s="19">
        <f t="shared" si="3"/>
        <v>277080.96749999997</v>
      </c>
      <c r="AU9" s="19">
        <f t="shared" si="3"/>
        <v>80053.809999999969</v>
      </c>
      <c r="AV9" s="19">
        <f t="shared" si="3"/>
        <v>206118.55379999997</v>
      </c>
      <c r="AW9" s="19">
        <f t="shared" si="3"/>
        <v>-5454.57</v>
      </c>
      <c r="AX9" s="19">
        <f t="shared" si="3"/>
        <v>280717.79380000004</v>
      </c>
      <c r="AY9" s="19">
        <f t="shared" si="3"/>
        <v>4480769.2300000004</v>
      </c>
      <c r="AZ9" s="19">
        <f t="shared" ref="AZ9:BV9" si="4">+AT9+AZ7-AZ8</f>
        <v>111171.46749999997</v>
      </c>
      <c r="BA9" s="19">
        <f t="shared" si="4"/>
        <v>-73236.850000000035</v>
      </c>
      <c r="BB9" s="19">
        <f t="shared" si="4"/>
        <v>214300.15379999997</v>
      </c>
      <c r="BC9" s="19">
        <f t="shared" si="4"/>
        <v>-9090.9500000000007</v>
      </c>
      <c r="BD9" s="19">
        <f t="shared" si="4"/>
        <v>131972.35380000004</v>
      </c>
      <c r="BE9" s="19">
        <f t="shared" si="4"/>
        <v>4980769.2300000004</v>
      </c>
      <c r="BF9" s="19">
        <f t="shared" si="4"/>
        <v>-434846.88250000001</v>
      </c>
      <c r="BG9" s="19">
        <f t="shared" si="4"/>
        <v>-25072.850000000035</v>
      </c>
      <c r="BH9" s="19">
        <f t="shared" si="4"/>
        <v>63905.153799999971</v>
      </c>
      <c r="BI9" s="19">
        <f t="shared" si="4"/>
        <v>-39090.949999999997</v>
      </c>
      <c r="BJ9" s="19">
        <f t="shared" si="4"/>
        <v>-258.64619999995921</v>
      </c>
      <c r="BK9" s="19">
        <f t="shared" si="4"/>
        <v>5480769.2300000004</v>
      </c>
      <c r="BL9" s="19">
        <f t="shared" si="4"/>
        <v>-489846.88250000001</v>
      </c>
      <c r="BM9" s="19">
        <f t="shared" si="4"/>
        <v>23091.149999999965</v>
      </c>
      <c r="BN9" s="19">
        <f t="shared" si="4"/>
        <v>33905.153799999971</v>
      </c>
      <c r="BO9" s="19">
        <f t="shared" si="4"/>
        <v>-49090.95</v>
      </c>
      <c r="BP9" s="19">
        <f t="shared" si="4"/>
        <v>7905.3538000000408</v>
      </c>
      <c r="BQ9" s="19">
        <f t="shared" si="4"/>
        <v>5980769.2300000004</v>
      </c>
      <c r="BR9" s="19">
        <f t="shared" si="4"/>
        <v>-364846.88250000001</v>
      </c>
      <c r="BS9" s="19">
        <f t="shared" si="4"/>
        <v>71255.149999999965</v>
      </c>
      <c r="BT9" s="19">
        <f t="shared" si="4"/>
        <v>63905.153799999971</v>
      </c>
      <c r="BU9" s="19">
        <f t="shared" si="4"/>
        <v>-49090.95</v>
      </c>
      <c r="BV9" s="19">
        <f t="shared" si="4"/>
        <v>86069.353800000041</v>
      </c>
      <c r="BW9" s="19">
        <f>BW7-BW8</f>
        <v>5980769.2300000004</v>
      </c>
      <c r="BX9" s="19">
        <f>BX7-BX8</f>
        <v>-364846.88249999983</v>
      </c>
      <c r="BY9" s="19">
        <f>BY7-BY8</f>
        <v>71255.150000000023</v>
      </c>
      <c r="BZ9" s="19">
        <f t="shared" ref="BZ9:CB9" si="5">BZ7-BZ8</f>
        <v>63905.153799999971</v>
      </c>
      <c r="CA9" s="19">
        <f t="shared" si="5"/>
        <v>-49090.95</v>
      </c>
      <c r="CB9" s="19">
        <f t="shared" si="5"/>
        <v>86069.353800000041</v>
      </c>
    </row>
    <row r="10" spans="1:80" s="2" customFormat="1" ht="12.75" x14ac:dyDescent="0.2">
      <c r="B10" s="11" t="s">
        <v>17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</row>
    <row r="11" spans="1:80" s="2" customFormat="1" ht="12.75" x14ac:dyDescent="0.2">
      <c r="A11" s="1">
        <v>1</v>
      </c>
      <c r="B11" s="5" t="s">
        <v>18</v>
      </c>
      <c r="C11" s="6">
        <v>300000</v>
      </c>
      <c r="D11" s="6">
        <f>C11*0.25</f>
        <v>75000</v>
      </c>
      <c r="E11" s="6">
        <v>15500</v>
      </c>
      <c r="F11" s="6">
        <v>19500</v>
      </c>
      <c r="G11" s="6">
        <v>3000</v>
      </c>
      <c r="H11" s="6">
        <f t="shared" ref="H11:H13" si="6">+E11+F11+G11</f>
        <v>38000</v>
      </c>
      <c r="I11" s="6">
        <v>300000</v>
      </c>
      <c r="J11" s="6">
        <f>I11*0.25</f>
        <v>75000</v>
      </c>
      <c r="K11" s="6">
        <v>15000</v>
      </c>
      <c r="L11" s="6">
        <v>19500</v>
      </c>
      <c r="M11" s="6">
        <v>3000</v>
      </c>
      <c r="N11" s="6">
        <f t="shared" ref="N11:N13" si="7">K11+L11+M11</f>
        <v>37500</v>
      </c>
      <c r="O11" s="6">
        <v>300000</v>
      </c>
      <c r="P11" s="6">
        <f>O11*0.25</f>
        <v>75000</v>
      </c>
      <c r="Q11" s="6">
        <v>15500</v>
      </c>
      <c r="R11" s="6">
        <v>19500</v>
      </c>
      <c r="S11" s="6">
        <v>3000</v>
      </c>
      <c r="T11" s="6">
        <f t="shared" ref="T11:T13" si="8">Q11+R11+S11</f>
        <v>38000</v>
      </c>
      <c r="U11" s="6">
        <v>300000</v>
      </c>
      <c r="V11" s="6">
        <f>U11*0.25</f>
        <v>75000</v>
      </c>
      <c r="W11" s="6">
        <v>39000</v>
      </c>
      <c r="X11" s="6">
        <v>19500</v>
      </c>
      <c r="Y11" s="6">
        <v>6000</v>
      </c>
      <c r="Z11" s="6">
        <f t="shared" ref="Z11:Z12" si="9">W11+X11+Y11</f>
        <v>64500</v>
      </c>
      <c r="AA11" s="6">
        <v>300000</v>
      </c>
      <c r="AB11" s="6">
        <f>AA11*0.25</f>
        <v>75000</v>
      </c>
      <c r="AC11" s="6">
        <v>19500</v>
      </c>
      <c r="AD11" s="6">
        <v>19500</v>
      </c>
      <c r="AE11" s="6">
        <v>3000</v>
      </c>
      <c r="AF11" s="6">
        <f t="shared" ref="AF11:AF16" si="10">AC11+AD11+AE11</f>
        <v>42000</v>
      </c>
      <c r="AG11" s="6">
        <v>300000</v>
      </c>
      <c r="AH11" s="6">
        <f>AG11*0.25</f>
        <v>75000</v>
      </c>
      <c r="AI11" s="6">
        <v>19500</v>
      </c>
      <c r="AJ11" s="6">
        <f>AG11*0.065</f>
        <v>19500</v>
      </c>
      <c r="AK11" s="6">
        <v>3000</v>
      </c>
      <c r="AL11" s="6">
        <f t="shared" ref="AL11:AL16" si="11">AI11+AJ11+AK11</f>
        <v>42000</v>
      </c>
      <c r="AM11" s="6">
        <v>330000</v>
      </c>
      <c r="AN11" s="6">
        <f>AM11*0.25</f>
        <v>82500</v>
      </c>
      <c r="AO11" s="6">
        <v>21450</v>
      </c>
      <c r="AP11" s="6">
        <v>21450</v>
      </c>
      <c r="AQ11" s="6">
        <v>3300</v>
      </c>
      <c r="AR11" s="6">
        <f t="shared" ref="AR11:AR20" si="12">AO11+AP11+AQ11</f>
        <v>46200</v>
      </c>
      <c r="AS11" s="6"/>
      <c r="AT11" s="6">
        <f>AS11*0.25</f>
        <v>0</v>
      </c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>
        <v>330000</v>
      </c>
      <c r="BF11" s="6">
        <f t="shared" ref="BF11:BF20" si="13">BE11*0.25</f>
        <v>82500</v>
      </c>
      <c r="BG11" s="6">
        <v>21450</v>
      </c>
      <c r="BH11" s="6">
        <v>21450</v>
      </c>
      <c r="BI11" s="6">
        <v>3300</v>
      </c>
      <c r="BJ11" s="6">
        <f t="shared" ref="BJ11:BJ12" si="14">BG11+BH11+BI11</f>
        <v>46200</v>
      </c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7">
        <f t="shared" ref="BW11:BW20" si="15">C11+I11+O11+U11+AA11+AG11+AM11+AS11+AY11+BE11+BK11+BQ11</f>
        <v>2460000</v>
      </c>
      <c r="BX11" s="7">
        <f t="shared" ref="BX11:BX20" si="16">D11+J11+P11+V11+AB11+AH11+AN11+AT11+AZ11+BF11+BL11+BR11</f>
        <v>615000</v>
      </c>
      <c r="BY11" s="7">
        <f t="shared" ref="BY11:BY20" si="17">E11+K11+Q11+W11+AC11+AI11+AO11+AU11+BA11+BG11+BM11+BS11</f>
        <v>166900</v>
      </c>
      <c r="BZ11" s="7">
        <f t="shared" ref="BZ11:BZ20" si="18">F11+L11+R11+X11+AD11+AJ11+AP11+AV11+BB11+BH11+BN11+BT11</f>
        <v>159900</v>
      </c>
      <c r="CA11" s="7">
        <f t="shared" ref="CA11:CA20" si="19">G11+M11+S11+Y11+AE11+AK11+AQ11+AW11+BC11+BI11+BO11+BU11</f>
        <v>27600</v>
      </c>
      <c r="CB11" s="7">
        <f t="shared" ref="CB11:CB20" si="20">H11+N11+T11+Z11+AF11+AL11+AR11+AX11+BD11+BJ11+BP11+BV11</f>
        <v>354400</v>
      </c>
    </row>
    <row r="12" spans="1:80" s="2" customFormat="1" ht="12.75" x14ac:dyDescent="0.2">
      <c r="A12" s="1"/>
      <c r="B12" s="5" t="s">
        <v>15</v>
      </c>
      <c r="C12" s="6">
        <v>400000</v>
      </c>
      <c r="D12" s="6">
        <f t="shared" ref="D12" si="21">C12*0.25</f>
        <v>100000</v>
      </c>
      <c r="E12" s="6">
        <v>30000</v>
      </c>
      <c r="F12" s="6">
        <v>0</v>
      </c>
      <c r="G12" s="6">
        <v>0</v>
      </c>
      <c r="H12" s="6">
        <f t="shared" si="6"/>
        <v>30000</v>
      </c>
      <c r="I12" s="6">
        <v>400000</v>
      </c>
      <c r="J12" s="6">
        <f t="shared" ref="J12:J13" si="22">I12*0.25</f>
        <v>100000</v>
      </c>
      <c r="K12" s="6">
        <v>30000</v>
      </c>
      <c r="L12" s="6">
        <v>0</v>
      </c>
      <c r="M12" s="6">
        <v>0</v>
      </c>
      <c r="N12" s="6">
        <f t="shared" si="7"/>
        <v>30000</v>
      </c>
      <c r="O12" s="6">
        <v>400000</v>
      </c>
      <c r="P12" s="6">
        <f t="shared" ref="P12" si="23">O12*0.25</f>
        <v>100000</v>
      </c>
      <c r="Q12" s="6">
        <v>30000</v>
      </c>
      <c r="R12" s="6">
        <v>0</v>
      </c>
      <c r="S12" s="6">
        <v>0</v>
      </c>
      <c r="T12" s="6">
        <f t="shared" si="8"/>
        <v>30000</v>
      </c>
      <c r="U12" s="6">
        <v>400000</v>
      </c>
      <c r="V12" s="6">
        <f>U12*0.25</f>
        <v>100000</v>
      </c>
      <c r="W12" s="6">
        <v>30000</v>
      </c>
      <c r="X12" s="6">
        <v>0</v>
      </c>
      <c r="Y12" s="6">
        <v>0</v>
      </c>
      <c r="Z12" s="6">
        <f t="shared" si="9"/>
        <v>30000</v>
      </c>
      <c r="AA12" s="6">
        <v>400000</v>
      </c>
      <c r="AB12" s="6">
        <f t="shared" ref="AB12:AB16" si="24">AA12*0.25</f>
        <v>100000</v>
      </c>
      <c r="AC12" s="6">
        <v>30000</v>
      </c>
      <c r="AD12" s="6">
        <v>0</v>
      </c>
      <c r="AE12" s="6">
        <v>0</v>
      </c>
      <c r="AF12" s="6">
        <f t="shared" si="10"/>
        <v>30000</v>
      </c>
      <c r="AG12" s="6">
        <v>400000</v>
      </c>
      <c r="AH12" s="6">
        <f t="shared" ref="AH12:AH16" si="25">AG12*0.25</f>
        <v>100000</v>
      </c>
      <c r="AI12" s="6">
        <v>30000</v>
      </c>
      <c r="AJ12" s="6">
        <v>0</v>
      </c>
      <c r="AK12" s="6">
        <v>0</v>
      </c>
      <c r="AL12" s="6">
        <f t="shared" si="11"/>
        <v>30000</v>
      </c>
      <c r="AM12" s="6">
        <v>400000</v>
      </c>
      <c r="AN12" s="6">
        <f t="shared" ref="AN12:AN20" si="26">AM12*0.25</f>
        <v>100000</v>
      </c>
      <c r="AO12" s="6">
        <v>30000</v>
      </c>
      <c r="AP12" s="6">
        <v>0</v>
      </c>
      <c r="AQ12" s="6">
        <v>0</v>
      </c>
      <c r="AR12" s="6">
        <f t="shared" si="12"/>
        <v>30000</v>
      </c>
      <c r="AS12" s="6">
        <v>400000</v>
      </c>
      <c r="AT12" s="6">
        <f t="shared" ref="AT12:AT15" si="27">AS12*0.25</f>
        <v>100000</v>
      </c>
      <c r="AU12" s="6">
        <v>30000</v>
      </c>
      <c r="AV12" s="6">
        <v>0</v>
      </c>
      <c r="AW12" s="6">
        <v>0</v>
      </c>
      <c r="AX12" s="6">
        <f t="shared" ref="AX12:AX15" si="28">AU12+AV12+AW12</f>
        <v>30000</v>
      </c>
      <c r="AY12" s="6">
        <v>400000</v>
      </c>
      <c r="AZ12" s="6">
        <f>AY12*0.25</f>
        <v>100000</v>
      </c>
      <c r="BA12" s="6">
        <v>30000</v>
      </c>
      <c r="BB12" s="6">
        <v>0</v>
      </c>
      <c r="BC12" s="6">
        <v>0</v>
      </c>
      <c r="BD12" s="6">
        <f>BA12+BB12+BC12</f>
        <v>30000</v>
      </c>
      <c r="BE12" s="6">
        <v>400000</v>
      </c>
      <c r="BF12" s="6">
        <f t="shared" si="13"/>
        <v>100000</v>
      </c>
      <c r="BG12" s="6">
        <v>30000</v>
      </c>
      <c r="BH12" s="6">
        <v>0</v>
      </c>
      <c r="BI12" s="6">
        <v>0</v>
      </c>
      <c r="BJ12" s="6">
        <f t="shared" si="14"/>
        <v>30000</v>
      </c>
      <c r="BK12" s="6">
        <v>400000</v>
      </c>
      <c r="BL12" s="6">
        <f>BK12*0.25</f>
        <v>100000</v>
      </c>
      <c r="BM12" s="6">
        <v>30000</v>
      </c>
      <c r="BN12" s="6">
        <v>0</v>
      </c>
      <c r="BO12" s="6">
        <v>0</v>
      </c>
      <c r="BP12" s="6">
        <f>BM12+BN12+BO12</f>
        <v>30000</v>
      </c>
      <c r="BQ12" s="6">
        <v>400000</v>
      </c>
      <c r="BR12" s="6">
        <f>BQ12*0.25</f>
        <v>100000</v>
      </c>
      <c r="BS12" s="6">
        <v>30000</v>
      </c>
      <c r="BT12" s="6">
        <v>0</v>
      </c>
      <c r="BU12" s="6">
        <v>0</v>
      </c>
      <c r="BV12" s="6">
        <f>BS12+BT12+BU12</f>
        <v>30000</v>
      </c>
      <c r="BW12" s="7">
        <f t="shared" si="15"/>
        <v>4800000</v>
      </c>
      <c r="BX12" s="7">
        <f t="shared" si="16"/>
        <v>1200000</v>
      </c>
      <c r="BY12" s="7">
        <f t="shared" si="17"/>
        <v>360000</v>
      </c>
      <c r="BZ12" s="7">
        <f t="shared" si="18"/>
        <v>0</v>
      </c>
      <c r="CA12" s="7">
        <f t="shared" si="19"/>
        <v>0</v>
      </c>
      <c r="CB12" s="7">
        <f t="shared" si="20"/>
        <v>360000</v>
      </c>
    </row>
    <row r="13" spans="1:80" s="2" customFormat="1" ht="12.75" x14ac:dyDescent="0.2">
      <c r="A13" s="1">
        <f t="shared" ref="A13:A91" si="29">A12+1</f>
        <v>1</v>
      </c>
      <c r="B13" s="5" t="s">
        <v>19</v>
      </c>
      <c r="C13" s="6">
        <v>103846.14</v>
      </c>
      <c r="D13" s="6">
        <v>25961.5</v>
      </c>
      <c r="E13" s="6">
        <v>6750</v>
      </c>
      <c r="F13" s="6">
        <v>6749.99</v>
      </c>
      <c r="G13" s="6">
        <v>1038</v>
      </c>
      <c r="H13" s="6">
        <f t="shared" si="6"/>
        <v>14537.99</v>
      </c>
      <c r="I13" s="6">
        <v>50000</v>
      </c>
      <c r="J13" s="6">
        <f t="shared" si="22"/>
        <v>12500</v>
      </c>
      <c r="K13" s="6">
        <v>3250</v>
      </c>
      <c r="L13" s="6">
        <v>3250</v>
      </c>
      <c r="M13" s="6">
        <v>500</v>
      </c>
      <c r="N13" s="6">
        <f t="shared" si="7"/>
        <v>7000</v>
      </c>
      <c r="O13" s="6">
        <v>69230.759999999995</v>
      </c>
      <c r="P13" s="6">
        <f>O13*0.25+0.06</f>
        <v>17307.75</v>
      </c>
      <c r="Q13" s="6">
        <v>4500</v>
      </c>
      <c r="R13" s="6">
        <v>4500</v>
      </c>
      <c r="S13" s="6">
        <v>692</v>
      </c>
      <c r="T13" s="6">
        <f t="shared" si="8"/>
        <v>9692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>
        <f t="shared" si="10"/>
        <v>0</v>
      </c>
      <c r="AG13" s="6"/>
      <c r="AH13" s="6">
        <f t="shared" si="25"/>
        <v>0</v>
      </c>
      <c r="AI13" s="6"/>
      <c r="AJ13" s="6">
        <f t="shared" ref="AJ13:AJ15" si="30">AG13*0.065</f>
        <v>0</v>
      </c>
      <c r="AK13" s="6"/>
      <c r="AL13" s="6">
        <f t="shared" si="11"/>
        <v>0</v>
      </c>
      <c r="AM13" s="6"/>
      <c r="AN13" s="6">
        <f t="shared" si="26"/>
        <v>0</v>
      </c>
      <c r="AO13" s="6"/>
      <c r="AP13" s="6"/>
      <c r="AQ13" s="6"/>
      <c r="AR13" s="6">
        <f t="shared" si="12"/>
        <v>0</v>
      </c>
      <c r="AS13" s="6"/>
      <c r="AT13" s="6">
        <f t="shared" si="27"/>
        <v>0</v>
      </c>
      <c r="AU13" s="6"/>
      <c r="AV13" s="6"/>
      <c r="AW13" s="6"/>
      <c r="AX13" s="6">
        <f t="shared" si="28"/>
        <v>0</v>
      </c>
      <c r="AY13" s="6"/>
      <c r="AZ13" s="6"/>
      <c r="BA13" s="6"/>
      <c r="BB13" s="6"/>
      <c r="BC13" s="6"/>
      <c r="BD13" s="6"/>
      <c r="BE13" s="6"/>
      <c r="BF13" s="6">
        <f t="shared" si="13"/>
        <v>0</v>
      </c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7">
        <f t="shared" si="15"/>
        <v>223076.90000000002</v>
      </c>
      <c r="BX13" s="7">
        <f t="shared" si="16"/>
        <v>55769.25</v>
      </c>
      <c r="BY13" s="7">
        <f t="shared" si="17"/>
        <v>14500</v>
      </c>
      <c r="BZ13" s="7">
        <f t="shared" si="18"/>
        <v>14499.99</v>
      </c>
      <c r="CA13" s="7">
        <f t="shared" si="19"/>
        <v>2230</v>
      </c>
      <c r="CB13" s="7">
        <f t="shared" si="20"/>
        <v>31229.989999999998</v>
      </c>
    </row>
    <row r="14" spans="1:80" s="2" customFormat="1" ht="12.75" x14ac:dyDescent="0.2">
      <c r="A14" s="1">
        <f t="shared" si="29"/>
        <v>2</v>
      </c>
      <c r="B14" s="5" t="s">
        <v>20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>
        <v>90692</v>
      </c>
      <c r="AB14" s="6">
        <f t="shared" si="24"/>
        <v>22673</v>
      </c>
      <c r="AC14" s="6">
        <v>6802</v>
      </c>
      <c r="AD14" s="6"/>
      <c r="AE14" s="6"/>
      <c r="AF14" s="6">
        <f t="shared" si="10"/>
        <v>6802</v>
      </c>
      <c r="AG14" s="6">
        <v>250000</v>
      </c>
      <c r="AH14" s="6">
        <f t="shared" si="25"/>
        <v>62500</v>
      </c>
      <c r="AI14" s="6">
        <v>18750</v>
      </c>
      <c r="AJ14" s="6">
        <v>0</v>
      </c>
      <c r="AK14" s="6">
        <v>0</v>
      </c>
      <c r="AL14" s="6">
        <f t="shared" si="11"/>
        <v>18750</v>
      </c>
      <c r="AM14" s="6">
        <v>125432</v>
      </c>
      <c r="AN14" s="6">
        <f t="shared" si="26"/>
        <v>31358</v>
      </c>
      <c r="AO14" s="6">
        <v>9407.4</v>
      </c>
      <c r="AP14" s="6"/>
      <c r="AQ14" s="6"/>
      <c r="AR14" s="6">
        <f t="shared" si="12"/>
        <v>9407.4</v>
      </c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>
        <v>319000</v>
      </c>
      <c r="BF14" s="6">
        <f t="shared" si="13"/>
        <v>79750</v>
      </c>
      <c r="BG14" s="6">
        <v>23925</v>
      </c>
      <c r="BH14" s="6">
        <v>0</v>
      </c>
      <c r="BI14" s="6">
        <v>0</v>
      </c>
      <c r="BJ14" s="6">
        <f t="shared" ref="BJ14:BJ16" si="31">BG14+BH14+BI14</f>
        <v>23925</v>
      </c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7">
        <f t="shared" si="15"/>
        <v>785124</v>
      </c>
      <c r="BX14" s="7">
        <f t="shared" si="16"/>
        <v>196281</v>
      </c>
      <c r="BY14" s="7">
        <f t="shared" si="17"/>
        <v>58884.4</v>
      </c>
      <c r="BZ14" s="7">
        <f t="shared" si="18"/>
        <v>0</v>
      </c>
      <c r="CA14" s="7">
        <f t="shared" si="19"/>
        <v>0</v>
      </c>
      <c r="CB14" s="7">
        <f t="shared" si="20"/>
        <v>58884.4</v>
      </c>
    </row>
    <row r="15" spans="1:80" s="2" customFormat="1" ht="12.75" x14ac:dyDescent="0.2">
      <c r="A15" s="1">
        <f t="shared" si="29"/>
        <v>3</v>
      </c>
      <c r="B15" s="5" t="s">
        <v>21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>
        <v>161538</v>
      </c>
      <c r="AB15" s="6">
        <f t="shared" si="24"/>
        <v>40384.5</v>
      </c>
      <c r="AC15" s="6">
        <v>10500</v>
      </c>
      <c r="AD15" s="6">
        <v>10499.97</v>
      </c>
      <c r="AE15" s="6">
        <v>1615</v>
      </c>
      <c r="AF15" s="6">
        <f t="shared" si="10"/>
        <v>22614.97</v>
      </c>
      <c r="AG15" s="6">
        <v>336400</v>
      </c>
      <c r="AH15" s="6">
        <f t="shared" si="25"/>
        <v>84100</v>
      </c>
      <c r="AI15" s="6">
        <v>22826</v>
      </c>
      <c r="AJ15" s="6">
        <f t="shared" si="30"/>
        <v>21866</v>
      </c>
      <c r="AK15" s="6">
        <v>3000</v>
      </c>
      <c r="AL15" s="6">
        <f t="shared" si="11"/>
        <v>47692</v>
      </c>
      <c r="AM15" s="6">
        <v>300000</v>
      </c>
      <c r="AN15" s="6">
        <f t="shared" si="26"/>
        <v>75000</v>
      </c>
      <c r="AO15" s="6">
        <v>28105.200000000001</v>
      </c>
      <c r="AP15" s="6">
        <v>19500</v>
      </c>
      <c r="AQ15" s="6">
        <v>3000</v>
      </c>
      <c r="AR15" s="6">
        <f t="shared" si="12"/>
        <v>50605.2</v>
      </c>
      <c r="AS15" s="6">
        <v>300000</v>
      </c>
      <c r="AT15" s="6">
        <f t="shared" si="27"/>
        <v>75000</v>
      </c>
      <c r="AU15" s="6">
        <v>22500</v>
      </c>
      <c r="AV15" s="6">
        <v>19500</v>
      </c>
      <c r="AW15" s="6">
        <v>3000</v>
      </c>
      <c r="AX15" s="6">
        <f t="shared" si="28"/>
        <v>45000</v>
      </c>
      <c r="AY15" s="6">
        <v>300000</v>
      </c>
      <c r="AZ15" s="6">
        <f>AY15*0.25</f>
        <v>75000</v>
      </c>
      <c r="BA15" s="6">
        <v>22500</v>
      </c>
      <c r="BB15" s="6">
        <v>19500</v>
      </c>
      <c r="BC15" s="6">
        <v>3000</v>
      </c>
      <c r="BD15" s="6">
        <f>BA15+BB15+BC15</f>
        <v>45000</v>
      </c>
      <c r="BE15" s="6">
        <v>300000</v>
      </c>
      <c r="BF15" s="6">
        <f t="shared" si="13"/>
        <v>75000</v>
      </c>
      <c r="BG15" s="6">
        <v>19500</v>
      </c>
      <c r="BH15" s="6">
        <v>19500</v>
      </c>
      <c r="BI15" s="6">
        <v>3000</v>
      </c>
      <c r="BJ15" s="6">
        <f t="shared" si="31"/>
        <v>42000</v>
      </c>
      <c r="BK15" s="6">
        <v>300000</v>
      </c>
      <c r="BL15" s="6">
        <f>BK15*0.25</f>
        <v>75000</v>
      </c>
      <c r="BM15" s="6">
        <v>19500</v>
      </c>
      <c r="BN15" s="6">
        <v>19500</v>
      </c>
      <c r="BO15" s="6">
        <v>3000</v>
      </c>
      <c r="BP15" s="6">
        <f>BM15+BN15+BO15</f>
        <v>42000</v>
      </c>
      <c r="BQ15" s="6">
        <v>300000</v>
      </c>
      <c r="BR15" s="6">
        <f>BQ15*0.25</f>
        <v>75000</v>
      </c>
      <c r="BS15" s="6">
        <v>19500</v>
      </c>
      <c r="BT15" s="6">
        <v>19500</v>
      </c>
      <c r="BU15" s="6">
        <v>3000</v>
      </c>
      <c r="BV15" s="6">
        <f>BS15+BT15+BU15</f>
        <v>42000</v>
      </c>
      <c r="BW15" s="7">
        <f t="shared" si="15"/>
        <v>2297938</v>
      </c>
      <c r="BX15" s="7">
        <f t="shared" si="16"/>
        <v>574484.5</v>
      </c>
      <c r="BY15" s="7">
        <f t="shared" si="17"/>
        <v>164931.20000000001</v>
      </c>
      <c r="BZ15" s="7">
        <f t="shared" si="18"/>
        <v>149365.97</v>
      </c>
      <c r="CA15" s="7">
        <f t="shared" si="19"/>
        <v>22615</v>
      </c>
      <c r="CB15" s="7">
        <f t="shared" si="20"/>
        <v>336912.17</v>
      </c>
    </row>
    <row r="16" spans="1:80" s="2" customFormat="1" ht="12.75" x14ac:dyDescent="0.2">
      <c r="A16" s="1">
        <f t="shared" si="29"/>
        <v>4</v>
      </c>
      <c r="B16" s="5" t="s">
        <v>22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>
        <v>110846</v>
      </c>
      <c r="AB16" s="6">
        <f t="shared" si="24"/>
        <v>27711.5</v>
      </c>
      <c r="AC16" s="6">
        <v>7204</v>
      </c>
      <c r="AD16" s="6">
        <v>7204.98</v>
      </c>
      <c r="AE16" s="6">
        <v>1109</v>
      </c>
      <c r="AF16" s="6">
        <f t="shared" si="10"/>
        <v>15517.98</v>
      </c>
      <c r="AG16" s="6">
        <v>290000</v>
      </c>
      <c r="AH16" s="6">
        <f t="shared" si="25"/>
        <v>72500</v>
      </c>
      <c r="AI16" s="6">
        <v>18850</v>
      </c>
      <c r="AJ16" s="6">
        <v>12620.4</v>
      </c>
      <c r="AK16" s="6">
        <v>2306</v>
      </c>
      <c r="AL16" s="6">
        <f t="shared" si="11"/>
        <v>33776.400000000001</v>
      </c>
      <c r="AM16" s="6">
        <v>115280</v>
      </c>
      <c r="AN16" s="6">
        <f t="shared" si="26"/>
        <v>28820</v>
      </c>
      <c r="AO16" s="6">
        <v>7493.2</v>
      </c>
      <c r="AP16" s="6">
        <v>7493.21</v>
      </c>
      <c r="AQ16" s="6">
        <v>1152.5</v>
      </c>
      <c r="AR16" s="6">
        <f t="shared" si="12"/>
        <v>16138.91</v>
      </c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>
        <v>290000</v>
      </c>
      <c r="BF16" s="6">
        <f t="shared" si="13"/>
        <v>72500</v>
      </c>
      <c r="BG16" s="6">
        <v>18850</v>
      </c>
      <c r="BH16" s="6">
        <v>18850</v>
      </c>
      <c r="BI16" s="6">
        <v>2900</v>
      </c>
      <c r="BJ16" s="6">
        <f t="shared" si="31"/>
        <v>40600</v>
      </c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7">
        <f t="shared" si="15"/>
        <v>806126</v>
      </c>
      <c r="BX16" s="7">
        <f t="shared" si="16"/>
        <v>201531.5</v>
      </c>
      <c r="BY16" s="7">
        <f t="shared" si="17"/>
        <v>52397.2</v>
      </c>
      <c r="BZ16" s="7">
        <f t="shared" si="18"/>
        <v>46168.59</v>
      </c>
      <c r="CA16" s="7">
        <f t="shared" si="19"/>
        <v>7467.5</v>
      </c>
      <c r="CB16" s="7">
        <f t="shared" si="20"/>
        <v>106033.29000000001</v>
      </c>
    </row>
    <row r="17" spans="1:80" s="2" customFormat="1" ht="12.75" x14ac:dyDescent="0.2">
      <c r="A17" s="1">
        <f t="shared" si="29"/>
        <v>5</v>
      </c>
      <c r="B17" s="5" t="s">
        <v>23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>
        <f t="shared" si="26"/>
        <v>0</v>
      </c>
      <c r="AO17" s="6"/>
      <c r="AP17" s="6"/>
      <c r="AQ17" s="6"/>
      <c r="AR17" s="6">
        <f t="shared" si="12"/>
        <v>0</v>
      </c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>
        <f t="shared" si="13"/>
        <v>0</v>
      </c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7">
        <f t="shared" si="15"/>
        <v>0</v>
      </c>
      <c r="BX17" s="7">
        <f t="shared" si="16"/>
        <v>0</v>
      </c>
      <c r="BY17" s="7">
        <f t="shared" si="17"/>
        <v>0</v>
      </c>
      <c r="BZ17" s="7">
        <f t="shared" si="18"/>
        <v>0</v>
      </c>
      <c r="CA17" s="7">
        <f t="shared" si="19"/>
        <v>0</v>
      </c>
      <c r="CB17" s="7">
        <f t="shared" si="20"/>
        <v>0</v>
      </c>
    </row>
    <row r="18" spans="1:80" s="2" customFormat="1" ht="12.75" x14ac:dyDescent="0.2">
      <c r="A18" s="1">
        <f t="shared" si="29"/>
        <v>6</v>
      </c>
      <c r="B18" s="5" t="s">
        <v>24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>
        <v>115280</v>
      </c>
      <c r="AN18" s="6">
        <f t="shared" si="26"/>
        <v>28820</v>
      </c>
      <c r="AO18" s="6">
        <v>8646</v>
      </c>
      <c r="AP18" s="6"/>
      <c r="AQ18" s="6"/>
      <c r="AR18" s="6">
        <f t="shared" si="12"/>
        <v>8646</v>
      </c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>
        <v>290000</v>
      </c>
      <c r="BF18" s="6">
        <f t="shared" si="13"/>
        <v>72500</v>
      </c>
      <c r="BG18" s="6">
        <v>21725</v>
      </c>
      <c r="BH18" s="6">
        <v>0</v>
      </c>
      <c r="BI18" s="6">
        <v>0</v>
      </c>
      <c r="BJ18" s="6">
        <f t="shared" ref="BJ18:BJ20" si="32">BG18+BH18+BI18</f>
        <v>21725</v>
      </c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7">
        <f t="shared" si="15"/>
        <v>405280</v>
      </c>
      <c r="BX18" s="7">
        <f t="shared" si="16"/>
        <v>101320</v>
      </c>
      <c r="BY18" s="7">
        <f t="shared" si="17"/>
        <v>30371</v>
      </c>
      <c r="BZ18" s="7">
        <f t="shared" si="18"/>
        <v>0</v>
      </c>
      <c r="CA18" s="7">
        <f t="shared" si="19"/>
        <v>0</v>
      </c>
      <c r="CB18" s="7">
        <f t="shared" si="20"/>
        <v>30371</v>
      </c>
    </row>
    <row r="19" spans="1:80" s="2" customFormat="1" ht="12.75" x14ac:dyDescent="0.2">
      <c r="A19" s="1">
        <f t="shared" si="29"/>
        <v>7</v>
      </c>
      <c r="B19" s="5" t="s">
        <v>25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>
        <v>115280</v>
      </c>
      <c r="AN19" s="6">
        <f t="shared" si="26"/>
        <v>28820</v>
      </c>
      <c r="AO19" s="6">
        <v>8646</v>
      </c>
      <c r="AP19" s="6"/>
      <c r="AQ19" s="6"/>
      <c r="AR19" s="6">
        <f t="shared" si="12"/>
        <v>8646</v>
      </c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>
        <v>290000</v>
      </c>
      <c r="BF19" s="6">
        <f t="shared" si="13"/>
        <v>72500</v>
      </c>
      <c r="BG19" s="6">
        <v>21725</v>
      </c>
      <c r="BH19" s="6">
        <v>0</v>
      </c>
      <c r="BI19" s="6">
        <v>0</v>
      </c>
      <c r="BJ19" s="6">
        <f t="shared" si="32"/>
        <v>21725</v>
      </c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7">
        <f t="shared" si="15"/>
        <v>405280</v>
      </c>
      <c r="BX19" s="7">
        <f t="shared" si="16"/>
        <v>101320</v>
      </c>
      <c r="BY19" s="7">
        <f t="shared" si="17"/>
        <v>30371</v>
      </c>
      <c r="BZ19" s="7">
        <f t="shared" si="18"/>
        <v>0</v>
      </c>
      <c r="CA19" s="7">
        <f t="shared" si="19"/>
        <v>0</v>
      </c>
      <c r="CB19" s="7">
        <f t="shared" si="20"/>
        <v>30371</v>
      </c>
    </row>
    <row r="20" spans="1:80" s="2" customFormat="1" ht="12.75" x14ac:dyDescent="0.2">
      <c r="A20" s="1">
        <f t="shared" si="29"/>
        <v>8</v>
      </c>
      <c r="B20" s="5" t="s">
        <v>26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>
        <v>115280</v>
      </c>
      <c r="AN20" s="6">
        <f t="shared" si="26"/>
        <v>28820</v>
      </c>
      <c r="AO20" s="6">
        <v>7493.2</v>
      </c>
      <c r="AP20" s="6">
        <v>7493.2</v>
      </c>
      <c r="AQ20" s="6">
        <v>1152.5</v>
      </c>
      <c r="AR20" s="6">
        <f t="shared" si="12"/>
        <v>16138.9</v>
      </c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>
        <v>290000</v>
      </c>
      <c r="BF20" s="6">
        <f t="shared" si="13"/>
        <v>72500</v>
      </c>
      <c r="BG20" s="6">
        <v>18850</v>
      </c>
      <c r="BH20" s="6">
        <v>18850</v>
      </c>
      <c r="BI20" s="6">
        <v>2900</v>
      </c>
      <c r="BJ20" s="6">
        <f t="shared" si="32"/>
        <v>40600</v>
      </c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7">
        <f t="shared" si="15"/>
        <v>405280</v>
      </c>
      <c r="BX20" s="7">
        <f t="shared" si="16"/>
        <v>101320</v>
      </c>
      <c r="BY20" s="7">
        <f t="shared" si="17"/>
        <v>26343.200000000001</v>
      </c>
      <c r="BZ20" s="7">
        <f t="shared" si="18"/>
        <v>26343.200000000001</v>
      </c>
      <c r="CA20" s="7">
        <f t="shared" si="19"/>
        <v>4052.5</v>
      </c>
      <c r="CB20" s="7">
        <f t="shared" si="20"/>
        <v>56738.9</v>
      </c>
    </row>
    <row r="21" spans="1:80" s="2" customFormat="1" ht="12.75" x14ac:dyDescent="0.2">
      <c r="A21" s="8"/>
      <c r="B21" s="9" t="s">
        <v>12</v>
      </c>
      <c r="C21" s="4">
        <f>SUM(C11:C20)</f>
        <v>803846.14</v>
      </c>
      <c r="D21" s="4">
        <f>SUM(D11:D20)</f>
        <v>200961.5</v>
      </c>
      <c r="E21" s="4">
        <f t="shared" ref="E21:G21" si="33">SUM(E11:E20)</f>
        <v>52250</v>
      </c>
      <c r="F21" s="4">
        <f t="shared" si="33"/>
        <v>26249.989999999998</v>
      </c>
      <c r="G21" s="4">
        <f t="shared" si="33"/>
        <v>4038</v>
      </c>
      <c r="H21" s="4">
        <f t="shared" ref="H21:BV21" si="34">SUM(H11:H20)</f>
        <v>82537.990000000005</v>
      </c>
      <c r="I21" s="4">
        <f t="shared" si="34"/>
        <v>750000</v>
      </c>
      <c r="J21" s="4">
        <f t="shared" si="34"/>
        <v>187500</v>
      </c>
      <c r="K21" s="4">
        <f t="shared" si="34"/>
        <v>48250</v>
      </c>
      <c r="L21" s="4">
        <f t="shared" si="34"/>
        <v>22750</v>
      </c>
      <c r="M21" s="4">
        <f t="shared" si="34"/>
        <v>3500</v>
      </c>
      <c r="N21" s="4">
        <f t="shared" si="34"/>
        <v>74500</v>
      </c>
      <c r="O21" s="4">
        <f t="shared" si="34"/>
        <v>769230.76</v>
      </c>
      <c r="P21" s="4">
        <f t="shared" si="34"/>
        <v>192307.75</v>
      </c>
      <c r="Q21" s="4">
        <f t="shared" si="34"/>
        <v>50000</v>
      </c>
      <c r="R21" s="4">
        <f t="shared" si="34"/>
        <v>24000</v>
      </c>
      <c r="S21" s="4">
        <f t="shared" si="34"/>
        <v>3692</v>
      </c>
      <c r="T21" s="4">
        <f t="shared" si="34"/>
        <v>77692</v>
      </c>
      <c r="U21" s="4">
        <f t="shared" si="34"/>
        <v>700000</v>
      </c>
      <c r="V21" s="4">
        <f t="shared" si="34"/>
        <v>175000</v>
      </c>
      <c r="W21" s="4">
        <f t="shared" si="34"/>
        <v>69000</v>
      </c>
      <c r="X21" s="4">
        <f t="shared" si="34"/>
        <v>19500</v>
      </c>
      <c r="Y21" s="4">
        <f t="shared" si="34"/>
        <v>6000</v>
      </c>
      <c r="Z21" s="4">
        <f t="shared" si="34"/>
        <v>94500</v>
      </c>
      <c r="AA21" s="4">
        <f t="shared" si="34"/>
        <v>1063076</v>
      </c>
      <c r="AB21" s="4">
        <f t="shared" si="34"/>
        <v>265769</v>
      </c>
      <c r="AC21" s="4">
        <f t="shared" si="34"/>
        <v>74006</v>
      </c>
      <c r="AD21" s="4">
        <f t="shared" si="34"/>
        <v>37204.949999999997</v>
      </c>
      <c r="AE21" s="4">
        <f t="shared" si="34"/>
        <v>5724</v>
      </c>
      <c r="AF21" s="4">
        <f t="shared" si="34"/>
        <v>116934.95</v>
      </c>
      <c r="AG21" s="4">
        <f t="shared" si="34"/>
        <v>1576400</v>
      </c>
      <c r="AH21" s="4">
        <f>SUM(AH11:AH20)</f>
        <v>394100</v>
      </c>
      <c r="AI21" s="4">
        <f t="shared" si="34"/>
        <v>109926</v>
      </c>
      <c r="AJ21" s="4">
        <f t="shared" si="34"/>
        <v>53986.400000000001</v>
      </c>
      <c r="AK21" s="4">
        <f t="shared" si="34"/>
        <v>8306</v>
      </c>
      <c r="AL21" s="4">
        <f t="shared" si="34"/>
        <v>172218.4</v>
      </c>
      <c r="AM21" s="4">
        <f t="shared" si="34"/>
        <v>1616552</v>
      </c>
      <c r="AN21" s="4">
        <f t="shared" si="34"/>
        <v>404138</v>
      </c>
      <c r="AO21" s="4">
        <f t="shared" si="34"/>
        <v>121241</v>
      </c>
      <c r="AP21" s="4">
        <f t="shared" si="34"/>
        <v>55936.409999999996</v>
      </c>
      <c r="AQ21" s="4">
        <f t="shared" si="34"/>
        <v>8605</v>
      </c>
      <c r="AR21" s="4">
        <f t="shared" si="34"/>
        <v>185782.40999999997</v>
      </c>
      <c r="AS21" s="4">
        <f t="shared" si="34"/>
        <v>700000</v>
      </c>
      <c r="AT21" s="4">
        <f t="shared" si="34"/>
        <v>175000</v>
      </c>
      <c r="AU21" s="4">
        <f t="shared" si="34"/>
        <v>52500</v>
      </c>
      <c r="AV21" s="4">
        <f t="shared" si="34"/>
        <v>19500</v>
      </c>
      <c r="AW21" s="4">
        <f t="shared" si="34"/>
        <v>3000</v>
      </c>
      <c r="AX21" s="4">
        <f t="shared" si="34"/>
        <v>75000</v>
      </c>
      <c r="AY21" s="4">
        <f t="shared" si="34"/>
        <v>700000</v>
      </c>
      <c r="AZ21" s="4">
        <f t="shared" si="34"/>
        <v>175000</v>
      </c>
      <c r="BA21" s="4">
        <f t="shared" si="34"/>
        <v>52500</v>
      </c>
      <c r="BB21" s="4">
        <f t="shared" si="34"/>
        <v>19500</v>
      </c>
      <c r="BC21" s="4">
        <f t="shared" si="34"/>
        <v>3000</v>
      </c>
      <c r="BD21" s="4">
        <f t="shared" si="34"/>
        <v>75000</v>
      </c>
      <c r="BE21" s="4">
        <f t="shared" si="34"/>
        <v>2509000</v>
      </c>
      <c r="BF21" s="4">
        <f t="shared" si="34"/>
        <v>627250</v>
      </c>
      <c r="BG21" s="4">
        <f t="shared" si="34"/>
        <v>176025</v>
      </c>
      <c r="BH21" s="4">
        <f t="shared" si="34"/>
        <v>78650</v>
      </c>
      <c r="BI21" s="4">
        <f t="shared" si="34"/>
        <v>12100</v>
      </c>
      <c r="BJ21" s="4">
        <f t="shared" si="34"/>
        <v>266775</v>
      </c>
      <c r="BK21" s="4">
        <f t="shared" si="34"/>
        <v>700000</v>
      </c>
      <c r="BL21" s="4">
        <f t="shared" si="34"/>
        <v>175000</v>
      </c>
      <c r="BM21" s="4">
        <f t="shared" si="34"/>
        <v>49500</v>
      </c>
      <c r="BN21" s="4">
        <f t="shared" si="34"/>
        <v>19500</v>
      </c>
      <c r="BO21" s="4">
        <f t="shared" si="34"/>
        <v>3000</v>
      </c>
      <c r="BP21" s="4">
        <f t="shared" si="34"/>
        <v>72000</v>
      </c>
      <c r="BQ21" s="4">
        <f t="shared" si="34"/>
        <v>700000</v>
      </c>
      <c r="BR21" s="4">
        <f t="shared" si="34"/>
        <v>175000</v>
      </c>
      <c r="BS21" s="4">
        <f t="shared" si="34"/>
        <v>49500</v>
      </c>
      <c r="BT21" s="4">
        <f t="shared" si="34"/>
        <v>19500</v>
      </c>
      <c r="BU21" s="4">
        <f t="shared" si="34"/>
        <v>3000</v>
      </c>
      <c r="BV21" s="4">
        <f t="shared" si="34"/>
        <v>72000</v>
      </c>
      <c r="BW21" s="4">
        <f>SUM(BW11:BW20)</f>
        <v>12588104.9</v>
      </c>
      <c r="BX21" s="4">
        <f>SUM(BX11:BX20)</f>
        <v>3147026.25</v>
      </c>
      <c r="BY21" s="4">
        <f t="shared" ref="BY21:CA21" si="35">SUM(BY11:BY20)</f>
        <v>904698</v>
      </c>
      <c r="BZ21" s="4">
        <f t="shared" si="35"/>
        <v>396277.74999999994</v>
      </c>
      <c r="CA21" s="4">
        <f t="shared" si="35"/>
        <v>63965</v>
      </c>
      <c r="CB21" s="4">
        <f>SUM(CB11:CB20)</f>
        <v>1364940.75</v>
      </c>
    </row>
    <row r="22" spans="1:80" s="29" customFormat="1" ht="12.75" x14ac:dyDescent="0.2">
      <c r="A22" s="30"/>
      <c r="B22" s="27" t="s">
        <v>59</v>
      </c>
      <c r="C22" s="31">
        <v>0</v>
      </c>
      <c r="D22" s="31">
        <v>4220.58</v>
      </c>
      <c r="E22" s="31">
        <v>0</v>
      </c>
      <c r="F22" s="31">
        <v>2124.09</v>
      </c>
      <c r="G22" s="31">
        <v>0</v>
      </c>
      <c r="H22" s="31">
        <f>E22+F22+G22</f>
        <v>2124.09</v>
      </c>
      <c r="I22" s="31">
        <v>0</v>
      </c>
      <c r="J22" s="31">
        <v>323215.92</v>
      </c>
      <c r="K22" s="31">
        <v>0</v>
      </c>
      <c r="L22" s="31">
        <v>45692.39</v>
      </c>
      <c r="M22" s="31">
        <v>0</v>
      </c>
      <c r="N22" s="31">
        <f>K22+L22+M22</f>
        <v>45692.39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f>+Q22+R22+S22</f>
        <v>0</v>
      </c>
      <c r="U22" s="31">
        <v>0</v>
      </c>
      <c r="V22" s="31">
        <v>0</v>
      </c>
      <c r="W22" s="31">
        <v>0</v>
      </c>
      <c r="X22" s="31">
        <v>0</v>
      </c>
      <c r="Y22" s="31">
        <v>0</v>
      </c>
      <c r="Z22" s="31">
        <f>+W22+X22+Y22</f>
        <v>0</v>
      </c>
      <c r="AA22" s="31">
        <v>0</v>
      </c>
      <c r="AB22" s="31">
        <v>1440757.98</v>
      </c>
      <c r="AC22" s="31">
        <v>0</v>
      </c>
      <c r="AD22" s="31">
        <v>118256.73</v>
      </c>
      <c r="AE22" s="31">
        <v>0</v>
      </c>
      <c r="AF22" s="31">
        <f>+AC22+AD22+AE22</f>
        <v>118256.73</v>
      </c>
      <c r="AG22" s="31">
        <v>4879288</v>
      </c>
      <c r="AH22" s="31">
        <v>300000</v>
      </c>
      <c r="AI22" s="31">
        <v>130000</v>
      </c>
      <c r="AJ22" s="31">
        <v>78000</v>
      </c>
      <c r="AK22" s="31">
        <v>12000</v>
      </c>
      <c r="AL22" s="31">
        <f>+AI22+AJ22+AK22</f>
        <v>220000</v>
      </c>
      <c r="AM22" s="31"/>
      <c r="AN22" s="31">
        <v>306262.15000000002</v>
      </c>
      <c r="AO22" s="31">
        <v>130000</v>
      </c>
      <c r="AP22" s="31">
        <v>60000</v>
      </c>
      <c r="AQ22" s="31">
        <v>8030</v>
      </c>
      <c r="AR22" s="31">
        <f>+AO22+AP22+AQ22</f>
        <v>198030</v>
      </c>
      <c r="AS22" s="31">
        <v>0</v>
      </c>
      <c r="AT22" s="31">
        <v>586384.85</v>
      </c>
      <c r="AU22" s="31">
        <v>120718.46</v>
      </c>
      <c r="AV22" s="31">
        <v>0</v>
      </c>
      <c r="AW22" s="31">
        <v>8306</v>
      </c>
      <c r="AX22" s="31">
        <f>+AU22+AV22+AW22</f>
        <v>129024.46</v>
      </c>
      <c r="AY22" s="31">
        <v>855600</v>
      </c>
      <c r="AZ22" s="31">
        <v>287222</v>
      </c>
      <c r="BA22" s="31">
        <v>66770.210000000006</v>
      </c>
      <c r="BB22" s="31">
        <v>73600</v>
      </c>
      <c r="BC22" s="31">
        <v>3000</v>
      </c>
      <c r="BD22" s="31">
        <f>BA22+BB22+BC22</f>
        <v>143370.21000000002</v>
      </c>
      <c r="BE22" s="31"/>
      <c r="BF22" s="31">
        <v>175000</v>
      </c>
      <c r="BG22" s="31">
        <v>52000</v>
      </c>
      <c r="BH22" s="31">
        <v>19500</v>
      </c>
      <c r="BI22" s="31">
        <v>3000</v>
      </c>
      <c r="BJ22" s="31">
        <f>+BG22+BH22+BI22</f>
        <v>74500</v>
      </c>
      <c r="BK22" s="31"/>
      <c r="BL22" s="31">
        <v>627250</v>
      </c>
      <c r="BM22" s="31">
        <v>176075</v>
      </c>
      <c r="BN22" s="31">
        <v>78650</v>
      </c>
      <c r="BO22" s="31">
        <v>12100</v>
      </c>
      <c r="BP22" s="31">
        <f>+BM22+BN22+BO22</f>
        <v>266825</v>
      </c>
      <c r="BQ22" s="31">
        <v>2806845</v>
      </c>
      <c r="BR22" s="31">
        <v>375000</v>
      </c>
      <c r="BS22" s="31">
        <v>122000</v>
      </c>
      <c r="BT22" s="31">
        <v>39000</v>
      </c>
      <c r="BU22" s="31">
        <v>6000</v>
      </c>
      <c r="BV22" s="31">
        <f>+BS22+BT22+BU22</f>
        <v>167000</v>
      </c>
      <c r="BW22" s="28">
        <f>C22+I22+O22+U22+AA22+AG22+AM22+AS22+AY22+BE22+BK22+BQ22</f>
        <v>8541733</v>
      </c>
      <c r="BX22" s="28">
        <f>D22+J22+P22+V22+AB22+AH22+AN22+AT22+AZ22+BF22+BL22+BR22</f>
        <v>4425313.4800000004</v>
      </c>
      <c r="BY22" s="28">
        <f>E22+K22+Q22+W22+AC22+AI22+AO22+AU22+BA22+BG22+BM22+BS22</f>
        <v>797563.67</v>
      </c>
      <c r="BZ22" s="28">
        <f>F22+L22+R22+X22+AD22+AJ22+AP22+AV22+BB22+BH22+BN22+BT22</f>
        <v>514823.20999999996</v>
      </c>
      <c r="CA22" s="28">
        <f>G22+M22+S22+Y22+AE22+AK22+AQ22+AW22+BC22+BI22+BO22+BU22</f>
        <v>52436</v>
      </c>
      <c r="CB22" s="28">
        <f>BY22+BZ22+CA22</f>
        <v>1364822.88</v>
      </c>
    </row>
    <row r="23" spans="1:80" s="25" customFormat="1" ht="12.75" x14ac:dyDescent="0.2">
      <c r="A23" s="21"/>
      <c r="B23" s="22" t="s">
        <v>60</v>
      </c>
      <c r="C23" s="23">
        <f t="shared" ref="C23:H23" si="36">BQ9+C21-C22</f>
        <v>6784615.3700000001</v>
      </c>
      <c r="D23" s="23">
        <f t="shared" si="36"/>
        <v>-168105.96249999999</v>
      </c>
      <c r="E23" s="23">
        <f t="shared" si="36"/>
        <v>123505.14999999997</v>
      </c>
      <c r="F23" s="23">
        <f t="shared" si="36"/>
        <v>88031.053799999965</v>
      </c>
      <c r="G23" s="23">
        <f t="shared" si="36"/>
        <v>-45052.95</v>
      </c>
      <c r="H23" s="23">
        <f t="shared" si="36"/>
        <v>166483.25380000003</v>
      </c>
      <c r="I23" s="23">
        <f>C23+I21-I22</f>
        <v>7534615.3700000001</v>
      </c>
      <c r="J23" s="23">
        <f>+D23+J21-J22</f>
        <v>-303821.88249999995</v>
      </c>
      <c r="K23" s="23">
        <f>E23+K21-K22</f>
        <v>171755.14999999997</v>
      </c>
      <c r="L23" s="23">
        <f>+F23+L21-L22</f>
        <v>65088.663799999966</v>
      </c>
      <c r="M23" s="23">
        <f>+G23+M21-M22</f>
        <v>-41552.949999999997</v>
      </c>
      <c r="N23" s="23">
        <f>+H23+N21-N22</f>
        <v>195290.86380000005</v>
      </c>
      <c r="O23" s="23">
        <f>I23+O21-O22</f>
        <v>8303846.1299999999</v>
      </c>
      <c r="P23" s="23">
        <f>J23+P21-P22</f>
        <v>-111514.13249999995</v>
      </c>
      <c r="Q23" s="23">
        <f>+K23+Q21-Q22</f>
        <v>221755.14999999997</v>
      </c>
      <c r="R23" s="23">
        <f>+L23+R21-R22</f>
        <v>89088.663799999966</v>
      </c>
      <c r="S23" s="23">
        <f>+M23+S21-S22</f>
        <v>-37860.949999999997</v>
      </c>
      <c r="T23" s="23">
        <f>+N23+T21-T22</f>
        <v>272982.86380000005</v>
      </c>
      <c r="U23" s="23">
        <f>O23+U21-U22</f>
        <v>9003846.129999999</v>
      </c>
      <c r="V23" s="23">
        <f>P23+V21-V22</f>
        <v>63485.867500000051</v>
      </c>
      <c r="W23" s="23">
        <f t="shared" ref="W23:BB23" si="37">+Q23+W21-W22</f>
        <v>290755.14999999997</v>
      </c>
      <c r="X23" s="23">
        <f t="shared" si="37"/>
        <v>108588.66379999997</v>
      </c>
      <c r="Y23" s="23">
        <f t="shared" si="37"/>
        <v>-31860.949999999997</v>
      </c>
      <c r="Z23" s="23">
        <f t="shared" si="37"/>
        <v>367482.86380000005</v>
      </c>
      <c r="AA23" s="23">
        <f t="shared" si="37"/>
        <v>10066922.129999999</v>
      </c>
      <c r="AB23" s="23">
        <f t="shared" si="37"/>
        <v>-1111503.1124999998</v>
      </c>
      <c r="AC23" s="23">
        <f t="shared" si="37"/>
        <v>364761.14999999997</v>
      </c>
      <c r="AD23" s="23">
        <f t="shared" si="37"/>
        <v>27536.883799999967</v>
      </c>
      <c r="AE23" s="23">
        <f t="shared" si="37"/>
        <v>-26136.949999999997</v>
      </c>
      <c r="AF23" s="23">
        <f t="shared" si="37"/>
        <v>366161.08380000008</v>
      </c>
      <c r="AG23" s="23">
        <f t="shared" si="37"/>
        <v>6764034.129999999</v>
      </c>
      <c r="AH23" s="23">
        <f t="shared" si="37"/>
        <v>-1017403.1124999998</v>
      </c>
      <c r="AI23" s="23">
        <f t="shared" si="37"/>
        <v>344687.14999999997</v>
      </c>
      <c r="AJ23" s="23">
        <f t="shared" si="37"/>
        <v>3523.2837999999756</v>
      </c>
      <c r="AK23" s="23">
        <f t="shared" si="37"/>
        <v>-29830.949999999997</v>
      </c>
      <c r="AL23" s="23">
        <f t="shared" si="37"/>
        <v>318379.48380000005</v>
      </c>
      <c r="AM23" s="23">
        <f t="shared" si="37"/>
        <v>8380586.129999999</v>
      </c>
      <c r="AN23" s="23">
        <f t="shared" si="37"/>
        <v>-919527.26249999984</v>
      </c>
      <c r="AO23" s="23">
        <f t="shared" si="37"/>
        <v>335928.14999999997</v>
      </c>
      <c r="AP23" s="23">
        <f t="shared" si="37"/>
        <v>-540.30620000002818</v>
      </c>
      <c r="AQ23" s="23">
        <f t="shared" si="37"/>
        <v>-29255.949999999997</v>
      </c>
      <c r="AR23" s="23">
        <f t="shared" si="37"/>
        <v>306131.89380000002</v>
      </c>
      <c r="AS23" s="23">
        <f t="shared" si="37"/>
        <v>9080586.129999999</v>
      </c>
      <c r="AT23" s="23">
        <f t="shared" si="37"/>
        <v>-1330912.1124999998</v>
      </c>
      <c r="AU23" s="23">
        <f t="shared" si="37"/>
        <v>267709.68999999994</v>
      </c>
      <c r="AV23" s="23">
        <f t="shared" si="37"/>
        <v>18959.693799999972</v>
      </c>
      <c r="AW23" s="23">
        <f t="shared" si="37"/>
        <v>-34561.949999999997</v>
      </c>
      <c r="AX23" s="23">
        <f t="shared" si="37"/>
        <v>252107.4338</v>
      </c>
      <c r="AY23" s="23">
        <f t="shared" si="37"/>
        <v>8924986.129999999</v>
      </c>
      <c r="AZ23" s="23">
        <f t="shared" si="37"/>
        <v>-1443134.1124999998</v>
      </c>
      <c r="BA23" s="23">
        <f t="shared" si="37"/>
        <v>253439.47999999992</v>
      </c>
      <c r="BB23" s="23">
        <f t="shared" si="37"/>
        <v>-35140.306200000028</v>
      </c>
      <c r="BC23" s="23">
        <f t="shared" ref="BC23:BV23" si="38">+AW23+BC21-BC22</f>
        <v>-34561.949999999997</v>
      </c>
      <c r="BD23" s="23">
        <f t="shared" si="38"/>
        <v>183737.22379999998</v>
      </c>
      <c r="BE23" s="23">
        <f t="shared" si="38"/>
        <v>11433986.129999999</v>
      </c>
      <c r="BF23" s="23">
        <f t="shared" si="38"/>
        <v>-990884.11249999981</v>
      </c>
      <c r="BG23" s="23">
        <f t="shared" si="38"/>
        <v>377464.47999999992</v>
      </c>
      <c r="BH23" s="23">
        <f t="shared" si="38"/>
        <v>24009.693799999972</v>
      </c>
      <c r="BI23" s="23">
        <f t="shared" si="38"/>
        <v>-25461.949999999997</v>
      </c>
      <c r="BJ23" s="23">
        <f t="shared" si="38"/>
        <v>376012.22379999998</v>
      </c>
      <c r="BK23" s="23">
        <f t="shared" si="38"/>
        <v>12133986.129999999</v>
      </c>
      <c r="BL23" s="23">
        <f t="shared" si="38"/>
        <v>-1443134.1124999998</v>
      </c>
      <c r="BM23" s="23">
        <f t="shared" si="38"/>
        <v>250889.47999999992</v>
      </c>
      <c r="BN23" s="23">
        <f t="shared" si="38"/>
        <v>-35140.306200000028</v>
      </c>
      <c r="BO23" s="23">
        <f t="shared" si="38"/>
        <v>-34561.949999999997</v>
      </c>
      <c r="BP23" s="23">
        <f t="shared" si="38"/>
        <v>181187.22379999998</v>
      </c>
      <c r="BQ23" s="23">
        <f t="shared" si="38"/>
        <v>10027141.129999999</v>
      </c>
      <c r="BR23" s="23">
        <f t="shared" si="38"/>
        <v>-1643134.1124999998</v>
      </c>
      <c r="BS23" s="23">
        <f t="shared" si="38"/>
        <v>178389.47999999992</v>
      </c>
      <c r="BT23" s="23">
        <f t="shared" si="38"/>
        <v>-54640.306200000028</v>
      </c>
      <c r="BU23" s="23">
        <f t="shared" si="38"/>
        <v>-37561.949999999997</v>
      </c>
      <c r="BV23" s="23">
        <f t="shared" si="38"/>
        <v>86187.223799999978</v>
      </c>
      <c r="BW23" s="23">
        <f>BW9+BW21-BW22</f>
        <v>10027141.130000003</v>
      </c>
      <c r="BX23" s="24">
        <f>BX9+BX21-BX22</f>
        <v>-1643134.1125000003</v>
      </c>
      <c r="BY23" s="24">
        <f>BY9+BY21-BY22</f>
        <v>178389.47999999998</v>
      </c>
      <c r="BZ23" s="24">
        <f t="shared" ref="BZ23:CB23" si="39">BZ9+BZ21-BZ22</f>
        <v>-54640.30620000005</v>
      </c>
      <c r="CA23" s="24">
        <f t="shared" si="39"/>
        <v>-37561.949999999997</v>
      </c>
      <c r="CB23" s="24">
        <f t="shared" si="39"/>
        <v>86187.223800000269</v>
      </c>
    </row>
    <row r="24" spans="1:80" s="2" customFormat="1" ht="12.75" x14ac:dyDescent="0.2">
      <c r="B24" s="11" t="s">
        <v>37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</row>
    <row r="25" spans="1:80" s="2" customFormat="1" ht="12.75" x14ac:dyDescent="0.2">
      <c r="A25" s="1">
        <v>1</v>
      </c>
      <c r="B25" s="5" t="s">
        <v>15</v>
      </c>
      <c r="C25" s="6">
        <v>400000</v>
      </c>
      <c r="D25" s="6">
        <f>C25*0.15</f>
        <v>60000</v>
      </c>
      <c r="E25" s="6">
        <v>22528</v>
      </c>
      <c r="F25" s="6">
        <f>C25*0.07</f>
        <v>28000.000000000004</v>
      </c>
      <c r="G25" s="6">
        <v>0</v>
      </c>
      <c r="H25" s="6">
        <f t="shared" ref="H25:H26" si="40">+E25+F25+G25</f>
        <v>50528</v>
      </c>
      <c r="I25" s="6">
        <v>400000</v>
      </c>
      <c r="J25" s="6">
        <f>I25*0.15</f>
        <v>60000</v>
      </c>
      <c r="K25" s="6">
        <v>22528</v>
      </c>
      <c r="L25" s="6">
        <f>I25*0.07</f>
        <v>28000.000000000004</v>
      </c>
      <c r="M25" s="6">
        <v>0</v>
      </c>
      <c r="N25" s="6">
        <f t="shared" ref="N25:N26" si="41">K25+L25+M25</f>
        <v>50528</v>
      </c>
      <c r="O25" s="6">
        <v>400000</v>
      </c>
      <c r="P25" s="6">
        <f>O25*0.15</f>
        <v>60000</v>
      </c>
      <c r="Q25" s="6">
        <v>39388</v>
      </c>
      <c r="R25" s="6">
        <f>O25*0.07</f>
        <v>28000.000000000004</v>
      </c>
      <c r="S25" s="6">
        <v>0</v>
      </c>
      <c r="T25" s="6">
        <f t="shared" ref="T25:T32" si="42">Q25+R25+S25</f>
        <v>67388</v>
      </c>
      <c r="U25" s="6">
        <v>450000</v>
      </c>
      <c r="V25" s="6">
        <f>U25*0.15</f>
        <v>67500</v>
      </c>
      <c r="W25" s="6">
        <f>U25*0.05420200752</f>
        <v>24390.903383999997</v>
      </c>
      <c r="X25" s="6">
        <f>U25*0.07</f>
        <v>31500.000000000004</v>
      </c>
      <c r="Y25" s="6"/>
      <c r="Z25" s="6">
        <f t="shared" ref="Z25:Z33" si="43">W25+X25+Y25</f>
        <v>55890.903384000005</v>
      </c>
      <c r="AA25" s="6">
        <v>450000</v>
      </c>
      <c r="AB25" s="6">
        <f>AA25*0.15</f>
        <v>67500</v>
      </c>
      <c r="AC25" s="6">
        <f>AA25*0.05275026455</f>
        <v>23737.6190475</v>
      </c>
      <c r="AD25" s="6">
        <f>AA25*0.07</f>
        <v>31500.000000000004</v>
      </c>
      <c r="AE25" s="6">
        <v>0</v>
      </c>
      <c r="AF25" s="6">
        <f t="shared" ref="AF25:AF36" si="44">AC25+AD25+AE25</f>
        <v>55237.619047500004</v>
      </c>
      <c r="AG25" s="6">
        <v>450000</v>
      </c>
      <c r="AH25" s="6">
        <f>AG25*0.15</f>
        <v>67500</v>
      </c>
      <c r="AI25" s="6">
        <f>AG25*0.05808828461</f>
        <v>26139.728074499999</v>
      </c>
      <c r="AJ25" s="6">
        <f>AG25*0.07</f>
        <v>31500.000000000004</v>
      </c>
      <c r="AK25" s="6">
        <v>0</v>
      </c>
      <c r="AL25" s="6">
        <f t="shared" ref="AL25:AL36" si="45">AI25+AJ25+AK25</f>
        <v>57639.728074500003</v>
      </c>
      <c r="AM25" s="6">
        <v>450000</v>
      </c>
      <c r="AN25" s="6">
        <f>AM25*0.15</f>
        <v>67500</v>
      </c>
      <c r="AO25" s="6">
        <f>AM25*0.06645417912</f>
        <v>29904.380603999998</v>
      </c>
      <c r="AP25" s="6">
        <f>AM25*0.07</f>
        <v>31500.000000000004</v>
      </c>
      <c r="AQ25" s="6">
        <v>0</v>
      </c>
      <c r="AR25" s="6">
        <f t="shared" ref="AR25:AR36" si="46">AO25+AP25+AQ25</f>
        <v>61404.380604000005</v>
      </c>
      <c r="AS25" s="6">
        <v>450000</v>
      </c>
      <c r="AT25" s="6">
        <f>AS25*0.15</f>
        <v>67500</v>
      </c>
      <c r="AU25" s="6">
        <f>AS25*0.07916183543</f>
        <v>35622.8259435</v>
      </c>
      <c r="AV25" s="6">
        <f>AS25*0.07</f>
        <v>31500.000000000004</v>
      </c>
      <c r="AW25" s="6">
        <v>0</v>
      </c>
      <c r="AX25" s="6">
        <v>27585.23</v>
      </c>
      <c r="AY25" s="6">
        <v>500000</v>
      </c>
      <c r="AZ25" s="6">
        <f>AY25*0.15</f>
        <v>75000</v>
      </c>
      <c r="BA25" s="6">
        <f>AY25*0.08325400208</f>
        <v>41627.001040000003</v>
      </c>
      <c r="BB25" s="6">
        <v>0</v>
      </c>
      <c r="BC25" s="6">
        <v>0</v>
      </c>
      <c r="BD25" s="6">
        <f t="shared" ref="BD25:BD37" si="47">BA25+BB25+BC25</f>
        <v>41627.001040000003</v>
      </c>
      <c r="BE25" s="6">
        <v>456583</v>
      </c>
      <c r="BF25" s="6">
        <f>BE25*0.15</f>
        <v>68487.45</v>
      </c>
      <c r="BG25" s="6">
        <f>BE25*0.08823715873</f>
        <v>40287.586644419593</v>
      </c>
      <c r="BH25" s="6">
        <v>0</v>
      </c>
      <c r="BI25" s="6">
        <v>0</v>
      </c>
      <c r="BJ25" s="6">
        <f t="shared" ref="BJ25" si="48">BG25+BH25+BI25</f>
        <v>40287.586644419593</v>
      </c>
      <c r="BK25" s="6">
        <v>371551</v>
      </c>
      <c r="BL25" s="6">
        <f>BK25*0.15</f>
        <v>55732.65</v>
      </c>
      <c r="BM25" s="6">
        <f>BK25*0.09278861713</f>
        <v>34475.703483268633</v>
      </c>
      <c r="BN25" s="6">
        <v>0</v>
      </c>
      <c r="BO25" s="6">
        <v>0</v>
      </c>
      <c r="BP25" s="6">
        <f>BM25+BN25+BO25</f>
        <v>34475.703483268633</v>
      </c>
      <c r="BQ25" s="6">
        <v>379618</v>
      </c>
      <c r="BR25" s="6">
        <f>BQ25*0.15</f>
        <v>56942.7</v>
      </c>
      <c r="BS25" s="6">
        <f>BQ25*0.0865792235</f>
        <v>32867.031666622999</v>
      </c>
      <c r="BT25" s="6">
        <v>0</v>
      </c>
      <c r="BU25" s="6">
        <v>0</v>
      </c>
      <c r="BV25" s="6">
        <f>BS25+BT25+BU25</f>
        <v>32867.031666622999</v>
      </c>
      <c r="BW25" s="7">
        <f t="shared" ref="BW25:BX39" si="49">C25+I25+O25+U25+AA25+AG25+AM25+AS25+AY25+BE25+BK25+BQ25</f>
        <v>5157752</v>
      </c>
      <c r="BX25" s="7">
        <f t="shared" si="49"/>
        <v>773662.79999999993</v>
      </c>
      <c r="BY25" s="7">
        <f t="shared" ref="BY25:BY39" si="50">E25+K25+Q25+W25+AC25+AI25+AO25+AU25+BA25+BG25+BM25+BS25</f>
        <v>373496.77988781122</v>
      </c>
      <c r="BZ25" s="7">
        <f t="shared" ref="BZ25:BZ39" si="51">F25+L25+R25+X25+AD25+AJ25+AP25+AV25+BB25+BH25+BN25+BT25</f>
        <v>241500.00000000003</v>
      </c>
      <c r="CA25" s="7">
        <f t="shared" ref="CA25:CA39" si="52">G25+M25+S25+Y25+AE25+AK25+AQ25+AW25+BC25+BI25+BO25+BU25</f>
        <v>0</v>
      </c>
      <c r="CB25" s="7">
        <f t="shared" ref="CB25:CB39" si="53">H25+N25+T25+Z25+AF25+AL25+AR25+AX25+BD25+BJ25+BP25+BV25</f>
        <v>575459.18394431123</v>
      </c>
    </row>
    <row r="26" spans="1:80" s="2" customFormat="1" ht="12.75" x14ac:dyDescent="0.2">
      <c r="A26" s="1">
        <f t="shared" si="29"/>
        <v>2</v>
      </c>
      <c r="B26" s="5" t="s">
        <v>21</v>
      </c>
      <c r="C26" s="6">
        <v>400000</v>
      </c>
      <c r="D26" s="6">
        <f>C26*0.15</f>
        <v>60000</v>
      </c>
      <c r="E26" s="6">
        <v>22528</v>
      </c>
      <c r="F26" s="6">
        <f>C26*0.07</f>
        <v>28000.000000000004</v>
      </c>
      <c r="G26" s="6">
        <v>2816</v>
      </c>
      <c r="H26" s="6">
        <f t="shared" si="40"/>
        <v>53344</v>
      </c>
      <c r="I26" s="6">
        <v>400000</v>
      </c>
      <c r="J26" s="6">
        <f>I26*0.15</f>
        <v>60000</v>
      </c>
      <c r="K26" s="6">
        <v>22528</v>
      </c>
      <c r="L26" s="6">
        <f>I26*0.07</f>
        <v>28000.000000000004</v>
      </c>
      <c r="M26" s="6">
        <v>2816</v>
      </c>
      <c r="N26" s="6">
        <f t="shared" si="41"/>
        <v>53344</v>
      </c>
      <c r="O26" s="6">
        <v>400000</v>
      </c>
      <c r="P26" s="6">
        <f t="shared" ref="P26:P32" si="54">O26*0.15</f>
        <v>60000</v>
      </c>
      <c r="Q26" s="6">
        <v>29306.53</v>
      </c>
      <c r="R26" s="6">
        <f t="shared" ref="R26:R32" si="55">O26*0.07</f>
        <v>28000.000000000004</v>
      </c>
      <c r="S26" s="6">
        <v>365.4</v>
      </c>
      <c r="T26" s="6">
        <f t="shared" si="42"/>
        <v>57671.93</v>
      </c>
      <c r="U26" s="6"/>
      <c r="V26" s="6"/>
      <c r="W26" s="6"/>
      <c r="X26" s="6"/>
      <c r="Y26" s="6"/>
      <c r="Z26" s="6">
        <f t="shared" si="43"/>
        <v>0</v>
      </c>
      <c r="AA26" s="6"/>
      <c r="AB26" s="6"/>
      <c r="AC26" s="6"/>
      <c r="AD26" s="6"/>
      <c r="AE26" s="6"/>
      <c r="AF26" s="6">
        <f t="shared" si="44"/>
        <v>0</v>
      </c>
      <c r="AG26" s="6"/>
      <c r="AH26" s="6"/>
      <c r="AI26" s="6"/>
      <c r="AJ26" s="6"/>
      <c r="AK26" s="6"/>
      <c r="AL26" s="6">
        <f t="shared" si="45"/>
        <v>0</v>
      </c>
      <c r="AM26" s="6"/>
      <c r="AN26" s="6"/>
      <c r="AO26" s="6"/>
      <c r="AP26" s="6"/>
      <c r="AQ26" s="6"/>
      <c r="AR26" s="6">
        <f t="shared" si="46"/>
        <v>0</v>
      </c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>
        <f t="shared" si="47"/>
        <v>0</v>
      </c>
      <c r="BE26" s="6"/>
      <c r="BF26" s="6"/>
      <c r="BG26" s="6"/>
      <c r="BH26" s="6"/>
      <c r="BI26" s="6"/>
      <c r="BJ26" s="6"/>
      <c r="BK26" s="6"/>
      <c r="BL26" s="6">
        <f t="shared" ref="BL26:BL32" si="56">BK26*0.15</f>
        <v>0</v>
      </c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7">
        <f t="shared" si="49"/>
        <v>1200000</v>
      </c>
      <c r="BX26" s="7">
        <f t="shared" si="49"/>
        <v>180000</v>
      </c>
      <c r="BY26" s="7">
        <f t="shared" si="50"/>
        <v>74362.53</v>
      </c>
      <c r="BZ26" s="7">
        <f t="shared" si="51"/>
        <v>84000.000000000015</v>
      </c>
      <c r="CA26" s="7">
        <f t="shared" si="52"/>
        <v>5997.4</v>
      </c>
      <c r="CB26" s="7">
        <f t="shared" si="53"/>
        <v>164359.93</v>
      </c>
    </row>
    <row r="27" spans="1:80" s="2" customFormat="1" ht="22.5" customHeight="1" x14ac:dyDescent="0.2">
      <c r="A27" s="1">
        <f t="shared" si="29"/>
        <v>3</v>
      </c>
      <c r="B27" s="5" t="s">
        <v>27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>
        <v>300000</v>
      </c>
      <c r="P27" s="6">
        <f t="shared" si="54"/>
        <v>45000</v>
      </c>
      <c r="Q27" s="6">
        <v>13676.89</v>
      </c>
      <c r="R27" s="6">
        <f t="shared" si="55"/>
        <v>21000.000000000004</v>
      </c>
      <c r="S27" s="6">
        <v>170.53</v>
      </c>
      <c r="T27" s="6">
        <f t="shared" si="42"/>
        <v>34847.42</v>
      </c>
      <c r="U27" s="6">
        <v>450000</v>
      </c>
      <c r="V27" s="6">
        <f t="shared" ref="V27:V33" si="57">U27*0.15</f>
        <v>67500</v>
      </c>
      <c r="W27" s="6">
        <f t="shared" ref="W27:W33" si="58">U27*0.05420200752</f>
        <v>24390.903383999997</v>
      </c>
      <c r="X27" s="6">
        <f t="shared" ref="X27:X33" si="59">U27*0.07</f>
        <v>31500.000000000004</v>
      </c>
      <c r="Y27" s="6">
        <f>U27*0.00645434623</f>
        <v>2904.4558035</v>
      </c>
      <c r="Z27" s="6">
        <f t="shared" si="43"/>
        <v>58795.359187500006</v>
      </c>
      <c r="AA27" s="6">
        <v>450000</v>
      </c>
      <c r="AB27" s="6">
        <f t="shared" ref="AB27:AB35" si="60">AA27*0.15</f>
        <v>67500</v>
      </c>
      <c r="AC27" s="6">
        <f t="shared" ref="AC27:AC35" si="61">AA27*0.05275026455</f>
        <v>23737.6190475</v>
      </c>
      <c r="AD27" s="6">
        <f t="shared" ref="AD27:AD35" si="62">AA27*0.07</f>
        <v>31500.000000000004</v>
      </c>
      <c r="AE27" s="6">
        <f>AA27*0.00638558558</f>
        <v>2873.5135110000001</v>
      </c>
      <c r="AF27" s="6">
        <f t="shared" si="44"/>
        <v>58111.132558500001</v>
      </c>
      <c r="AG27" s="6">
        <v>450000</v>
      </c>
      <c r="AH27" s="6">
        <f t="shared" ref="AH27:AH36" si="63">AG27*0.15</f>
        <v>67500</v>
      </c>
      <c r="AI27" s="6">
        <f t="shared" ref="AI27:AI36" si="64">AG27*0.05808828461</f>
        <v>26139.728074499999</v>
      </c>
      <c r="AJ27" s="6">
        <f t="shared" ref="AJ27:AJ35" si="65">AG27*0.07</f>
        <v>31500.000000000004</v>
      </c>
      <c r="AK27" s="6">
        <f>AG27*0.00631604636</f>
        <v>2842.2208620000001</v>
      </c>
      <c r="AL27" s="6">
        <f t="shared" si="45"/>
        <v>60481.948936500004</v>
      </c>
      <c r="AM27" s="6">
        <v>450000</v>
      </c>
      <c r="AN27" s="6">
        <f t="shared" ref="AN27:AN36" si="66">AM27*0.15</f>
        <v>67500</v>
      </c>
      <c r="AO27" s="6">
        <f t="shared" ref="AO27:AO33" si="67">AM27*0.06645417912</f>
        <v>29904.380603999998</v>
      </c>
      <c r="AP27" s="6">
        <f>AM27*0.07</f>
        <v>31500.000000000004</v>
      </c>
      <c r="AQ27" s="6">
        <f>AM27*0.00662449528</f>
        <v>2981.022876</v>
      </c>
      <c r="AR27" s="6">
        <f t="shared" si="46"/>
        <v>64385.403480000008</v>
      </c>
      <c r="AS27" s="6">
        <v>450000</v>
      </c>
      <c r="AT27" s="6">
        <f t="shared" ref="AT27:AT37" si="68">AS27*0.15</f>
        <v>67500</v>
      </c>
      <c r="AU27" s="6">
        <f t="shared" ref="AU27:AU33" si="69">AS27*0.07916183543</f>
        <v>35622.8259435</v>
      </c>
      <c r="AV27" s="6">
        <f>AS27*0.07</f>
        <v>31500.000000000004</v>
      </c>
      <c r="AW27" s="6">
        <f>AS27*0.00678908951</f>
        <v>3055.0902794999997</v>
      </c>
      <c r="AX27" s="6">
        <v>56046.77</v>
      </c>
      <c r="AY27" s="6">
        <v>500000</v>
      </c>
      <c r="AZ27" s="6">
        <f t="shared" ref="AZ27:AZ37" si="70">AY27*0.15</f>
        <v>75000</v>
      </c>
      <c r="BA27" s="6">
        <f t="shared" ref="BA27:BA33" si="71">AY27*0.08325400208</f>
        <v>41627.001040000003</v>
      </c>
      <c r="BB27" s="6">
        <f>AY27*0.08348290013</f>
        <v>41741.450064999997</v>
      </c>
      <c r="BC27" s="6">
        <f>AY27*0.00678761969</f>
        <v>3393.8098449999998</v>
      </c>
      <c r="BD27" s="6">
        <f t="shared" si="47"/>
        <v>86762.260949999996</v>
      </c>
      <c r="BE27" s="6">
        <v>498090</v>
      </c>
      <c r="BF27" s="6">
        <f t="shared" ref="BF27:BF33" si="72">BE27*0.15</f>
        <v>74713.5</v>
      </c>
      <c r="BG27" s="6">
        <f t="shared" ref="BG27:BG33" si="73">BE27*0.08823715873</f>
        <v>43950.046391825701</v>
      </c>
      <c r="BH27" s="6">
        <f>BE27*0.1231012597</f>
        <v>61315.506443972998</v>
      </c>
      <c r="BI27" s="6">
        <f>BE27*0.00945566816</f>
        <v>4709.7737538144002</v>
      </c>
      <c r="BJ27" s="6">
        <f t="shared" ref="BJ27:BJ33" si="74">BG27+BH27+BI27</f>
        <v>109975.32658961311</v>
      </c>
      <c r="BK27" s="6">
        <v>351995</v>
      </c>
      <c r="BL27" s="6">
        <f t="shared" si="56"/>
        <v>52799.25</v>
      </c>
      <c r="BM27" s="6">
        <f t="shared" ref="BM27:BM32" si="75">BK27*0.09278861713</f>
        <v>32661.12928667435</v>
      </c>
      <c r="BN27" s="6">
        <f>BK27*0.13828086823</f>
        <v>48674.174212618847</v>
      </c>
      <c r="BO27" s="6">
        <f>BK27*0.00964390989</f>
        <v>3394.6080617305502</v>
      </c>
      <c r="BP27" s="6">
        <f t="shared" ref="BP27:BP32" si="76">BM27+BN27+BO27</f>
        <v>84729.91156102375</v>
      </c>
      <c r="BQ27" s="6">
        <v>370128</v>
      </c>
      <c r="BR27" s="6">
        <f t="shared" ref="BR27:BR32" si="77">BQ27*0.15</f>
        <v>55519.199999999997</v>
      </c>
      <c r="BS27" s="6">
        <f t="shared" ref="BS27:BS32" si="78">BQ27*0.0865792235</f>
        <v>32045.394835608</v>
      </c>
      <c r="BT27" s="6">
        <f>BQ27*0.13715841829</f>
        <v>50766.171044841118</v>
      </c>
      <c r="BU27" s="6">
        <f>BQ27*0.00997719835</f>
        <v>3692.8404708888002</v>
      </c>
      <c r="BV27" s="6">
        <f t="shared" ref="BV27:BV32" si="79">BS27+BT27+BU27</f>
        <v>86504.406351337908</v>
      </c>
      <c r="BW27" s="7">
        <f t="shared" si="49"/>
        <v>4270213</v>
      </c>
      <c r="BX27" s="7">
        <f t="shared" si="49"/>
        <v>640531.94999999995</v>
      </c>
      <c r="BY27" s="7">
        <f t="shared" si="50"/>
        <v>303755.91860760812</v>
      </c>
      <c r="BZ27" s="7">
        <f t="shared" si="51"/>
        <v>380997.301766433</v>
      </c>
      <c r="CA27" s="7">
        <f t="shared" si="52"/>
        <v>30017.865463433751</v>
      </c>
      <c r="CB27" s="7">
        <f t="shared" si="53"/>
        <v>700639.93961447489</v>
      </c>
    </row>
    <row r="28" spans="1:80" s="2" customFormat="1" ht="12" customHeight="1" x14ac:dyDescent="0.2">
      <c r="A28" s="1">
        <f t="shared" si="29"/>
        <v>4</v>
      </c>
      <c r="B28" s="5" t="s">
        <v>18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>
        <v>300000</v>
      </c>
      <c r="P28" s="6">
        <f t="shared" si="54"/>
        <v>45000</v>
      </c>
      <c r="Q28" s="6">
        <v>12822.08</v>
      </c>
      <c r="R28" s="6">
        <f t="shared" si="55"/>
        <v>21000.000000000004</v>
      </c>
      <c r="S28" s="6">
        <v>159.87</v>
      </c>
      <c r="T28" s="6">
        <f t="shared" si="42"/>
        <v>33981.950000000004</v>
      </c>
      <c r="U28" s="6">
        <v>388000</v>
      </c>
      <c r="V28" s="6">
        <f t="shared" si="57"/>
        <v>58200</v>
      </c>
      <c r="W28" s="6">
        <f t="shared" si="58"/>
        <v>21030.378917759997</v>
      </c>
      <c r="X28" s="6">
        <f t="shared" si="59"/>
        <v>27160.000000000004</v>
      </c>
      <c r="Y28" s="6">
        <f t="shared" ref="Y28:Y33" si="80">U28*0.00645434623</f>
        <v>2504.2863372399997</v>
      </c>
      <c r="Z28" s="6">
        <f t="shared" si="43"/>
        <v>50694.665255</v>
      </c>
      <c r="AA28" s="6">
        <v>388000</v>
      </c>
      <c r="AB28" s="6">
        <f t="shared" si="60"/>
        <v>58200</v>
      </c>
      <c r="AC28" s="6">
        <f t="shared" si="61"/>
        <v>20467.102645400002</v>
      </c>
      <c r="AD28" s="6">
        <f t="shared" si="62"/>
        <v>27160.000000000004</v>
      </c>
      <c r="AE28" s="6">
        <f t="shared" ref="AE28:AE35" si="81">AA28*0.00638558558</f>
        <v>2477.6072050400003</v>
      </c>
      <c r="AF28" s="6">
        <f t="shared" si="44"/>
        <v>50104.709850440013</v>
      </c>
      <c r="AG28" s="6">
        <v>370000</v>
      </c>
      <c r="AH28" s="6">
        <f t="shared" si="63"/>
        <v>55500</v>
      </c>
      <c r="AI28" s="6">
        <f t="shared" si="64"/>
        <v>21492.6653057</v>
      </c>
      <c r="AJ28" s="6">
        <f t="shared" si="65"/>
        <v>25900.000000000004</v>
      </c>
      <c r="AK28" s="6">
        <f t="shared" ref="AK28:AK35" si="82">AG28*0.00631604636</f>
        <v>2336.9371532</v>
      </c>
      <c r="AL28" s="6">
        <f t="shared" si="45"/>
        <v>49729.602458900008</v>
      </c>
      <c r="AM28" s="6">
        <v>370000</v>
      </c>
      <c r="AN28" s="6">
        <f t="shared" si="66"/>
        <v>55500</v>
      </c>
      <c r="AO28" s="6">
        <f t="shared" si="67"/>
        <v>24588.0462744</v>
      </c>
      <c r="AP28" s="6">
        <f t="shared" ref="AP28:AP34" si="83">AM28*0.07</f>
        <v>25900.000000000004</v>
      </c>
      <c r="AQ28" s="6">
        <f t="shared" ref="AQ28:AQ35" si="84">AM28*0.00662449528</f>
        <v>2451.0632535999998</v>
      </c>
      <c r="AR28" s="6">
        <f t="shared" si="46"/>
        <v>52939.109528000001</v>
      </c>
      <c r="AS28" s="6">
        <v>365000</v>
      </c>
      <c r="AT28" s="6">
        <f t="shared" si="68"/>
        <v>54750</v>
      </c>
      <c r="AU28" s="6">
        <f t="shared" si="69"/>
        <v>28894.069931949998</v>
      </c>
      <c r="AV28" s="6">
        <v>27440</v>
      </c>
      <c r="AW28" s="6">
        <f t="shared" ref="AW28:AW33" si="85">AS28*0.00678908951</f>
        <v>2478.0176711499998</v>
      </c>
      <c r="AX28" s="6">
        <v>25642.92</v>
      </c>
      <c r="AY28" s="6">
        <v>404000</v>
      </c>
      <c r="AZ28" s="6">
        <f t="shared" si="70"/>
        <v>60600</v>
      </c>
      <c r="BA28" s="6">
        <f t="shared" si="71"/>
        <v>33634.616840319999</v>
      </c>
      <c r="BB28" s="6">
        <f t="shared" ref="BB28:BB33" si="86">AY28*0.08348290013</f>
        <v>33727.091652520001</v>
      </c>
      <c r="BC28" s="6">
        <f t="shared" ref="BC28:BC33" si="87">AY28*0.00678761969</f>
        <v>2742.1983547599998</v>
      </c>
      <c r="BD28" s="6">
        <f t="shared" si="47"/>
        <v>70103.906847599996</v>
      </c>
      <c r="BE28" s="6">
        <v>217915</v>
      </c>
      <c r="BF28" s="6">
        <f t="shared" si="72"/>
        <v>32687.25</v>
      </c>
      <c r="BG28" s="6">
        <f t="shared" si="73"/>
        <v>19228.200444647951</v>
      </c>
      <c r="BH28" s="6">
        <f t="shared" ref="BH28:BH33" si="88">BE28*0.1231012597</f>
        <v>26825.611007525498</v>
      </c>
      <c r="BI28" s="6">
        <f t="shared" ref="BI28:BI33" si="89">BE28*0.00945566816</f>
        <v>2060.5319270864002</v>
      </c>
      <c r="BJ28" s="6">
        <f t="shared" si="74"/>
        <v>48114.343379259852</v>
      </c>
      <c r="BK28" s="6">
        <v>190664</v>
      </c>
      <c r="BL28" s="6">
        <f t="shared" si="56"/>
        <v>28599.599999999999</v>
      </c>
      <c r="BM28" s="6">
        <f t="shared" si="75"/>
        <v>17691.448896474321</v>
      </c>
      <c r="BN28" s="6">
        <f t="shared" ref="BN28:BN32" si="90">BK28*0.13828086823</f>
        <v>26365.18346020472</v>
      </c>
      <c r="BO28" s="6">
        <f t="shared" ref="BO28:BO32" si="91">BK28*0.00964390989</f>
        <v>1838.7464352669599</v>
      </c>
      <c r="BP28" s="6">
        <f t="shared" si="76"/>
        <v>45895.378791946001</v>
      </c>
      <c r="BQ28" s="6">
        <v>185064</v>
      </c>
      <c r="BR28" s="6">
        <f t="shared" si="77"/>
        <v>27759.599999999999</v>
      </c>
      <c r="BS28" s="6">
        <f t="shared" si="78"/>
        <v>16022.697417804</v>
      </c>
      <c r="BT28" s="6">
        <f t="shared" ref="BT28:BT32" si="92">BQ28*0.13715841829</f>
        <v>25383.085522420559</v>
      </c>
      <c r="BU28" s="6">
        <f t="shared" ref="BU28:BU32" si="93">BQ28*0.00997719835</f>
        <v>1846.4202354444001</v>
      </c>
      <c r="BV28" s="6">
        <f t="shared" si="79"/>
        <v>43252.203175668954</v>
      </c>
      <c r="BW28" s="7">
        <f t="shared" si="49"/>
        <v>3178643</v>
      </c>
      <c r="BX28" s="7">
        <f t="shared" si="49"/>
        <v>476796.44999999995</v>
      </c>
      <c r="BY28" s="7">
        <f t="shared" si="50"/>
        <v>215871.30667445628</v>
      </c>
      <c r="BZ28" s="7">
        <f t="shared" si="51"/>
        <v>266860.9716426708</v>
      </c>
      <c r="CA28" s="7">
        <f t="shared" si="52"/>
        <v>20895.678572787754</v>
      </c>
      <c r="CB28" s="7">
        <f t="shared" si="53"/>
        <v>470458.78928681486</v>
      </c>
    </row>
    <row r="29" spans="1:80" s="2" customFormat="1" ht="12" customHeight="1" x14ac:dyDescent="0.2">
      <c r="A29" s="1">
        <f t="shared" si="29"/>
        <v>5</v>
      </c>
      <c r="B29" s="5" t="s">
        <v>28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>
        <v>300000</v>
      </c>
      <c r="P29" s="6">
        <f t="shared" si="54"/>
        <v>45000</v>
      </c>
      <c r="Q29" s="6">
        <v>9402.86</v>
      </c>
      <c r="R29" s="6">
        <f t="shared" si="55"/>
        <v>21000.000000000004</v>
      </c>
      <c r="S29" s="6">
        <v>10942.1</v>
      </c>
      <c r="T29" s="6">
        <f t="shared" si="42"/>
        <v>41344.960000000006</v>
      </c>
      <c r="U29" s="6">
        <v>388000</v>
      </c>
      <c r="V29" s="6">
        <f t="shared" si="57"/>
        <v>58200</v>
      </c>
      <c r="W29" s="6">
        <f t="shared" si="58"/>
        <v>21030.378917759997</v>
      </c>
      <c r="X29" s="6">
        <f t="shared" si="59"/>
        <v>27160.000000000004</v>
      </c>
      <c r="Y29" s="6">
        <f t="shared" si="80"/>
        <v>2504.2863372399997</v>
      </c>
      <c r="Z29" s="6">
        <f t="shared" si="43"/>
        <v>50694.665255</v>
      </c>
      <c r="AA29" s="6">
        <v>388000</v>
      </c>
      <c r="AB29" s="6">
        <f t="shared" si="60"/>
        <v>58200</v>
      </c>
      <c r="AC29" s="6">
        <f t="shared" si="61"/>
        <v>20467.102645400002</v>
      </c>
      <c r="AD29" s="6">
        <f t="shared" si="62"/>
        <v>27160.000000000004</v>
      </c>
      <c r="AE29" s="6">
        <f t="shared" si="81"/>
        <v>2477.6072050400003</v>
      </c>
      <c r="AF29" s="6">
        <f t="shared" si="44"/>
        <v>50104.709850440013</v>
      </c>
      <c r="AG29" s="6">
        <v>370000</v>
      </c>
      <c r="AH29" s="6">
        <f t="shared" si="63"/>
        <v>55500</v>
      </c>
      <c r="AI29" s="6">
        <f t="shared" si="64"/>
        <v>21492.6653057</v>
      </c>
      <c r="AJ29" s="6">
        <f t="shared" si="65"/>
        <v>25900.000000000004</v>
      </c>
      <c r="AK29" s="6">
        <f t="shared" si="82"/>
        <v>2336.9371532</v>
      </c>
      <c r="AL29" s="6">
        <f t="shared" si="45"/>
        <v>49729.602458900008</v>
      </c>
      <c r="AM29" s="6">
        <v>370000</v>
      </c>
      <c r="AN29" s="6">
        <f t="shared" si="66"/>
        <v>55500</v>
      </c>
      <c r="AO29" s="6">
        <f t="shared" si="67"/>
        <v>24588.0462744</v>
      </c>
      <c r="AP29" s="6">
        <f t="shared" si="83"/>
        <v>25900.000000000004</v>
      </c>
      <c r="AQ29" s="6">
        <f t="shared" si="84"/>
        <v>2451.0632535999998</v>
      </c>
      <c r="AR29" s="6">
        <f t="shared" si="46"/>
        <v>52939.109528000001</v>
      </c>
      <c r="AS29" s="6">
        <v>365000</v>
      </c>
      <c r="AT29" s="6">
        <f t="shared" si="68"/>
        <v>54750</v>
      </c>
      <c r="AU29" s="6">
        <f t="shared" si="69"/>
        <v>28894.069931949998</v>
      </c>
      <c r="AV29" s="6">
        <v>27440</v>
      </c>
      <c r="AW29" s="6">
        <f t="shared" si="85"/>
        <v>2478.0176711499998</v>
      </c>
      <c r="AX29" s="6">
        <v>38162.15</v>
      </c>
      <c r="AY29" s="6">
        <v>404000</v>
      </c>
      <c r="AZ29" s="6">
        <f t="shared" si="70"/>
        <v>60600</v>
      </c>
      <c r="BA29" s="6">
        <f t="shared" si="71"/>
        <v>33634.616840319999</v>
      </c>
      <c r="BB29" s="6">
        <f t="shared" si="86"/>
        <v>33727.091652520001</v>
      </c>
      <c r="BC29" s="6">
        <f t="shared" si="87"/>
        <v>2742.1983547599998</v>
      </c>
      <c r="BD29" s="6">
        <f t="shared" si="47"/>
        <v>70103.906847599996</v>
      </c>
      <c r="BE29" s="6">
        <v>311306</v>
      </c>
      <c r="BF29" s="6">
        <f t="shared" si="72"/>
        <v>46695.9</v>
      </c>
      <c r="BG29" s="6">
        <f t="shared" si="73"/>
        <v>27468.756935601381</v>
      </c>
      <c r="BH29" s="6">
        <f t="shared" si="88"/>
        <v>38322.160752168194</v>
      </c>
      <c r="BI29" s="6">
        <f t="shared" si="89"/>
        <v>2943.6062322169601</v>
      </c>
      <c r="BJ29" s="6">
        <f t="shared" si="74"/>
        <v>68734.523919986532</v>
      </c>
      <c r="BK29" s="6">
        <v>249331</v>
      </c>
      <c r="BL29" s="6">
        <f t="shared" si="56"/>
        <v>37399.65</v>
      </c>
      <c r="BM29" s="6">
        <f t="shared" si="75"/>
        <v>23135.07869764003</v>
      </c>
      <c r="BN29" s="6">
        <f t="shared" si="90"/>
        <v>34477.707156654127</v>
      </c>
      <c r="BO29" s="6">
        <f t="shared" si="91"/>
        <v>2404.5256967835899</v>
      </c>
      <c r="BP29" s="6">
        <f t="shared" si="76"/>
        <v>60017.311551077742</v>
      </c>
      <c r="BQ29" s="6">
        <v>256242</v>
      </c>
      <c r="BR29" s="6">
        <f t="shared" si="77"/>
        <v>38436.299999999996</v>
      </c>
      <c r="BS29" s="6">
        <f t="shared" si="78"/>
        <v>22185.233388086999</v>
      </c>
      <c r="BT29" s="6">
        <f t="shared" si="92"/>
        <v>35145.747419466177</v>
      </c>
      <c r="BU29" s="6">
        <f t="shared" si="93"/>
        <v>2556.5772596007</v>
      </c>
      <c r="BV29" s="6">
        <f t="shared" si="79"/>
        <v>59887.558067153877</v>
      </c>
      <c r="BW29" s="7">
        <f t="shared" si="49"/>
        <v>3401879</v>
      </c>
      <c r="BX29" s="7">
        <f t="shared" si="49"/>
        <v>510281.85000000003</v>
      </c>
      <c r="BY29" s="7">
        <f t="shared" si="50"/>
        <v>232298.80893685843</v>
      </c>
      <c r="BZ29" s="7">
        <f t="shared" si="51"/>
        <v>296232.70698080852</v>
      </c>
      <c r="CA29" s="7">
        <f t="shared" si="52"/>
        <v>33836.91916359125</v>
      </c>
      <c r="CB29" s="7">
        <f t="shared" si="53"/>
        <v>541718.49747815821</v>
      </c>
    </row>
    <row r="30" spans="1:80" s="2" customFormat="1" ht="12" customHeight="1" x14ac:dyDescent="0.2">
      <c r="A30" s="1">
        <f t="shared" si="29"/>
        <v>6</v>
      </c>
      <c r="B30" s="5" t="s">
        <v>29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>
        <v>300000</v>
      </c>
      <c r="P30" s="6">
        <f t="shared" si="54"/>
        <v>45000</v>
      </c>
      <c r="Q30" s="6">
        <v>6838.44</v>
      </c>
      <c r="R30" s="6">
        <f t="shared" si="55"/>
        <v>21000.000000000004</v>
      </c>
      <c r="S30" s="6">
        <v>85.26</v>
      </c>
      <c r="T30" s="6">
        <f t="shared" si="42"/>
        <v>27923.7</v>
      </c>
      <c r="U30" s="6">
        <v>378000</v>
      </c>
      <c r="V30" s="6">
        <f t="shared" si="57"/>
        <v>56700</v>
      </c>
      <c r="W30" s="6">
        <f t="shared" si="58"/>
        <v>20488.358842559999</v>
      </c>
      <c r="X30" s="6">
        <f t="shared" si="59"/>
        <v>26460.000000000004</v>
      </c>
      <c r="Y30" s="6">
        <f t="shared" si="80"/>
        <v>2439.7428749399996</v>
      </c>
      <c r="Z30" s="6">
        <f t="shared" si="43"/>
        <v>49388.101717500002</v>
      </c>
      <c r="AA30" s="6">
        <v>378000</v>
      </c>
      <c r="AB30" s="6">
        <f t="shared" si="60"/>
        <v>56700</v>
      </c>
      <c r="AC30" s="6">
        <f t="shared" si="61"/>
        <v>19939.599999900001</v>
      </c>
      <c r="AD30" s="6">
        <f t="shared" si="62"/>
        <v>26460.000000000004</v>
      </c>
      <c r="AE30" s="6">
        <f t="shared" si="81"/>
        <v>2413.7513492400003</v>
      </c>
      <c r="AF30" s="6">
        <f t="shared" si="44"/>
        <v>48813.351349140008</v>
      </c>
      <c r="AG30" s="6">
        <v>370000</v>
      </c>
      <c r="AH30" s="6">
        <f t="shared" si="63"/>
        <v>55500</v>
      </c>
      <c r="AI30" s="6">
        <f t="shared" si="64"/>
        <v>21492.6653057</v>
      </c>
      <c r="AJ30" s="6">
        <f t="shared" si="65"/>
        <v>25900.000000000004</v>
      </c>
      <c r="AK30" s="6">
        <f t="shared" si="82"/>
        <v>2336.9371532</v>
      </c>
      <c r="AL30" s="6">
        <f t="shared" si="45"/>
        <v>49729.602458900008</v>
      </c>
      <c r="AM30" s="6">
        <v>370000</v>
      </c>
      <c r="AN30" s="6">
        <f t="shared" si="66"/>
        <v>55500</v>
      </c>
      <c r="AO30" s="6">
        <f t="shared" si="67"/>
        <v>24588.0462744</v>
      </c>
      <c r="AP30" s="6">
        <f t="shared" si="83"/>
        <v>25900.000000000004</v>
      </c>
      <c r="AQ30" s="6">
        <f t="shared" si="84"/>
        <v>2451.0632535999998</v>
      </c>
      <c r="AR30" s="6">
        <f t="shared" si="46"/>
        <v>52939.109528000001</v>
      </c>
      <c r="AS30" s="6">
        <v>365000</v>
      </c>
      <c r="AT30" s="6">
        <f t="shared" si="68"/>
        <v>54750</v>
      </c>
      <c r="AU30" s="6">
        <f t="shared" si="69"/>
        <v>28894.069931949998</v>
      </c>
      <c r="AV30" s="6">
        <v>27440</v>
      </c>
      <c r="AW30" s="6">
        <f t="shared" si="85"/>
        <v>2478.0176711499998</v>
      </c>
      <c r="AX30" s="6">
        <v>27431.39</v>
      </c>
      <c r="AY30" s="6">
        <v>404000</v>
      </c>
      <c r="AZ30" s="6">
        <f t="shared" si="70"/>
        <v>60600</v>
      </c>
      <c r="BA30" s="6">
        <f t="shared" si="71"/>
        <v>33634.616840319999</v>
      </c>
      <c r="BB30" s="6">
        <f t="shared" si="86"/>
        <v>33727.091652520001</v>
      </c>
      <c r="BC30" s="6">
        <f t="shared" si="87"/>
        <v>2742.1983547599998</v>
      </c>
      <c r="BD30" s="6">
        <f t="shared" si="47"/>
        <v>70103.906847599996</v>
      </c>
      <c r="BE30" s="6">
        <v>249045</v>
      </c>
      <c r="BF30" s="6">
        <f t="shared" si="72"/>
        <v>37356.75</v>
      </c>
      <c r="BG30" s="6">
        <f t="shared" si="73"/>
        <v>21975.02319591285</v>
      </c>
      <c r="BH30" s="6">
        <f t="shared" si="88"/>
        <v>30657.753221986499</v>
      </c>
      <c r="BI30" s="6">
        <f t="shared" si="89"/>
        <v>2354.8868769072001</v>
      </c>
      <c r="BJ30" s="6">
        <f t="shared" si="74"/>
        <v>54987.663294806553</v>
      </c>
      <c r="BK30" s="6">
        <v>175998</v>
      </c>
      <c r="BL30" s="6">
        <f t="shared" si="56"/>
        <v>26399.7</v>
      </c>
      <c r="BM30" s="6">
        <f t="shared" si="75"/>
        <v>16330.61103764574</v>
      </c>
      <c r="BN30" s="6">
        <f t="shared" si="90"/>
        <v>24337.15624674354</v>
      </c>
      <c r="BO30" s="6">
        <f t="shared" si="91"/>
        <v>1697.30885282022</v>
      </c>
      <c r="BP30" s="6">
        <f t="shared" si="76"/>
        <v>42365.0761372095</v>
      </c>
      <c r="BQ30" s="6">
        <v>185064</v>
      </c>
      <c r="BR30" s="6">
        <f t="shared" si="77"/>
        <v>27759.599999999999</v>
      </c>
      <c r="BS30" s="6">
        <f t="shared" si="78"/>
        <v>16022.697417804</v>
      </c>
      <c r="BT30" s="6">
        <f t="shared" si="92"/>
        <v>25383.085522420559</v>
      </c>
      <c r="BU30" s="6">
        <f t="shared" si="93"/>
        <v>1846.4202354444001</v>
      </c>
      <c r="BV30" s="6">
        <f t="shared" si="79"/>
        <v>43252.203175668954</v>
      </c>
      <c r="BW30" s="7">
        <f t="shared" si="49"/>
        <v>3175107</v>
      </c>
      <c r="BX30" s="7">
        <f t="shared" si="49"/>
        <v>476266.05</v>
      </c>
      <c r="BY30" s="7">
        <f t="shared" si="50"/>
        <v>210204.12884619259</v>
      </c>
      <c r="BZ30" s="7">
        <f t="shared" si="51"/>
        <v>267265.08664367057</v>
      </c>
      <c r="CA30" s="7">
        <f t="shared" si="52"/>
        <v>20845.586622061819</v>
      </c>
      <c r="CB30" s="7">
        <f t="shared" si="53"/>
        <v>466934.104508825</v>
      </c>
    </row>
    <row r="31" spans="1:80" s="2" customFormat="1" ht="12" customHeight="1" x14ac:dyDescent="0.2">
      <c r="A31" s="1">
        <f t="shared" si="29"/>
        <v>7</v>
      </c>
      <c r="B31" s="5" t="s">
        <v>26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>
        <v>260800</v>
      </c>
      <c r="P31" s="6">
        <f t="shared" si="54"/>
        <v>39120</v>
      </c>
      <c r="Q31" s="6">
        <v>6610.6</v>
      </c>
      <c r="R31" s="6">
        <f t="shared" si="55"/>
        <v>18256</v>
      </c>
      <c r="S31" s="6">
        <v>82.42</v>
      </c>
      <c r="T31" s="6">
        <f t="shared" si="42"/>
        <v>24949.019999999997</v>
      </c>
      <c r="U31" s="6">
        <v>378000</v>
      </c>
      <c r="V31" s="6">
        <f t="shared" si="57"/>
        <v>56700</v>
      </c>
      <c r="W31" s="6">
        <f t="shared" si="58"/>
        <v>20488.358842559999</v>
      </c>
      <c r="X31" s="6">
        <f t="shared" si="59"/>
        <v>26460.000000000004</v>
      </c>
      <c r="Y31" s="6">
        <f t="shared" si="80"/>
        <v>2439.7428749399996</v>
      </c>
      <c r="Z31" s="6">
        <f t="shared" si="43"/>
        <v>49388.101717500002</v>
      </c>
      <c r="AA31" s="6">
        <v>378000</v>
      </c>
      <c r="AB31" s="6">
        <f t="shared" si="60"/>
        <v>56700</v>
      </c>
      <c r="AC31" s="6">
        <f t="shared" si="61"/>
        <v>19939.599999900001</v>
      </c>
      <c r="AD31" s="6">
        <f t="shared" si="62"/>
        <v>26460.000000000004</v>
      </c>
      <c r="AE31" s="6">
        <f t="shared" si="81"/>
        <v>2413.7513492400003</v>
      </c>
      <c r="AF31" s="6">
        <f t="shared" si="44"/>
        <v>48813.351349140008</v>
      </c>
      <c r="AG31" s="6">
        <v>370000</v>
      </c>
      <c r="AH31" s="6">
        <f t="shared" si="63"/>
        <v>55500</v>
      </c>
      <c r="AI31" s="6">
        <f t="shared" si="64"/>
        <v>21492.6653057</v>
      </c>
      <c r="AJ31" s="6">
        <f t="shared" si="65"/>
        <v>25900.000000000004</v>
      </c>
      <c r="AK31" s="6">
        <f t="shared" si="82"/>
        <v>2336.9371532</v>
      </c>
      <c r="AL31" s="6">
        <f t="shared" si="45"/>
        <v>49729.602458900008</v>
      </c>
      <c r="AM31" s="6">
        <v>370000</v>
      </c>
      <c r="AN31" s="6">
        <f t="shared" si="66"/>
        <v>55500</v>
      </c>
      <c r="AO31" s="6">
        <f t="shared" si="67"/>
        <v>24588.0462744</v>
      </c>
      <c r="AP31" s="6">
        <f t="shared" si="83"/>
        <v>25900.000000000004</v>
      </c>
      <c r="AQ31" s="6">
        <f t="shared" si="84"/>
        <v>2451.0632535999998</v>
      </c>
      <c r="AR31" s="6">
        <f t="shared" si="46"/>
        <v>52939.109528000001</v>
      </c>
      <c r="AS31" s="6">
        <v>365000</v>
      </c>
      <c r="AT31" s="6">
        <f t="shared" si="68"/>
        <v>54750</v>
      </c>
      <c r="AU31" s="6">
        <f t="shared" si="69"/>
        <v>28894.069931949998</v>
      </c>
      <c r="AV31" s="6">
        <v>27440</v>
      </c>
      <c r="AW31" s="6">
        <f t="shared" si="85"/>
        <v>2478.0176711499998</v>
      </c>
      <c r="AX31" s="6">
        <v>26211.38</v>
      </c>
      <c r="AY31" s="6">
        <v>404000</v>
      </c>
      <c r="AZ31" s="6">
        <f t="shared" si="70"/>
        <v>60600</v>
      </c>
      <c r="BA31" s="6">
        <f t="shared" si="71"/>
        <v>33634.616840319999</v>
      </c>
      <c r="BB31" s="6">
        <f t="shared" si="86"/>
        <v>33727.091652520001</v>
      </c>
      <c r="BC31" s="6">
        <f t="shared" si="87"/>
        <v>2742.1983547599998</v>
      </c>
      <c r="BD31" s="6">
        <f t="shared" si="47"/>
        <v>70103.906847599996</v>
      </c>
      <c r="BE31" s="6">
        <v>240744</v>
      </c>
      <c r="BF31" s="6">
        <f t="shared" si="72"/>
        <v>36111.599999999999</v>
      </c>
      <c r="BG31" s="6">
        <f t="shared" si="73"/>
        <v>21242.56654129512</v>
      </c>
      <c r="BH31" s="6">
        <f t="shared" si="88"/>
        <v>29635.889665216797</v>
      </c>
      <c r="BI31" s="6">
        <f t="shared" si="89"/>
        <v>2276.3953755110401</v>
      </c>
      <c r="BJ31" s="6">
        <f t="shared" si="74"/>
        <v>53154.851582022959</v>
      </c>
      <c r="BK31" s="6">
        <v>150396</v>
      </c>
      <c r="BL31" s="6">
        <f t="shared" si="56"/>
        <v>22559.399999999998</v>
      </c>
      <c r="BM31" s="6">
        <f t="shared" si="75"/>
        <v>13955.03686188348</v>
      </c>
      <c r="BN31" s="6">
        <f t="shared" si="90"/>
        <v>20796.889458319078</v>
      </c>
      <c r="BO31" s="6">
        <f t="shared" si="91"/>
        <v>1450.40547181644</v>
      </c>
      <c r="BP31" s="6">
        <f t="shared" si="76"/>
        <v>36202.331792019002</v>
      </c>
      <c r="BQ31" s="6">
        <v>178895</v>
      </c>
      <c r="BR31" s="6">
        <f t="shared" si="77"/>
        <v>26834.25</v>
      </c>
      <c r="BS31" s="6">
        <f t="shared" si="78"/>
        <v>15488.5901880325</v>
      </c>
      <c r="BT31" s="6">
        <f t="shared" si="92"/>
        <v>24536.955239989551</v>
      </c>
      <c r="BU31" s="6">
        <f t="shared" si="93"/>
        <v>1784.8708988232502</v>
      </c>
      <c r="BV31" s="6">
        <f t="shared" si="79"/>
        <v>41810.416326845298</v>
      </c>
      <c r="BW31" s="7">
        <f t="shared" si="49"/>
        <v>3095835</v>
      </c>
      <c r="BX31" s="7">
        <f t="shared" si="49"/>
        <v>464375.25</v>
      </c>
      <c r="BY31" s="7">
        <f t="shared" si="50"/>
        <v>206334.15078604111</v>
      </c>
      <c r="BZ31" s="7">
        <f t="shared" si="51"/>
        <v>259112.82601604544</v>
      </c>
      <c r="CA31" s="7">
        <f t="shared" si="52"/>
        <v>20455.802403040732</v>
      </c>
      <c r="CB31" s="7">
        <f t="shared" si="53"/>
        <v>453302.07160202728</v>
      </c>
    </row>
    <row r="32" spans="1:80" s="2" customFormat="1" ht="12" customHeight="1" x14ac:dyDescent="0.2">
      <c r="A32" s="1">
        <f t="shared" si="29"/>
        <v>8</v>
      </c>
      <c r="B32" s="5" t="s">
        <v>22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>
        <v>260800</v>
      </c>
      <c r="P32" s="6">
        <f t="shared" si="54"/>
        <v>39120</v>
      </c>
      <c r="Q32" s="6">
        <v>6610.6</v>
      </c>
      <c r="R32" s="6">
        <f t="shared" si="55"/>
        <v>18256</v>
      </c>
      <c r="S32" s="6">
        <v>82.42</v>
      </c>
      <c r="T32" s="6">
        <f t="shared" si="42"/>
        <v>24949.019999999997</v>
      </c>
      <c r="U32" s="6">
        <v>378000</v>
      </c>
      <c r="V32" s="6">
        <f t="shared" si="57"/>
        <v>56700</v>
      </c>
      <c r="W32" s="6">
        <f t="shared" si="58"/>
        <v>20488.358842559999</v>
      </c>
      <c r="X32" s="6">
        <f t="shared" si="59"/>
        <v>26460.000000000004</v>
      </c>
      <c r="Y32" s="6">
        <f t="shared" si="80"/>
        <v>2439.7428749399996</v>
      </c>
      <c r="Z32" s="6">
        <f t="shared" si="43"/>
        <v>49388.101717500002</v>
      </c>
      <c r="AA32" s="6">
        <v>378000</v>
      </c>
      <c r="AB32" s="6">
        <f t="shared" si="60"/>
        <v>56700</v>
      </c>
      <c r="AC32" s="6">
        <f t="shared" si="61"/>
        <v>19939.599999900001</v>
      </c>
      <c r="AD32" s="6">
        <f t="shared" si="62"/>
        <v>26460.000000000004</v>
      </c>
      <c r="AE32" s="6">
        <f t="shared" si="81"/>
        <v>2413.7513492400003</v>
      </c>
      <c r="AF32" s="6">
        <f t="shared" si="44"/>
        <v>48813.351349140008</v>
      </c>
      <c r="AG32" s="6">
        <v>370000</v>
      </c>
      <c r="AH32" s="6">
        <f t="shared" si="63"/>
        <v>55500</v>
      </c>
      <c r="AI32" s="6">
        <f t="shared" si="64"/>
        <v>21492.6653057</v>
      </c>
      <c r="AJ32" s="6">
        <f t="shared" si="65"/>
        <v>25900.000000000004</v>
      </c>
      <c r="AK32" s="6">
        <f t="shared" si="82"/>
        <v>2336.9371532</v>
      </c>
      <c r="AL32" s="6">
        <f t="shared" si="45"/>
        <v>49729.602458900008</v>
      </c>
      <c r="AM32" s="6">
        <v>370000</v>
      </c>
      <c r="AN32" s="6">
        <f t="shared" si="66"/>
        <v>55500</v>
      </c>
      <c r="AO32" s="6">
        <f t="shared" si="67"/>
        <v>24588.0462744</v>
      </c>
      <c r="AP32" s="6">
        <f t="shared" si="83"/>
        <v>25900.000000000004</v>
      </c>
      <c r="AQ32" s="6">
        <f t="shared" si="84"/>
        <v>2451.0632535999998</v>
      </c>
      <c r="AR32" s="6">
        <f t="shared" si="46"/>
        <v>52939.109528000001</v>
      </c>
      <c r="AS32" s="6">
        <v>365000</v>
      </c>
      <c r="AT32" s="6">
        <f t="shared" si="68"/>
        <v>54750</v>
      </c>
      <c r="AU32" s="6">
        <f t="shared" si="69"/>
        <v>28894.069931949998</v>
      </c>
      <c r="AV32" s="6">
        <v>27440</v>
      </c>
      <c r="AW32" s="6">
        <f t="shared" si="85"/>
        <v>2478.0176711499998</v>
      </c>
      <c r="AX32" s="6">
        <v>26211.38</v>
      </c>
      <c r="AY32" s="6">
        <v>404000</v>
      </c>
      <c r="AZ32" s="6">
        <f t="shared" si="70"/>
        <v>60600</v>
      </c>
      <c r="BA32" s="6">
        <f t="shared" si="71"/>
        <v>33634.616840319999</v>
      </c>
      <c r="BB32" s="6">
        <f t="shared" si="86"/>
        <v>33727.091652520001</v>
      </c>
      <c r="BC32" s="6">
        <f t="shared" si="87"/>
        <v>2742.1983547599998</v>
      </c>
      <c r="BD32" s="6">
        <f t="shared" si="47"/>
        <v>70103.906847599996</v>
      </c>
      <c r="BE32" s="6">
        <v>240744</v>
      </c>
      <c r="BF32" s="6">
        <f t="shared" si="72"/>
        <v>36111.599999999999</v>
      </c>
      <c r="BG32" s="6">
        <f t="shared" si="73"/>
        <v>21242.56654129512</v>
      </c>
      <c r="BH32" s="6">
        <f t="shared" si="88"/>
        <v>29635.889665216797</v>
      </c>
      <c r="BI32" s="6">
        <f t="shared" si="89"/>
        <v>2276.3953755110401</v>
      </c>
      <c r="BJ32" s="6">
        <f t="shared" si="74"/>
        <v>53154.851582022959</v>
      </c>
      <c r="BK32" s="6">
        <v>150396</v>
      </c>
      <c r="BL32" s="6">
        <f t="shared" si="56"/>
        <v>22559.399999999998</v>
      </c>
      <c r="BM32" s="6">
        <f t="shared" si="75"/>
        <v>13955.03686188348</v>
      </c>
      <c r="BN32" s="6">
        <f t="shared" si="90"/>
        <v>20796.889458319078</v>
      </c>
      <c r="BO32" s="6">
        <f t="shared" si="91"/>
        <v>1450.40547181644</v>
      </c>
      <c r="BP32" s="6">
        <f t="shared" si="76"/>
        <v>36202.331792019002</v>
      </c>
      <c r="BQ32" s="6">
        <v>178895</v>
      </c>
      <c r="BR32" s="6">
        <f t="shared" si="77"/>
        <v>26834.25</v>
      </c>
      <c r="BS32" s="6">
        <f t="shared" si="78"/>
        <v>15488.5901880325</v>
      </c>
      <c r="BT32" s="6">
        <f t="shared" si="92"/>
        <v>24536.955239989551</v>
      </c>
      <c r="BU32" s="6">
        <f t="shared" si="93"/>
        <v>1784.8708988232502</v>
      </c>
      <c r="BV32" s="6">
        <f t="shared" si="79"/>
        <v>41810.416326845298</v>
      </c>
      <c r="BW32" s="7">
        <f t="shared" si="49"/>
        <v>3095835</v>
      </c>
      <c r="BX32" s="7">
        <f t="shared" si="49"/>
        <v>464375.25</v>
      </c>
      <c r="BY32" s="7">
        <f t="shared" si="50"/>
        <v>206334.15078604111</v>
      </c>
      <c r="BZ32" s="7">
        <f t="shared" si="51"/>
        <v>259112.82601604544</v>
      </c>
      <c r="CA32" s="7">
        <f t="shared" si="52"/>
        <v>20455.802403040732</v>
      </c>
      <c r="CB32" s="7">
        <f t="shared" si="53"/>
        <v>453302.07160202728</v>
      </c>
    </row>
    <row r="33" spans="1:80" s="2" customFormat="1" ht="12" customHeight="1" x14ac:dyDescent="0.2">
      <c r="A33" s="1">
        <f t="shared" si="29"/>
        <v>9</v>
      </c>
      <c r="B33" s="5" t="s">
        <v>30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>
        <v>378000</v>
      </c>
      <c r="V33" s="6">
        <f t="shared" si="57"/>
        <v>56700</v>
      </c>
      <c r="W33" s="6">
        <f t="shared" si="58"/>
        <v>20488.358842559999</v>
      </c>
      <c r="X33" s="6">
        <f t="shared" si="59"/>
        <v>26460.000000000004</v>
      </c>
      <c r="Y33" s="6">
        <f t="shared" si="80"/>
        <v>2439.7428749399996</v>
      </c>
      <c r="Z33" s="6">
        <f t="shared" si="43"/>
        <v>49388.101717500002</v>
      </c>
      <c r="AA33" s="6">
        <v>378000</v>
      </c>
      <c r="AB33" s="6">
        <f t="shared" si="60"/>
        <v>56700</v>
      </c>
      <c r="AC33" s="6">
        <f t="shared" si="61"/>
        <v>19939.599999900001</v>
      </c>
      <c r="AD33" s="6">
        <f t="shared" si="62"/>
        <v>26460.000000000004</v>
      </c>
      <c r="AE33" s="6">
        <f t="shared" si="81"/>
        <v>2413.7513492400003</v>
      </c>
      <c r="AF33" s="6">
        <f t="shared" si="44"/>
        <v>48813.351349140008</v>
      </c>
      <c r="AG33" s="6">
        <v>360000</v>
      </c>
      <c r="AH33" s="6">
        <f t="shared" si="63"/>
        <v>54000</v>
      </c>
      <c r="AI33" s="6">
        <f t="shared" si="64"/>
        <v>20911.782459599999</v>
      </c>
      <c r="AJ33" s="6">
        <f t="shared" si="65"/>
        <v>25200.000000000004</v>
      </c>
      <c r="AK33" s="6">
        <f t="shared" si="82"/>
        <v>2273.7766895999998</v>
      </c>
      <c r="AL33" s="6">
        <f t="shared" si="45"/>
        <v>48385.559149200002</v>
      </c>
      <c r="AM33" s="6">
        <v>360000</v>
      </c>
      <c r="AN33" s="6">
        <f t="shared" si="66"/>
        <v>54000</v>
      </c>
      <c r="AO33" s="6">
        <f t="shared" si="67"/>
        <v>23923.504483199999</v>
      </c>
      <c r="AP33" s="6">
        <f t="shared" si="83"/>
        <v>25200.000000000004</v>
      </c>
      <c r="AQ33" s="6">
        <f t="shared" si="84"/>
        <v>2384.8183008000001</v>
      </c>
      <c r="AR33" s="6">
        <f t="shared" si="46"/>
        <v>51508.322783999996</v>
      </c>
      <c r="AS33" s="6">
        <v>328000</v>
      </c>
      <c r="AT33" s="6">
        <f t="shared" si="68"/>
        <v>49200</v>
      </c>
      <c r="AU33" s="6">
        <f t="shared" si="69"/>
        <v>25965.082021039998</v>
      </c>
      <c r="AV33" s="6">
        <f t="shared" ref="AV33" si="94">AS33*0.07</f>
        <v>22960.000000000004</v>
      </c>
      <c r="AW33" s="6">
        <f t="shared" si="85"/>
        <v>2226.8213592799998</v>
      </c>
      <c r="AX33" s="6">
        <v>26769.23</v>
      </c>
      <c r="AY33" s="6">
        <v>404000</v>
      </c>
      <c r="AZ33" s="6">
        <f t="shared" si="70"/>
        <v>60600</v>
      </c>
      <c r="BA33" s="6">
        <f t="shared" si="71"/>
        <v>33634.616840319999</v>
      </c>
      <c r="BB33" s="6">
        <f t="shared" si="86"/>
        <v>33727.091652520001</v>
      </c>
      <c r="BC33" s="6">
        <f t="shared" si="87"/>
        <v>2742.1983547599998</v>
      </c>
      <c r="BD33" s="6">
        <f t="shared" si="47"/>
        <v>70103.906847599996</v>
      </c>
      <c r="BE33" s="6">
        <v>62261</v>
      </c>
      <c r="BF33" s="6">
        <f t="shared" si="72"/>
        <v>9339.15</v>
      </c>
      <c r="BG33" s="6">
        <f t="shared" si="73"/>
        <v>5493.7337396885305</v>
      </c>
      <c r="BH33" s="6">
        <f t="shared" si="88"/>
        <v>7664.4075301816993</v>
      </c>
      <c r="BI33" s="6">
        <f t="shared" si="89"/>
        <v>588.71935530975998</v>
      </c>
      <c r="BJ33" s="6">
        <f t="shared" si="74"/>
        <v>13746.86062517999</v>
      </c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7">
        <f t="shared" si="49"/>
        <v>2270261</v>
      </c>
      <c r="BX33" s="7">
        <f t="shared" si="49"/>
        <v>340539.15</v>
      </c>
      <c r="BY33" s="7">
        <f t="shared" si="50"/>
        <v>150356.67838630851</v>
      </c>
      <c r="BZ33" s="7">
        <f t="shared" si="51"/>
        <v>167671.49918270169</v>
      </c>
      <c r="CA33" s="7">
        <f t="shared" si="52"/>
        <v>15069.828283929759</v>
      </c>
      <c r="CB33" s="7">
        <f t="shared" si="53"/>
        <v>308715.33247262001</v>
      </c>
    </row>
    <row r="34" spans="1:80" s="2" customFormat="1" ht="12" customHeight="1" x14ac:dyDescent="0.2">
      <c r="A34" s="1">
        <f t="shared" si="29"/>
        <v>10</v>
      </c>
      <c r="B34" s="5" t="s">
        <v>32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>
        <v>280000</v>
      </c>
      <c r="AB34" s="6">
        <f t="shared" si="60"/>
        <v>42000</v>
      </c>
      <c r="AC34" s="6">
        <f t="shared" si="61"/>
        <v>14770.074074</v>
      </c>
      <c r="AD34" s="6">
        <f t="shared" si="62"/>
        <v>19600.000000000004</v>
      </c>
      <c r="AE34" s="6">
        <f t="shared" si="81"/>
        <v>1787.9639624000001</v>
      </c>
      <c r="AF34" s="6">
        <f t="shared" si="44"/>
        <v>36158.038036400001</v>
      </c>
      <c r="AG34" s="6">
        <v>306000</v>
      </c>
      <c r="AH34" s="6">
        <f t="shared" si="63"/>
        <v>45900</v>
      </c>
      <c r="AI34" s="6">
        <f t="shared" si="64"/>
        <v>17775.015090659999</v>
      </c>
      <c r="AJ34" s="6">
        <f t="shared" si="65"/>
        <v>21420.000000000004</v>
      </c>
      <c r="AK34" s="6">
        <f t="shared" si="82"/>
        <v>1932.7101861599999</v>
      </c>
      <c r="AL34" s="6">
        <f t="shared" si="45"/>
        <v>41127.725276820005</v>
      </c>
      <c r="AM34" s="6"/>
      <c r="AN34" s="6">
        <f t="shared" si="66"/>
        <v>0</v>
      </c>
      <c r="AO34" s="6"/>
      <c r="AP34" s="6">
        <f t="shared" si="83"/>
        <v>0</v>
      </c>
      <c r="AQ34" s="6"/>
      <c r="AR34" s="6">
        <f t="shared" si="46"/>
        <v>0</v>
      </c>
      <c r="AS34" s="6"/>
      <c r="AT34" s="6"/>
      <c r="AU34" s="6"/>
      <c r="AV34" s="6"/>
      <c r="AW34" s="6"/>
      <c r="AX34" s="6"/>
      <c r="AY34" s="6"/>
      <c r="AZ34" s="6">
        <f t="shared" si="70"/>
        <v>0</v>
      </c>
      <c r="BA34" s="6"/>
      <c r="BB34" s="6"/>
      <c r="BC34" s="6"/>
      <c r="BD34" s="6">
        <f t="shared" si="47"/>
        <v>0</v>
      </c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7">
        <f t="shared" si="49"/>
        <v>586000</v>
      </c>
      <c r="BX34" s="7">
        <f t="shared" si="49"/>
        <v>87900</v>
      </c>
      <c r="BY34" s="7">
        <f t="shared" si="50"/>
        <v>32545.089164659999</v>
      </c>
      <c r="BZ34" s="7">
        <f t="shared" si="51"/>
        <v>41020.000000000007</v>
      </c>
      <c r="CA34" s="7">
        <f t="shared" si="52"/>
        <v>3720.67414856</v>
      </c>
      <c r="CB34" s="7">
        <f t="shared" si="53"/>
        <v>77285.763313219999</v>
      </c>
    </row>
    <row r="35" spans="1:80" s="2" customFormat="1" ht="12" customHeight="1" x14ac:dyDescent="0.2">
      <c r="A35" s="1">
        <f t="shared" si="29"/>
        <v>11</v>
      </c>
      <c r="B35" s="5" t="s">
        <v>23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>
        <v>312000</v>
      </c>
      <c r="AB35" s="6">
        <f t="shared" si="60"/>
        <v>46800</v>
      </c>
      <c r="AC35" s="6">
        <f t="shared" si="61"/>
        <v>16458.0825396</v>
      </c>
      <c r="AD35" s="6">
        <f t="shared" si="62"/>
        <v>21840.000000000004</v>
      </c>
      <c r="AE35" s="6">
        <f t="shared" si="81"/>
        <v>1992.30270096</v>
      </c>
      <c r="AF35" s="6">
        <f t="shared" si="44"/>
        <v>40290.385240559997</v>
      </c>
      <c r="AG35" s="6">
        <v>312000</v>
      </c>
      <c r="AH35" s="6">
        <f t="shared" si="63"/>
        <v>46800</v>
      </c>
      <c r="AI35" s="6">
        <f t="shared" si="64"/>
        <v>18123.544798319999</v>
      </c>
      <c r="AJ35" s="6">
        <f t="shared" si="65"/>
        <v>21840.000000000004</v>
      </c>
      <c r="AK35" s="6">
        <f t="shared" si="82"/>
        <v>1970.60646432</v>
      </c>
      <c r="AL35" s="6">
        <f t="shared" si="45"/>
        <v>41934.15126264</v>
      </c>
      <c r="AM35" s="6">
        <v>312000</v>
      </c>
      <c r="AN35" s="6">
        <f t="shared" si="66"/>
        <v>46800</v>
      </c>
      <c r="AO35" s="6">
        <f t="shared" ref="AO35:AO36" si="95">AM35*0.06645417912</f>
        <v>20733.703885439998</v>
      </c>
      <c r="AP35" s="6">
        <f>AM35*0.07+6200</f>
        <v>28040.000000000004</v>
      </c>
      <c r="AQ35" s="6">
        <f t="shared" si="84"/>
        <v>2066.8425273600001</v>
      </c>
      <c r="AR35" s="6">
        <f t="shared" si="46"/>
        <v>50840.546412800002</v>
      </c>
      <c r="AS35" s="6"/>
      <c r="AT35" s="6"/>
      <c r="AU35" s="6"/>
      <c r="AV35" s="6"/>
      <c r="AW35" s="6"/>
      <c r="AX35" s="6"/>
      <c r="AY35" s="6"/>
      <c r="AZ35" s="6">
        <f t="shared" si="70"/>
        <v>0</v>
      </c>
      <c r="BA35" s="6"/>
      <c r="BB35" s="6"/>
      <c r="BC35" s="6"/>
      <c r="BD35" s="6">
        <f t="shared" si="47"/>
        <v>0</v>
      </c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7">
        <f t="shared" si="49"/>
        <v>936000</v>
      </c>
      <c r="BX35" s="7">
        <f t="shared" si="49"/>
        <v>140400</v>
      </c>
      <c r="BY35" s="7">
        <f t="shared" si="50"/>
        <v>55315.331223360001</v>
      </c>
      <c r="BZ35" s="7">
        <f t="shared" si="51"/>
        <v>71720.000000000015</v>
      </c>
      <c r="CA35" s="7">
        <f t="shared" si="52"/>
        <v>6029.7516926400003</v>
      </c>
      <c r="CB35" s="7">
        <f t="shared" si="53"/>
        <v>133065.08291599998</v>
      </c>
    </row>
    <row r="36" spans="1:80" s="2" customFormat="1" ht="12" customHeight="1" x14ac:dyDescent="0.2">
      <c r="A36" s="1">
        <f t="shared" si="29"/>
        <v>12</v>
      </c>
      <c r="B36" s="5" t="s">
        <v>33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>
        <f t="shared" si="44"/>
        <v>0</v>
      </c>
      <c r="AG36" s="6">
        <v>148100</v>
      </c>
      <c r="AH36" s="6">
        <f t="shared" si="63"/>
        <v>22215</v>
      </c>
      <c r="AI36" s="6">
        <f t="shared" si="64"/>
        <v>8602.8749507409993</v>
      </c>
      <c r="AJ36" s="6">
        <v>0</v>
      </c>
      <c r="AK36" s="6">
        <v>0</v>
      </c>
      <c r="AL36" s="6">
        <f t="shared" si="45"/>
        <v>8602.8749507409993</v>
      </c>
      <c r="AM36" s="6">
        <v>424500</v>
      </c>
      <c r="AN36" s="6">
        <f t="shared" si="66"/>
        <v>63675</v>
      </c>
      <c r="AO36" s="6">
        <f t="shared" si="95"/>
        <v>28209.799036439999</v>
      </c>
      <c r="AP36" s="6"/>
      <c r="AQ36" s="6">
        <v>0</v>
      </c>
      <c r="AR36" s="6">
        <f t="shared" si="46"/>
        <v>28209.799036439999</v>
      </c>
      <c r="AS36" s="6">
        <v>424500</v>
      </c>
      <c r="AT36" s="6">
        <f t="shared" si="68"/>
        <v>63675</v>
      </c>
      <c r="AU36" s="6">
        <f t="shared" ref="AU36:AU37" si="96">AS36*0.07916183543</f>
        <v>33604.199140034994</v>
      </c>
      <c r="AV36" s="6">
        <v>0</v>
      </c>
      <c r="AW36" s="6">
        <v>0</v>
      </c>
      <c r="AX36" s="6">
        <v>81230.77</v>
      </c>
      <c r="AY36" s="6">
        <v>423800</v>
      </c>
      <c r="AZ36" s="6">
        <f t="shared" si="70"/>
        <v>63570</v>
      </c>
      <c r="BA36" s="6">
        <f t="shared" ref="BA36:BA37" si="97">AY36*0.08325400208</f>
        <v>35283.046081503999</v>
      </c>
      <c r="BB36" s="6">
        <v>0</v>
      </c>
      <c r="BC36" s="6">
        <v>0</v>
      </c>
      <c r="BD36" s="6">
        <f t="shared" si="47"/>
        <v>35283.046081503999</v>
      </c>
      <c r="BE36" s="6">
        <v>547899</v>
      </c>
      <c r="BF36" s="6">
        <f t="shared" ref="BF36:BF39" si="98">BE36*0.15</f>
        <v>82184.849999999991</v>
      </c>
      <c r="BG36" s="6">
        <f t="shared" ref="BG36:BG39" si="99">BE36*0.08823715873</f>
        <v>48345.051031008268</v>
      </c>
      <c r="BH36" s="6">
        <v>0</v>
      </c>
      <c r="BI36" s="6">
        <v>0</v>
      </c>
      <c r="BJ36" s="6">
        <f t="shared" ref="BJ36:BJ39" si="100">BG36+BH36+BI36</f>
        <v>48345.051031008268</v>
      </c>
      <c r="BK36" s="6">
        <v>342280</v>
      </c>
      <c r="BL36" s="6">
        <f t="shared" ref="BL36:BL38" si="101">BK36*0.15</f>
        <v>51342</v>
      </c>
      <c r="BM36" s="6">
        <f t="shared" ref="BM36:BM38" si="102">BK36*0.09278861713</f>
        <v>31759.687871256399</v>
      </c>
      <c r="BN36" s="6">
        <v>0</v>
      </c>
      <c r="BO36" s="6">
        <v>0</v>
      </c>
      <c r="BP36" s="6">
        <f t="shared" ref="BP36:BP38" si="103">BM36+BN36+BO36</f>
        <v>31759.687871256399</v>
      </c>
      <c r="BQ36" s="6">
        <v>187911</v>
      </c>
      <c r="BR36" s="6">
        <f t="shared" ref="BR36:BR38" si="104">BQ36*0.15</f>
        <v>28186.649999999998</v>
      </c>
      <c r="BS36" s="6">
        <f t="shared" ref="BS36:BS38" si="105">BQ36*0.0865792235</f>
        <v>16269.188467108499</v>
      </c>
      <c r="BT36" s="6">
        <v>0</v>
      </c>
      <c r="BU36" s="6">
        <v>0</v>
      </c>
      <c r="BV36" s="6">
        <f t="shared" ref="BV36:BV38" si="106">BS36+BT36+BU36</f>
        <v>16269.188467108499</v>
      </c>
      <c r="BW36" s="7">
        <f t="shared" si="49"/>
        <v>2498990</v>
      </c>
      <c r="BX36" s="7">
        <f t="shared" si="49"/>
        <v>374848.5</v>
      </c>
      <c r="BY36" s="7">
        <f t="shared" si="50"/>
        <v>202073.84657809316</v>
      </c>
      <c r="BZ36" s="7">
        <f t="shared" si="51"/>
        <v>0</v>
      </c>
      <c r="CA36" s="7">
        <f t="shared" si="52"/>
        <v>0</v>
      </c>
      <c r="CB36" s="7">
        <f t="shared" si="53"/>
        <v>249700.41743805818</v>
      </c>
    </row>
    <row r="37" spans="1:80" s="2" customFormat="1" ht="12" customHeight="1" x14ac:dyDescent="0.2">
      <c r="A37" s="1">
        <f t="shared" si="29"/>
        <v>13</v>
      </c>
      <c r="B37" s="5" t="s">
        <v>34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>
        <v>369000</v>
      </c>
      <c r="AT37" s="6">
        <f t="shared" si="68"/>
        <v>55350</v>
      </c>
      <c r="AU37" s="6">
        <f t="shared" si="96"/>
        <v>29210.717273669998</v>
      </c>
      <c r="AV37" s="6">
        <v>0</v>
      </c>
      <c r="AW37" s="6">
        <v>0</v>
      </c>
      <c r="AX37" s="6">
        <v>84923.08</v>
      </c>
      <c r="AY37" s="6">
        <v>375000</v>
      </c>
      <c r="AZ37" s="6">
        <f t="shared" si="70"/>
        <v>56250</v>
      </c>
      <c r="BA37" s="6">
        <f t="shared" si="97"/>
        <v>31220.250779999998</v>
      </c>
      <c r="BB37" s="6">
        <v>0</v>
      </c>
      <c r="BC37" s="6">
        <v>0</v>
      </c>
      <c r="BD37" s="6">
        <f t="shared" si="47"/>
        <v>31220.250779999998</v>
      </c>
      <c r="BE37" s="6">
        <v>498090</v>
      </c>
      <c r="BF37" s="6">
        <f t="shared" si="98"/>
        <v>74713.5</v>
      </c>
      <c r="BG37" s="6">
        <f t="shared" si="99"/>
        <v>43950.046391825701</v>
      </c>
      <c r="BH37" s="6">
        <v>0</v>
      </c>
      <c r="BI37" s="6">
        <v>0</v>
      </c>
      <c r="BJ37" s="6">
        <f t="shared" si="100"/>
        <v>43950.046391825701</v>
      </c>
      <c r="BK37" s="6">
        <v>311164</v>
      </c>
      <c r="BL37" s="6">
        <f t="shared" si="101"/>
        <v>46674.6</v>
      </c>
      <c r="BM37" s="6">
        <f t="shared" si="102"/>
        <v>28872.47726063932</v>
      </c>
      <c r="BN37" s="6">
        <v>0</v>
      </c>
      <c r="BO37" s="6">
        <v>0</v>
      </c>
      <c r="BP37" s="6">
        <f t="shared" si="103"/>
        <v>28872.47726063932</v>
      </c>
      <c r="BQ37" s="6">
        <v>370128</v>
      </c>
      <c r="BR37" s="6">
        <f t="shared" si="104"/>
        <v>55519.199999999997</v>
      </c>
      <c r="BS37" s="6">
        <f t="shared" si="105"/>
        <v>32045.394835608</v>
      </c>
      <c r="BT37" s="6">
        <v>0</v>
      </c>
      <c r="BU37" s="6">
        <v>0</v>
      </c>
      <c r="BV37" s="6">
        <f t="shared" si="106"/>
        <v>32045.394835608</v>
      </c>
      <c r="BW37" s="7">
        <f t="shared" si="49"/>
        <v>1923382</v>
      </c>
      <c r="BX37" s="7">
        <f t="shared" si="49"/>
        <v>288507.3</v>
      </c>
      <c r="BY37" s="7">
        <f t="shared" si="50"/>
        <v>165298.88654174301</v>
      </c>
      <c r="BZ37" s="7">
        <f t="shared" si="51"/>
        <v>0</v>
      </c>
      <c r="CA37" s="7">
        <f t="shared" si="52"/>
        <v>0</v>
      </c>
      <c r="CB37" s="7">
        <f t="shared" si="53"/>
        <v>221011.24926807301</v>
      </c>
    </row>
    <row r="38" spans="1:80" s="2" customFormat="1" ht="12" customHeight="1" x14ac:dyDescent="0.2">
      <c r="A38" s="1">
        <f t="shared" si="29"/>
        <v>14</v>
      </c>
      <c r="B38" s="5" t="s">
        <v>35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>
        <v>1011746</v>
      </c>
      <c r="BF38" s="6">
        <f t="shared" si="98"/>
        <v>151761.9</v>
      </c>
      <c r="BG38" s="6">
        <f t="shared" si="99"/>
        <v>89273.592396442575</v>
      </c>
      <c r="BH38" s="6">
        <v>0</v>
      </c>
      <c r="BI38" s="6">
        <v>0</v>
      </c>
      <c r="BJ38" s="6">
        <f t="shared" si="100"/>
        <v>89273.592396442575</v>
      </c>
      <c r="BK38" s="6">
        <v>1166865</v>
      </c>
      <c r="BL38" s="6">
        <f t="shared" si="101"/>
        <v>175029.75</v>
      </c>
      <c r="BM38" s="6">
        <f t="shared" si="102"/>
        <v>108271.78972739745</v>
      </c>
      <c r="BN38" s="6">
        <v>0</v>
      </c>
      <c r="BO38" s="6">
        <v>0</v>
      </c>
      <c r="BP38" s="6">
        <f t="shared" si="103"/>
        <v>108271.78972739745</v>
      </c>
      <c r="BQ38" s="6">
        <v>1138855</v>
      </c>
      <c r="BR38" s="6">
        <f t="shared" si="104"/>
        <v>170828.25</v>
      </c>
      <c r="BS38" s="6">
        <f t="shared" si="105"/>
        <v>98601.181579092503</v>
      </c>
      <c r="BT38" s="6">
        <v>0</v>
      </c>
      <c r="BU38" s="6">
        <v>0</v>
      </c>
      <c r="BV38" s="6">
        <f t="shared" si="106"/>
        <v>98601.181579092503</v>
      </c>
      <c r="BW38" s="7">
        <f t="shared" si="49"/>
        <v>3317466</v>
      </c>
      <c r="BX38" s="7">
        <f t="shared" si="49"/>
        <v>497619.9</v>
      </c>
      <c r="BY38" s="7">
        <f t="shared" si="50"/>
        <v>296146.56370293256</v>
      </c>
      <c r="BZ38" s="7">
        <f t="shared" si="51"/>
        <v>0</v>
      </c>
      <c r="CA38" s="7">
        <f t="shared" si="52"/>
        <v>0</v>
      </c>
      <c r="CB38" s="7">
        <f t="shared" si="53"/>
        <v>296146.56370293256</v>
      </c>
    </row>
    <row r="39" spans="1:80" s="2" customFormat="1" ht="12" customHeight="1" x14ac:dyDescent="0.2">
      <c r="A39" s="1">
        <f t="shared" si="29"/>
        <v>15</v>
      </c>
      <c r="B39" s="5" t="s">
        <v>36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>
        <v>145277</v>
      </c>
      <c r="BF39" s="6">
        <f t="shared" si="98"/>
        <v>21791.55</v>
      </c>
      <c r="BG39" s="6">
        <f t="shared" si="99"/>
        <v>12818.82970881821</v>
      </c>
      <c r="BH39" s="6">
        <f t="shared" ref="BH39" si="107">BE39*0.1231012597</f>
        <v>17883.781705436901</v>
      </c>
      <c r="BI39" s="6">
        <f>BE39*0.00945566816</f>
        <v>1373.69110328032</v>
      </c>
      <c r="BJ39" s="6">
        <f t="shared" si="100"/>
        <v>32076.302517535427</v>
      </c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7">
        <f t="shared" si="49"/>
        <v>145277</v>
      </c>
      <c r="BX39" s="7">
        <f t="shared" si="49"/>
        <v>21791.55</v>
      </c>
      <c r="BY39" s="7">
        <f t="shared" si="50"/>
        <v>12818.82970881821</v>
      </c>
      <c r="BZ39" s="7">
        <f t="shared" si="51"/>
        <v>17883.781705436901</v>
      </c>
      <c r="CA39" s="7">
        <f t="shared" si="52"/>
        <v>1373.69110328032</v>
      </c>
      <c r="CB39" s="7">
        <f t="shared" si="53"/>
        <v>32076.302517535427</v>
      </c>
    </row>
    <row r="40" spans="1:80" s="2" customFormat="1" ht="12.75" x14ac:dyDescent="0.2">
      <c r="A40" s="8"/>
      <c r="B40" s="9" t="s">
        <v>12</v>
      </c>
      <c r="C40" s="4">
        <f t="shared" ref="C40:AN40" si="108">SUM(C25:C39)</f>
        <v>800000</v>
      </c>
      <c r="D40" s="4">
        <f t="shared" si="108"/>
        <v>120000</v>
      </c>
      <c r="E40" s="4">
        <f t="shared" ref="E40" si="109">SUM(E25:E39)</f>
        <v>45056</v>
      </c>
      <c r="F40" s="4">
        <f t="shared" ref="F40" si="110">SUM(F25:F39)</f>
        <v>56000.000000000007</v>
      </c>
      <c r="G40" s="4">
        <f t="shared" ref="G40" si="111">SUM(G25:G39)</f>
        <v>2816</v>
      </c>
      <c r="H40" s="4">
        <f t="shared" si="108"/>
        <v>103872</v>
      </c>
      <c r="I40" s="4">
        <f t="shared" si="108"/>
        <v>800000</v>
      </c>
      <c r="J40" s="4">
        <f t="shared" si="108"/>
        <v>120000</v>
      </c>
      <c r="K40" s="4">
        <f t="shared" ref="K40" si="112">SUM(K25:K39)</f>
        <v>45056</v>
      </c>
      <c r="L40" s="4">
        <f t="shared" ref="L40" si="113">SUM(L25:L39)</f>
        <v>56000.000000000007</v>
      </c>
      <c r="M40" s="4">
        <f t="shared" ref="M40" si="114">SUM(M25:M39)</f>
        <v>2816</v>
      </c>
      <c r="N40" s="4">
        <f t="shared" si="108"/>
        <v>103872</v>
      </c>
      <c r="O40" s="4">
        <f t="shared" si="108"/>
        <v>2521600</v>
      </c>
      <c r="P40" s="4">
        <f t="shared" si="108"/>
        <v>378240</v>
      </c>
      <c r="Q40" s="4">
        <f t="shared" ref="Q40" si="115">SUM(Q25:Q39)</f>
        <v>124656.00000000001</v>
      </c>
      <c r="R40" s="4">
        <f t="shared" ref="R40" si="116">SUM(R25:R39)</f>
        <v>176512.00000000003</v>
      </c>
      <c r="S40" s="4">
        <f t="shared" ref="S40" si="117">SUM(S25:S39)</f>
        <v>11888</v>
      </c>
      <c r="T40" s="4">
        <f t="shared" ref="T40" si="118">SUM(T25:T39)</f>
        <v>313056.00000000006</v>
      </c>
      <c r="U40" s="4">
        <f t="shared" ref="U40:V40" si="119">SUM(U25:U39)</f>
        <v>3188000</v>
      </c>
      <c r="V40" s="4">
        <f t="shared" si="119"/>
        <v>478200</v>
      </c>
      <c r="W40" s="4">
        <f t="shared" ref="W40" si="120">SUM(W25:W39)</f>
        <v>172795.99997375999</v>
      </c>
      <c r="X40" s="4">
        <f t="shared" ref="X40" si="121">SUM(X25:X39)</f>
        <v>223160.00000000003</v>
      </c>
      <c r="Y40" s="4">
        <f t="shared" ref="Y40" si="122">SUM(Y25:Y39)</f>
        <v>17671.999977739997</v>
      </c>
      <c r="Z40" s="4">
        <f t="shared" ref="Z40" si="123">SUM(Z25:Z39)</f>
        <v>413627.99995150004</v>
      </c>
      <c r="AA40" s="4">
        <f t="shared" si="108"/>
        <v>3780000</v>
      </c>
      <c r="AB40" s="4">
        <f t="shared" si="108"/>
        <v>567000</v>
      </c>
      <c r="AC40" s="4">
        <f t="shared" ref="AC40" si="124">SUM(AC25:AC39)</f>
        <v>199395.99999900002</v>
      </c>
      <c r="AD40" s="4">
        <f t="shared" ref="AD40" si="125">SUM(AD25:AD39)</f>
        <v>264600.00000000006</v>
      </c>
      <c r="AE40" s="4">
        <f t="shared" ref="AE40" si="126">SUM(AE25:AE39)</f>
        <v>21263.9999814</v>
      </c>
      <c r="AF40" s="4">
        <f t="shared" si="108"/>
        <v>485259.99998039997</v>
      </c>
      <c r="AG40" s="4">
        <f t="shared" si="108"/>
        <v>3876100</v>
      </c>
      <c r="AH40" s="4">
        <f t="shared" si="108"/>
        <v>581415</v>
      </c>
      <c r="AI40" s="4">
        <f t="shared" ref="AI40" si="127">SUM(AI25:AI39)</f>
        <v>225155.99997682101</v>
      </c>
      <c r="AJ40" s="4">
        <f t="shared" ref="AJ40" si="128">SUM(AJ25:AJ39)</f>
        <v>260960.00000000003</v>
      </c>
      <c r="AK40" s="4">
        <f t="shared" ref="AK40" si="129">SUM(AK25:AK39)</f>
        <v>20703.999968080003</v>
      </c>
      <c r="AL40" s="4">
        <f t="shared" si="108"/>
        <v>506819.99994490109</v>
      </c>
      <c r="AM40" s="4">
        <f t="shared" si="108"/>
        <v>3846500</v>
      </c>
      <c r="AN40" s="4">
        <f t="shared" si="108"/>
        <v>576975</v>
      </c>
      <c r="AO40" s="4">
        <f t="shared" ref="AO40" si="130">SUM(AO25:AO39)</f>
        <v>255615.99998507998</v>
      </c>
      <c r="AP40" s="4">
        <f t="shared" ref="AP40" si="131">SUM(AP25:AP39)</f>
        <v>245740.00000000003</v>
      </c>
      <c r="AQ40" s="4">
        <f t="shared" ref="AQ40" si="132">SUM(AQ25:AQ39)</f>
        <v>19687.99997216</v>
      </c>
      <c r="AR40" s="4">
        <f t="shared" ref="AR40:CB40" si="133">SUM(AR25:AR39)</f>
        <v>521043.99995724007</v>
      </c>
      <c r="AS40" s="4">
        <f t="shared" si="133"/>
        <v>3846500</v>
      </c>
      <c r="AT40" s="4">
        <f t="shared" si="133"/>
        <v>576975</v>
      </c>
      <c r="AU40" s="4">
        <f t="shared" ref="AU40" si="134">SUM(AU25:AU39)</f>
        <v>304495.99998149503</v>
      </c>
      <c r="AV40" s="4">
        <f t="shared" ref="AV40" si="135">SUM(AV25:AV39)</f>
        <v>223160</v>
      </c>
      <c r="AW40" s="4">
        <f t="shared" ref="AW40" si="136">SUM(AW25:AW39)</f>
        <v>17671.999994529997</v>
      </c>
      <c r="AX40" s="4">
        <f t="shared" si="133"/>
        <v>420214.30000000005</v>
      </c>
      <c r="AY40" s="4">
        <f t="shared" si="133"/>
        <v>4222800</v>
      </c>
      <c r="AZ40" s="4">
        <f t="shared" si="133"/>
        <v>633420</v>
      </c>
      <c r="BA40" s="4">
        <f t="shared" ref="BA40" si="137">SUM(BA25:BA39)</f>
        <v>351564.99998342397</v>
      </c>
      <c r="BB40" s="4">
        <f t="shared" ref="BB40" si="138">SUM(BB25:BB39)</f>
        <v>244103.99998011999</v>
      </c>
      <c r="BC40" s="4">
        <f t="shared" ref="BC40" si="139">SUM(BC25:BC39)</f>
        <v>19846.999973559996</v>
      </c>
      <c r="BD40" s="4">
        <f t="shared" si="133"/>
        <v>615515.99993710394</v>
      </c>
      <c r="BE40" s="4">
        <f>SUM(BE25:BE39)</f>
        <v>4479700</v>
      </c>
      <c r="BF40" s="4">
        <f t="shared" si="133"/>
        <v>671955</v>
      </c>
      <c r="BG40" s="4">
        <f t="shared" ref="BG40" si="140">SUM(BG25:BG39)</f>
        <v>395275.99996278109</v>
      </c>
      <c r="BH40" s="4">
        <f t="shared" ref="BH40" si="141">SUM(BH25:BH39)</f>
        <v>241940.99999170535</v>
      </c>
      <c r="BI40" s="4">
        <f t="shared" ref="BI40" si="142">SUM(BI25:BI39)</f>
        <v>18583.999999637119</v>
      </c>
      <c r="BJ40" s="4">
        <f t="shared" si="133"/>
        <v>655800.9999541234</v>
      </c>
      <c r="BK40" s="4">
        <f t="shared" si="133"/>
        <v>3460640</v>
      </c>
      <c r="BL40" s="4">
        <f t="shared" si="133"/>
        <v>519096</v>
      </c>
      <c r="BM40" s="4">
        <f t="shared" ref="BM40" si="143">SUM(BM25:BM39)</f>
        <v>321107.99998476321</v>
      </c>
      <c r="BN40" s="4">
        <f t="shared" ref="BN40" si="144">SUM(BN25:BN39)</f>
        <v>175447.9999928594</v>
      </c>
      <c r="BO40" s="4">
        <f t="shared" ref="BO40" si="145">SUM(BO25:BO39)</f>
        <v>12235.999990234202</v>
      </c>
      <c r="BP40" s="4">
        <f t="shared" si="133"/>
        <v>508791.9999678568</v>
      </c>
      <c r="BQ40" s="4">
        <f t="shared" si="133"/>
        <v>3430800</v>
      </c>
      <c r="BR40" s="4">
        <f t="shared" si="133"/>
        <v>514620</v>
      </c>
      <c r="BS40" s="4">
        <f t="shared" ref="BS40" si="146">SUM(BS25:BS39)</f>
        <v>297035.99998379999</v>
      </c>
      <c r="BT40" s="4">
        <f t="shared" ref="BT40" si="147">SUM(BT25:BT39)</f>
        <v>185751.99998912754</v>
      </c>
      <c r="BU40" s="4">
        <f t="shared" ref="BU40" si="148">SUM(BU25:BU39)</f>
        <v>13511.9999990248</v>
      </c>
      <c r="BV40" s="4">
        <f t="shared" si="133"/>
        <v>496299.99997195235</v>
      </c>
      <c r="BW40" s="4">
        <f t="shared" si="133"/>
        <v>38252640</v>
      </c>
      <c r="BX40" s="4">
        <f t="shared" si="133"/>
        <v>5737896</v>
      </c>
      <c r="BY40" s="4">
        <f t="shared" ref="BY40" si="149">SUM(BY25:BY39)</f>
        <v>2737212.999830924</v>
      </c>
      <c r="BZ40" s="4">
        <f t="shared" ref="BZ40" si="150">SUM(BZ25:BZ39)</f>
        <v>2353376.999953812</v>
      </c>
      <c r="CA40" s="4">
        <f t="shared" ref="CA40" si="151">SUM(CA25:CA39)</f>
        <v>178698.99985636614</v>
      </c>
      <c r="CB40" s="4">
        <f t="shared" si="133"/>
        <v>5144175.2996650776</v>
      </c>
    </row>
    <row r="41" spans="1:80" s="29" customFormat="1" ht="12.75" x14ac:dyDescent="0.2">
      <c r="A41" s="30"/>
      <c r="B41" s="27" t="s">
        <v>59</v>
      </c>
      <c r="C41" s="31">
        <v>1200000</v>
      </c>
      <c r="D41" s="31">
        <v>1124100</v>
      </c>
      <c r="E41" s="31">
        <v>262992</v>
      </c>
      <c r="F41" s="31">
        <v>270000</v>
      </c>
      <c r="G41" s="31">
        <v>33474</v>
      </c>
      <c r="H41" s="31">
        <f>+E41+F41+G41</f>
        <v>566466</v>
      </c>
      <c r="I41" s="31">
        <v>0</v>
      </c>
      <c r="J41" s="31">
        <v>60000</v>
      </c>
      <c r="K41" s="31">
        <v>52000</v>
      </c>
      <c r="L41" s="31">
        <v>26000</v>
      </c>
      <c r="M41" s="31">
        <v>4000</v>
      </c>
      <c r="N41" s="31">
        <f>+K41+L41+M41</f>
        <v>82000</v>
      </c>
      <c r="O41" s="31">
        <v>1400000</v>
      </c>
      <c r="P41" s="31">
        <v>60000</v>
      </c>
      <c r="Q41" s="31">
        <v>52000</v>
      </c>
      <c r="R41" s="31">
        <v>26000</v>
      </c>
      <c r="S41" s="31">
        <v>4000</v>
      </c>
      <c r="T41" s="31">
        <f>+Q41+R41+S41</f>
        <v>82000</v>
      </c>
      <c r="U41" s="31">
        <v>3170507</v>
      </c>
      <c r="V41" s="31">
        <v>600000</v>
      </c>
      <c r="W41" s="31">
        <v>300000</v>
      </c>
      <c r="X41" s="31">
        <v>250000</v>
      </c>
      <c r="Y41" s="31">
        <v>30000</v>
      </c>
      <c r="Z41" s="31">
        <f>+W41+X41+Y41</f>
        <v>580000</v>
      </c>
      <c r="AA41" s="31">
        <v>0</v>
      </c>
      <c r="AB41" s="31">
        <v>389250</v>
      </c>
      <c r="AC41" s="31">
        <v>220575</v>
      </c>
      <c r="AD41" s="31">
        <v>181650</v>
      </c>
      <c r="AE41" s="31">
        <v>25950</v>
      </c>
      <c r="AF41" s="31">
        <f>+AC41+AD41+AE41</f>
        <v>428175</v>
      </c>
      <c r="AG41" s="31">
        <v>0</v>
      </c>
      <c r="AH41" s="31">
        <v>389250</v>
      </c>
      <c r="AI41" s="31">
        <v>220575</v>
      </c>
      <c r="AJ41" s="31">
        <v>181650</v>
      </c>
      <c r="AK41" s="31">
        <v>25950</v>
      </c>
      <c r="AL41" s="31">
        <f>+AI41+AJ41+AK41</f>
        <v>428175</v>
      </c>
      <c r="AM41" s="31">
        <v>0</v>
      </c>
      <c r="AN41" s="31">
        <v>399250</v>
      </c>
      <c r="AO41" s="31">
        <v>220575</v>
      </c>
      <c r="AP41" s="31">
        <v>199650</v>
      </c>
      <c r="AQ41" s="31">
        <v>25950</v>
      </c>
      <c r="AR41" s="31">
        <f>+AO41+AP41+AQ41</f>
        <v>446175</v>
      </c>
      <c r="AS41" s="31">
        <v>0</v>
      </c>
      <c r="AT41" s="31">
        <v>399250</v>
      </c>
      <c r="AU41" s="31">
        <v>220575</v>
      </c>
      <c r="AV41" s="31">
        <v>54996.55</v>
      </c>
      <c r="AW41" s="31">
        <v>0</v>
      </c>
      <c r="AX41" s="31">
        <f>+AU41+AV41+AW41</f>
        <v>275571.55</v>
      </c>
      <c r="AY41" s="31">
        <v>0</v>
      </c>
      <c r="AZ41" s="31">
        <v>0</v>
      </c>
      <c r="BA41" s="31">
        <v>0</v>
      </c>
      <c r="BB41" s="31">
        <v>144653.45000000001</v>
      </c>
      <c r="BC41" s="31">
        <v>25950</v>
      </c>
      <c r="BD41" s="31">
        <f>+BA41+BB41+BC41</f>
        <v>170603.45</v>
      </c>
      <c r="BE41" s="31">
        <v>0</v>
      </c>
      <c r="BF41" s="31">
        <v>798500</v>
      </c>
      <c r="BG41" s="31">
        <v>441150</v>
      </c>
      <c r="BH41" s="31">
        <v>399300</v>
      </c>
      <c r="BI41" s="31">
        <v>51900</v>
      </c>
      <c r="BJ41" s="31">
        <f>+BG41+BH41+BI41</f>
        <v>892350</v>
      </c>
      <c r="BK41" s="31">
        <v>0</v>
      </c>
      <c r="BL41" s="31">
        <v>300000</v>
      </c>
      <c r="BM41" s="31">
        <v>0</v>
      </c>
      <c r="BN41" s="31">
        <v>0</v>
      </c>
      <c r="BO41" s="31">
        <v>0</v>
      </c>
      <c r="BP41" s="31">
        <f>+BM41+BN41+BO41</f>
        <v>0</v>
      </c>
      <c r="BQ41" s="31">
        <v>827272</v>
      </c>
      <c r="BR41" s="31">
        <v>1949906</v>
      </c>
      <c r="BS41" s="31">
        <v>761378</v>
      </c>
      <c r="BT41" s="31">
        <v>1077262</v>
      </c>
      <c r="BU41" s="31">
        <v>0</v>
      </c>
      <c r="BV41" s="31">
        <f>+BS41+BT41+BU41</f>
        <v>1838640</v>
      </c>
      <c r="BW41" s="28">
        <f>C41+I41+O41+U41+AA41+AG41+AM41+AS41+AY41+BE41+BK41+BQ41</f>
        <v>6597779</v>
      </c>
      <c r="BX41" s="28">
        <f>D41+J41+P41+V41+AB41+AH41+AN41+AT41+AZ41+BF41+BL41+BR41</f>
        <v>6469506</v>
      </c>
      <c r="BY41" s="28">
        <f>E41+K41+Q41+W41+AC41+AI41+AO41+AU41+BA41+BG41+BM41+BS41</f>
        <v>2751820</v>
      </c>
      <c r="BZ41" s="28">
        <f>F41+L41+R41+X41+AD41+AJ41+AP41+AV41+BB41+BH41+BN41+BT41</f>
        <v>2811162</v>
      </c>
      <c r="CA41" s="28">
        <f>G41+M41+S41+Y41+AE41+AK41+AQ41+AW41+BC41+BI41+BO41+BU41</f>
        <v>227174</v>
      </c>
      <c r="CB41" s="28">
        <f>BY41+BZ41+CA41</f>
        <v>5790156</v>
      </c>
    </row>
    <row r="42" spans="1:80" s="25" customFormat="1" ht="12.75" x14ac:dyDescent="0.2">
      <c r="A42" s="21"/>
      <c r="B42" s="22" t="s">
        <v>60</v>
      </c>
      <c r="C42" s="23">
        <f>+BQ23+C40-C41</f>
        <v>9627141.129999999</v>
      </c>
      <c r="D42" s="23">
        <f>+BR23+D40-D41</f>
        <v>-2647234.1124999998</v>
      </c>
      <c r="E42" s="23">
        <f>BS23+E40-E41</f>
        <v>-39546.520000000077</v>
      </c>
      <c r="F42" s="23">
        <f>BT23+F40-F41</f>
        <v>-268640.30619999999</v>
      </c>
      <c r="G42" s="23">
        <f>BU23+G40-G41</f>
        <v>-68219.95</v>
      </c>
      <c r="H42" s="23">
        <f>BV23+H40-H41</f>
        <v>-376406.77620000002</v>
      </c>
      <c r="I42" s="23">
        <f t="shared" ref="I42:AH42" si="152">+C42+I40-I41</f>
        <v>10427141.129999999</v>
      </c>
      <c r="J42" s="23">
        <f t="shared" si="152"/>
        <v>-2587234.1124999998</v>
      </c>
      <c r="K42" s="23">
        <f t="shared" si="152"/>
        <v>-46490.520000000077</v>
      </c>
      <c r="L42" s="23">
        <f t="shared" si="152"/>
        <v>-238640.30619999999</v>
      </c>
      <c r="M42" s="23">
        <f t="shared" si="152"/>
        <v>-69403.95</v>
      </c>
      <c r="N42" s="23">
        <f t="shared" si="152"/>
        <v>-354534.77620000002</v>
      </c>
      <c r="O42" s="23">
        <f t="shared" si="152"/>
        <v>11548741.129999999</v>
      </c>
      <c r="P42" s="23">
        <f t="shared" si="152"/>
        <v>-2268994.1124999998</v>
      </c>
      <c r="Q42" s="23">
        <f t="shared" si="152"/>
        <v>26165.479999999938</v>
      </c>
      <c r="R42" s="23">
        <f t="shared" si="152"/>
        <v>-88128.306199999963</v>
      </c>
      <c r="S42" s="23">
        <f t="shared" si="152"/>
        <v>-61515.95</v>
      </c>
      <c r="T42" s="23">
        <f t="shared" si="152"/>
        <v>-123478.77619999996</v>
      </c>
      <c r="U42" s="23">
        <f t="shared" si="152"/>
        <v>11566234.129999999</v>
      </c>
      <c r="V42" s="23">
        <f t="shared" si="152"/>
        <v>-2390794.1124999998</v>
      </c>
      <c r="W42" s="23">
        <f t="shared" si="152"/>
        <v>-101038.52002624009</v>
      </c>
      <c r="X42" s="23">
        <f t="shared" si="152"/>
        <v>-114968.30619999993</v>
      </c>
      <c r="Y42" s="23">
        <f t="shared" si="152"/>
        <v>-73843.950022260004</v>
      </c>
      <c r="Z42" s="23">
        <f t="shared" si="152"/>
        <v>-289850.77624849993</v>
      </c>
      <c r="AA42" s="23">
        <f t="shared" si="152"/>
        <v>15346234.129999999</v>
      </c>
      <c r="AB42" s="23">
        <f t="shared" si="152"/>
        <v>-2213044.1124999998</v>
      </c>
      <c r="AC42" s="23">
        <f t="shared" si="152"/>
        <v>-122217.52002724007</v>
      </c>
      <c r="AD42" s="23">
        <f t="shared" si="152"/>
        <v>-32018.306199999875</v>
      </c>
      <c r="AE42" s="23">
        <f t="shared" si="152"/>
        <v>-78529.95004086</v>
      </c>
      <c r="AF42" s="23">
        <f t="shared" si="152"/>
        <v>-232765.77626809996</v>
      </c>
      <c r="AG42" s="23">
        <f t="shared" si="152"/>
        <v>19222334.129999999</v>
      </c>
      <c r="AH42" s="23">
        <f t="shared" si="152"/>
        <v>-2020879.1124999998</v>
      </c>
      <c r="AI42" s="23">
        <f>+AC42-AI40-AI41</f>
        <v>-567948.52000406105</v>
      </c>
      <c r="AJ42" s="23">
        <f t="shared" ref="AJ42:BV42" si="153">+AD42+AJ40-AJ41</f>
        <v>47291.693800000154</v>
      </c>
      <c r="AK42" s="23">
        <f t="shared" si="153"/>
        <v>-83775.95007277999</v>
      </c>
      <c r="AL42" s="23">
        <f t="shared" si="153"/>
        <v>-154120.77632319886</v>
      </c>
      <c r="AM42" s="23">
        <f t="shared" si="153"/>
        <v>23068834.129999999</v>
      </c>
      <c r="AN42" s="23">
        <f t="shared" si="153"/>
        <v>-1843154.1124999998</v>
      </c>
      <c r="AO42" s="23">
        <f t="shared" si="153"/>
        <v>-532907.52001898107</v>
      </c>
      <c r="AP42" s="23">
        <f t="shared" si="153"/>
        <v>93381.693800000183</v>
      </c>
      <c r="AQ42" s="23">
        <f t="shared" si="153"/>
        <v>-90037.950100619986</v>
      </c>
      <c r="AR42" s="23">
        <f t="shared" si="153"/>
        <v>-79251.776365958794</v>
      </c>
      <c r="AS42" s="23">
        <f t="shared" si="153"/>
        <v>26915334.129999999</v>
      </c>
      <c r="AT42" s="23">
        <f t="shared" si="153"/>
        <v>-1665429.1124999998</v>
      </c>
      <c r="AU42" s="23">
        <f t="shared" si="153"/>
        <v>-448986.52003748604</v>
      </c>
      <c r="AV42" s="23">
        <f t="shared" si="153"/>
        <v>261545.14380000019</v>
      </c>
      <c r="AW42" s="23">
        <f t="shared" si="153"/>
        <v>-72365.950106089993</v>
      </c>
      <c r="AX42" s="23">
        <f t="shared" si="153"/>
        <v>65390.973634041264</v>
      </c>
      <c r="AY42" s="23">
        <f t="shared" si="153"/>
        <v>31138134.129999999</v>
      </c>
      <c r="AZ42" s="23">
        <f t="shared" si="153"/>
        <v>-1032009.1124999998</v>
      </c>
      <c r="BA42" s="23">
        <f t="shared" si="153"/>
        <v>-97421.520054062072</v>
      </c>
      <c r="BB42" s="23">
        <f t="shared" si="153"/>
        <v>360995.69378012017</v>
      </c>
      <c r="BC42" s="23">
        <f t="shared" si="153"/>
        <v>-78468.950132529993</v>
      </c>
      <c r="BD42" s="23">
        <f t="shared" si="153"/>
        <v>510303.5235711452</v>
      </c>
      <c r="BE42" s="23">
        <f t="shared" si="153"/>
        <v>35617834.129999995</v>
      </c>
      <c r="BF42" s="23">
        <f t="shared" si="153"/>
        <v>-1158554.1124999998</v>
      </c>
      <c r="BG42" s="23">
        <f t="shared" si="153"/>
        <v>-143295.52009128098</v>
      </c>
      <c r="BH42" s="23">
        <f t="shared" si="153"/>
        <v>203636.69377182552</v>
      </c>
      <c r="BI42" s="23">
        <f t="shared" si="153"/>
        <v>-111784.95013289287</v>
      </c>
      <c r="BJ42" s="23">
        <f t="shared" si="153"/>
        <v>273754.52352526854</v>
      </c>
      <c r="BK42" s="23">
        <f t="shared" si="153"/>
        <v>39078474.129999995</v>
      </c>
      <c r="BL42" s="23">
        <f t="shared" si="153"/>
        <v>-939458.11249999981</v>
      </c>
      <c r="BM42" s="23">
        <f t="shared" si="153"/>
        <v>177812.47989348223</v>
      </c>
      <c r="BN42" s="23">
        <f t="shared" si="153"/>
        <v>379084.69376468495</v>
      </c>
      <c r="BO42" s="23">
        <f t="shared" si="153"/>
        <v>-99548.950142658665</v>
      </c>
      <c r="BP42" s="23">
        <f t="shared" si="153"/>
        <v>782546.52349312534</v>
      </c>
      <c r="BQ42" s="23">
        <f t="shared" si="153"/>
        <v>41682002.129999995</v>
      </c>
      <c r="BR42" s="23">
        <f t="shared" si="153"/>
        <v>-2374744.1124999998</v>
      </c>
      <c r="BS42" s="23">
        <f t="shared" si="153"/>
        <v>-286529.52012271777</v>
      </c>
      <c r="BT42" s="23">
        <f t="shared" si="153"/>
        <v>-512425.30624618754</v>
      </c>
      <c r="BU42" s="23">
        <f t="shared" si="153"/>
        <v>-86036.950143633861</v>
      </c>
      <c r="BV42" s="23">
        <f t="shared" si="153"/>
        <v>-559793.47653492237</v>
      </c>
      <c r="BW42" s="23">
        <f>BW23+BW40-BW41</f>
        <v>41682002.130000003</v>
      </c>
      <c r="BX42" s="24">
        <f>BX23+BX40-BX41</f>
        <v>-2374744.1125000003</v>
      </c>
      <c r="BY42" s="24">
        <f>BY23+BY40-BY41</f>
        <v>163782.47983092396</v>
      </c>
      <c r="BZ42" s="24">
        <f t="shared" ref="BZ42:CB42" si="154">BZ23+BZ40-BZ41</f>
        <v>-512425.306246188</v>
      </c>
      <c r="CA42" s="24">
        <f t="shared" si="154"/>
        <v>-86036.950143633876</v>
      </c>
      <c r="CB42" s="24">
        <f t="shared" si="154"/>
        <v>-559793.47653492168</v>
      </c>
    </row>
    <row r="43" spans="1:80" s="2" customFormat="1" ht="12.75" x14ac:dyDescent="0.2">
      <c r="A43" s="15"/>
      <c r="B43" s="11" t="s">
        <v>38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</row>
    <row r="44" spans="1:80" s="2" customFormat="1" ht="12.75" x14ac:dyDescent="0.2">
      <c r="A44" s="1">
        <f>A40+1</f>
        <v>1</v>
      </c>
      <c r="B44" s="5" t="s">
        <v>15</v>
      </c>
      <c r="C44" s="6">
        <v>826826</v>
      </c>
      <c r="D44" s="6">
        <f>C44*0.15</f>
        <v>124023.9</v>
      </c>
      <c r="E44" s="6">
        <f>C44*0.06357927097</f>
        <v>52568.994299041224</v>
      </c>
      <c r="F44" s="6">
        <v>0</v>
      </c>
      <c r="G44" s="6">
        <v>0</v>
      </c>
      <c r="H44" s="6">
        <f t="shared" ref="H44:H46" si="155">+E44+F44+G44</f>
        <v>52568.994299041224</v>
      </c>
      <c r="I44" s="6">
        <v>761363</v>
      </c>
      <c r="J44" s="6">
        <f>I44*0.15</f>
        <v>114204.45</v>
      </c>
      <c r="K44" s="6">
        <f>I44*0.05650607098</f>
        <v>43021.631719545745</v>
      </c>
      <c r="L44" s="6">
        <v>0</v>
      </c>
      <c r="M44" s="6">
        <v>0</v>
      </c>
      <c r="N44" s="6">
        <f t="shared" ref="N44:N49" si="156">K44+L44+M44</f>
        <v>43021.631719545745</v>
      </c>
      <c r="O44" s="6">
        <v>665145</v>
      </c>
      <c r="P44" s="6">
        <f>O44*0.15</f>
        <v>99771.75</v>
      </c>
      <c r="Q44" s="6">
        <f>O44*0.06418871402</f>
        <v>42694.802186832894</v>
      </c>
      <c r="R44" s="6"/>
      <c r="S44" s="6"/>
      <c r="T44" s="6">
        <f t="shared" ref="T44:T53" si="157">Q44+R44+S44</f>
        <v>42694.802186832894</v>
      </c>
      <c r="U44" s="6">
        <v>640521</v>
      </c>
      <c r="V44" s="6">
        <f>U44*0.15</f>
        <v>96078.15</v>
      </c>
      <c r="W44" s="6">
        <f>U44*0.07060269962</f>
        <v>45222.51176330202</v>
      </c>
      <c r="X44" s="6">
        <v>0</v>
      </c>
      <c r="Y44" s="6">
        <v>0</v>
      </c>
      <c r="Z44" s="6">
        <f t="shared" ref="Z44:Z53" si="158">W44+X44+Y44</f>
        <v>45222.51176330202</v>
      </c>
      <c r="AA44" s="6">
        <v>640521</v>
      </c>
      <c r="AB44" s="6">
        <f>AA44*0.15</f>
        <v>96078.15</v>
      </c>
      <c r="AC44" s="6">
        <f>AA44*0.07060269962</f>
        <v>45222.51176330202</v>
      </c>
      <c r="AD44" s="6">
        <v>0</v>
      </c>
      <c r="AE44" s="6">
        <v>0</v>
      </c>
      <c r="AF44" s="6">
        <f t="shared" ref="AF44:AF53" si="159">AC44+AD44+AE44</f>
        <v>45222.51176330202</v>
      </c>
      <c r="AG44" s="6">
        <v>640521</v>
      </c>
      <c r="AH44" s="6">
        <f>AG44*0.15</f>
        <v>96078.15</v>
      </c>
      <c r="AI44" s="6">
        <f>AG44*0.07060269962</f>
        <v>45222.51176330202</v>
      </c>
      <c r="AJ44" s="6">
        <v>0</v>
      </c>
      <c r="AK44" s="6">
        <v>0</v>
      </c>
      <c r="AL44" s="6">
        <f t="shared" ref="AL44:AL53" si="160">AI44+AJ44+AK44</f>
        <v>45222.51176330202</v>
      </c>
      <c r="AM44" s="6">
        <v>613599</v>
      </c>
      <c r="AN44" s="6">
        <f>AM44*0.15</f>
        <v>92039.849999999991</v>
      </c>
      <c r="AO44" s="6">
        <f>AM44*0.08515399547</f>
        <v>52250.406466396526</v>
      </c>
      <c r="AP44" s="6">
        <v>0</v>
      </c>
      <c r="AQ44" s="6">
        <v>0</v>
      </c>
      <c r="AR44" s="6">
        <f t="shared" ref="AR44:AR55" si="161">AO44+AP44+AQ44</f>
        <v>52250.406466396526</v>
      </c>
      <c r="AS44" s="6">
        <v>578850</v>
      </c>
      <c r="AT44" s="6">
        <f>AS44*0.15</f>
        <v>86827.5</v>
      </c>
      <c r="AU44" s="6">
        <f>AS44*0.09539148371</f>
        <v>55217.360345533503</v>
      </c>
      <c r="AV44" s="6">
        <v>0</v>
      </c>
      <c r="AW44" s="6">
        <v>0</v>
      </c>
      <c r="AX44" s="6">
        <f t="shared" ref="AX44:AX51" si="162">AU44+AV44+AW44</f>
        <v>55217.360345533503</v>
      </c>
      <c r="AY44" s="6">
        <v>561794</v>
      </c>
      <c r="AZ44" s="6">
        <f>AY44*0.15</f>
        <v>84269.099999999991</v>
      </c>
      <c r="BA44" s="6">
        <f>AY44*0.09828783968</f>
        <v>55217.51860518592</v>
      </c>
      <c r="BB44" s="6">
        <v>0</v>
      </c>
      <c r="BC44" s="6">
        <v>0</v>
      </c>
      <c r="BD44" s="6">
        <f t="shared" ref="BD44:BD51" si="163">BA44+BB44+BC44</f>
        <v>55217.51860518592</v>
      </c>
      <c r="BE44" s="6">
        <v>682985</v>
      </c>
      <c r="BF44" s="6">
        <f>BE44*0.15</f>
        <v>102447.75</v>
      </c>
      <c r="BG44" s="6">
        <f>BE44*0.09711763236</f>
        <v>66329.886137394598</v>
      </c>
      <c r="BH44" s="6">
        <v>0</v>
      </c>
      <c r="BI44" s="6">
        <v>0</v>
      </c>
      <c r="BJ44" s="6">
        <f t="shared" ref="BJ44:BJ51" si="164">BG44+BH44+BI44</f>
        <v>66329.886137394598</v>
      </c>
      <c r="BK44" s="6">
        <v>981818</v>
      </c>
      <c r="BL44" s="6">
        <f>BK44*0.15</f>
        <v>147272.69999999998</v>
      </c>
      <c r="BM44" s="6">
        <f>BK44*0.07628312757</f>
        <v>74896.147744522255</v>
      </c>
      <c r="BN44" s="6">
        <v>0</v>
      </c>
      <c r="BO44" s="6">
        <v>0</v>
      </c>
      <c r="BP44" s="6">
        <f t="shared" ref="BP44:BP46" si="165">BM44+BN44+BO44</f>
        <v>74896.147744522255</v>
      </c>
      <c r="BQ44" s="6">
        <v>981818</v>
      </c>
      <c r="BR44" s="6">
        <f>BQ44*0.15</f>
        <v>147272.69999999998</v>
      </c>
      <c r="BS44" s="6">
        <f>(185368/2430000)*BQ44</f>
        <v>74896.147746502058</v>
      </c>
      <c r="BT44" s="6">
        <v>0</v>
      </c>
      <c r="BU44" s="6">
        <v>0</v>
      </c>
      <c r="BV44" s="6">
        <f t="shared" ref="BV44:BV46" si="166">BS44+BT44+BU44</f>
        <v>74896.147746502058</v>
      </c>
      <c r="BW44" s="7">
        <f t="shared" ref="BW44:BX55" si="167">C44+I44+O44+U44+AA44+AG44+AM44+AS44+AY44+BE44+BK44+BQ44</f>
        <v>8575761</v>
      </c>
      <c r="BX44" s="7">
        <f t="shared" si="167"/>
        <v>1286364.1499999999</v>
      </c>
      <c r="BY44" s="7">
        <f t="shared" ref="BY44" si="168">E44+K44+Q44+W44+AC44+AI44+AO44+AU44+BA44+BG44+BM44+BS44</f>
        <v>652760.43054086075</v>
      </c>
      <c r="BZ44" s="7">
        <f t="shared" ref="BZ44" si="169">F44+L44+R44+X44+AD44+AJ44+AP44+AV44+BB44+BH44+BN44+BT44</f>
        <v>0</v>
      </c>
      <c r="CA44" s="7">
        <f t="shared" ref="CA44" si="170">G44+M44+S44+Y44+AE44+AK44+AQ44+AW44+BC44+BI44+BO44+BU44</f>
        <v>0</v>
      </c>
      <c r="CB44" s="7">
        <f t="shared" ref="CB44:CB55" si="171">H44+N44+T44+Z44+AF44+AL44+AR44+AX44+BD44+BJ44+BP44+BV44</f>
        <v>652760.43054086075</v>
      </c>
    </row>
    <row r="45" spans="1:80" s="2" customFormat="1" ht="12.75" x14ac:dyDescent="0.2">
      <c r="A45" s="1">
        <f t="shared" si="29"/>
        <v>2</v>
      </c>
      <c r="B45" s="5" t="s">
        <v>28</v>
      </c>
      <c r="C45" s="6">
        <v>620119</v>
      </c>
      <c r="D45" s="6">
        <f t="shared" ref="D45:D46" si="172">C45*0.15</f>
        <v>93017.849999999991</v>
      </c>
      <c r="E45" s="6">
        <f t="shared" ref="E45:E46" si="173">C45*0.06357927097</f>
        <v>39426.713934645435</v>
      </c>
      <c r="F45" s="6">
        <f>C45*0.13733772696</f>
        <v>85165.733904708235</v>
      </c>
      <c r="G45" s="6">
        <f>C45*0.00826318339</f>
        <v>5124.1570206234101</v>
      </c>
      <c r="H45" s="6">
        <f t="shared" si="155"/>
        <v>129716.60485997709</v>
      </c>
      <c r="I45" s="6">
        <v>571022</v>
      </c>
      <c r="J45" s="6">
        <f t="shared" ref="J45:J49" si="174">I45*0.15</f>
        <v>85653.3</v>
      </c>
      <c r="K45" s="6">
        <f t="shared" ref="K45:K49" si="175">I45*0.05650607098</f>
        <v>32266.209663141562</v>
      </c>
      <c r="L45" s="6">
        <f>I45*0.10657894955</f>
        <v>60858.924929940098</v>
      </c>
      <c r="M45" s="6">
        <f>I45*0.00635204345</f>
        <v>3627.1565549059001</v>
      </c>
      <c r="N45" s="6">
        <f t="shared" si="156"/>
        <v>96752.291147987562</v>
      </c>
      <c r="O45" s="6">
        <v>498859</v>
      </c>
      <c r="P45" s="6">
        <f t="shared" ref="P45:P53" si="176">O45*0.15</f>
        <v>74828.849999999991</v>
      </c>
      <c r="Q45" s="6">
        <f t="shared" ref="Q45:Q53" si="177">O45*0.06418871402</f>
        <v>32021.117687303176</v>
      </c>
      <c r="R45" s="6">
        <f>O45*0.08994626586</f>
        <v>44870.50424065374</v>
      </c>
      <c r="S45" s="6">
        <f>O45*0.00807396447</f>
        <v>4027.7698415397299</v>
      </c>
      <c r="T45" s="6">
        <f t="shared" si="157"/>
        <v>80919.391769496651</v>
      </c>
      <c r="U45" s="6">
        <v>480390</v>
      </c>
      <c r="V45" s="6">
        <f t="shared" ref="V45:V53" si="178">U45*0.15</f>
        <v>72058.5</v>
      </c>
      <c r="W45" s="6">
        <f t="shared" ref="W45:W53" si="179">U45*0.07060269962</f>
        <v>33916.830870451799</v>
      </c>
      <c r="X45" s="6">
        <f>U45*0.09340419892</f>
        <v>44870.443119178803</v>
      </c>
      <c r="Y45" s="6">
        <f>U45*0.00838436344</f>
        <v>4027.7643529416005</v>
      </c>
      <c r="Z45" s="6">
        <f t="shared" si="158"/>
        <v>82815.038342572196</v>
      </c>
      <c r="AA45" s="6">
        <v>480390</v>
      </c>
      <c r="AB45" s="6">
        <f t="shared" ref="AB45:AB53" si="180">AA45*0.15</f>
        <v>72058.5</v>
      </c>
      <c r="AC45" s="6">
        <f t="shared" ref="AC45:AC53" si="181">AA45*0.07060269962</f>
        <v>33916.830870451799</v>
      </c>
      <c r="AD45" s="6">
        <f>AA45*0.09340419892</f>
        <v>44870.443119178803</v>
      </c>
      <c r="AE45" s="6">
        <f>AA45*0.00838436344</f>
        <v>4027.7643529416005</v>
      </c>
      <c r="AF45" s="6">
        <f t="shared" si="159"/>
        <v>82815.038342572196</v>
      </c>
      <c r="AG45" s="6">
        <v>480390</v>
      </c>
      <c r="AH45" s="6">
        <f t="shared" ref="AH45:AH53" si="182">AG45*0.15</f>
        <v>72058.5</v>
      </c>
      <c r="AI45" s="6">
        <f t="shared" ref="AI45:AI53" si="183">AG45*0.07060269962</f>
        <v>33916.830870451799</v>
      </c>
      <c r="AJ45" s="6">
        <f>AG45*0.09340419892</f>
        <v>44870.443119178803</v>
      </c>
      <c r="AK45" s="6">
        <f>AG45*0.00838436344</f>
        <v>4027.7643529416005</v>
      </c>
      <c r="AL45" s="6">
        <f t="shared" si="160"/>
        <v>82815.038342572196</v>
      </c>
      <c r="AM45" s="6">
        <v>460198</v>
      </c>
      <c r="AN45" s="6">
        <f t="shared" ref="AN45:AN55" si="184">AM45*0.15</f>
        <v>69029.7</v>
      </c>
      <c r="AO45" s="6">
        <f t="shared" ref="AO45:AO49" si="185">AM45*0.08515399547</f>
        <v>39187.698407303054</v>
      </c>
      <c r="AP45" s="6">
        <f>AM45*0.08796528174</f>
        <v>40481.44672618452</v>
      </c>
      <c r="AQ45" s="6">
        <f>AM45*0.00882764733</f>
        <v>4062.4656459713401</v>
      </c>
      <c r="AR45" s="6">
        <f t="shared" si="161"/>
        <v>83731.610779458919</v>
      </c>
      <c r="AS45" s="6">
        <v>434136</v>
      </c>
      <c r="AT45" s="6">
        <f t="shared" ref="AT45:AT55" si="186">AS45*0.15</f>
        <v>65120.399999999994</v>
      </c>
      <c r="AU45" s="6">
        <f t="shared" ref="AU45:AU51" si="187">AS45*0.09539148371</f>
        <v>41412.877171924563</v>
      </c>
      <c r="AV45" s="6">
        <f>AS45*0.1060428198</f>
        <v>46037.005616692797</v>
      </c>
      <c r="AW45" s="6">
        <f>AS45*0.00935758924</f>
        <v>4062.46636229664</v>
      </c>
      <c r="AX45" s="6">
        <f t="shared" si="162"/>
        <v>91512.349150914</v>
      </c>
      <c r="AY45" s="6">
        <v>421343</v>
      </c>
      <c r="AZ45" s="6">
        <f t="shared" ref="AZ45:AZ55" si="188">AY45*0.15</f>
        <v>63201.45</v>
      </c>
      <c r="BA45" s="6">
        <f t="shared" ref="BA45:BA51" si="189">AY45*0.09828783968</f>
        <v>41412.893234290241</v>
      </c>
      <c r="BB45" s="6">
        <f>AY45*0.10926259032</f>
        <v>46037.02759319976</v>
      </c>
      <c r="BC45" s="6">
        <f>AY45*0.00964171305</f>
        <v>4062.4683016261502</v>
      </c>
      <c r="BD45" s="6">
        <f t="shared" si="163"/>
        <v>91512.389129116156</v>
      </c>
      <c r="BE45" s="6">
        <v>512239</v>
      </c>
      <c r="BF45" s="6">
        <f t="shared" ref="BF45:BF51" si="190">BE45*0.15</f>
        <v>76835.849999999991</v>
      </c>
      <c r="BG45" s="6">
        <f t="shared" ref="BG45:BG51" si="191">BE45*0.09711763236</f>
        <v>49747.438882454037</v>
      </c>
      <c r="BH45" s="6">
        <f>BE45*0.10358785626</f>
        <v>53061.739902766138</v>
      </c>
      <c r="BI45" s="6">
        <f>BE45*0.00945401872</f>
        <v>4842.7170951140806</v>
      </c>
      <c r="BJ45" s="6">
        <f t="shared" si="164"/>
        <v>107651.89588033425</v>
      </c>
      <c r="BK45" s="6">
        <v>736364</v>
      </c>
      <c r="BL45" s="6">
        <f t="shared" ref="BL45:BL46" si="192">BK45*0.15</f>
        <v>110454.59999999999</v>
      </c>
      <c r="BM45" s="6">
        <f t="shared" ref="BM45:BM46" si="193">BK45*0.07628312757</f>
        <v>56172.148949955481</v>
      </c>
      <c r="BN45" s="6">
        <f>(182250/1448182)*BK45</f>
        <v>92669.525653543547</v>
      </c>
      <c r="BO45" s="6">
        <f>(12836/1448182)*BK45</f>
        <v>6526.7820646852397</v>
      </c>
      <c r="BP45" s="6">
        <f t="shared" si="165"/>
        <v>155368.45666818428</v>
      </c>
      <c r="BQ45" s="6">
        <v>736364</v>
      </c>
      <c r="BR45" s="6">
        <f t="shared" ref="BR45:BR46" si="194">BQ45*0.15</f>
        <v>110454.59999999999</v>
      </c>
      <c r="BS45" s="6">
        <f>(185368/2430000)*BQ45</f>
        <v>56172.148951440322</v>
      </c>
      <c r="BT45" s="6">
        <f>(182250/1448182)*BQ45</f>
        <v>92669.525653543547</v>
      </c>
      <c r="BU45" s="6">
        <f>(12836/1448182)*BQ45</f>
        <v>6526.7820646852397</v>
      </c>
      <c r="BV45" s="6">
        <f t="shared" si="166"/>
        <v>155368.45666966913</v>
      </c>
      <c r="BW45" s="7">
        <f t="shared" si="167"/>
        <v>6431814</v>
      </c>
      <c r="BX45" s="7">
        <f t="shared" si="167"/>
        <v>964772.09999999986</v>
      </c>
      <c r="BY45" s="7">
        <f t="shared" ref="BY45:BY55" si="195">E45+K45+Q45+W45+AC45+AI45+AO45+AU45+BA45+BG45+BM45+BS45</f>
        <v>489569.73949381325</v>
      </c>
      <c r="BZ45" s="7">
        <f t="shared" ref="BZ45:BZ55" si="196">F45+L45+R45+X45+AD45+AJ45+AP45+AV45+BB45+BH45+BN45+BT45</f>
        <v>696462.76357876882</v>
      </c>
      <c r="CA45" s="7">
        <f t="shared" ref="CA45:CA55" si="197">G45+M45+S45+Y45+AE45+AK45+AQ45+AW45+BC45+BI45+BO45+BU45</f>
        <v>54946.058010272536</v>
      </c>
      <c r="CB45" s="7">
        <f t="shared" si="171"/>
        <v>1240978.5610828546</v>
      </c>
    </row>
    <row r="46" spans="1:80" s="2" customFormat="1" ht="12.75" x14ac:dyDescent="0.2">
      <c r="A46" s="1">
        <f t="shared" si="29"/>
        <v>3</v>
      </c>
      <c r="B46" s="5" t="s">
        <v>26</v>
      </c>
      <c r="C46" s="6">
        <v>374655</v>
      </c>
      <c r="D46" s="6">
        <f t="shared" si="172"/>
        <v>56198.25</v>
      </c>
      <c r="E46" s="6">
        <f t="shared" si="173"/>
        <v>23820.291765265352</v>
      </c>
      <c r="F46" s="6">
        <f>C46*0.13733772696</f>
        <v>51454.2660941988</v>
      </c>
      <c r="G46" s="6">
        <f>C46*0.00826318339</f>
        <v>3095.8429729804498</v>
      </c>
      <c r="H46" s="6">
        <f t="shared" si="155"/>
        <v>78370.400832444604</v>
      </c>
      <c r="I46" s="6">
        <v>331193</v>
      </c>
      <c r="J46" s="6">
        <f t="shared" si="174"/>
        <v>49678.95</v>
      </c>
      <c r="K46" s="6">
        <f t="shared" si="175"/>
        <v>18714.415166079139</v>
      </c>
      <c r="L46" s="6">
        <f t="shared" ref="L46:L49" si="198">I46*0.10657894955</f>
        <v>35298.202038313146</v>
      </c>
      <c r="M46" s="6">
        <f t="shared" ref="M46:M49" si="199">I46*0.00635204345</f>
        <v>2103.7523263358498</v>
      </c>
      <c r="N46" s="6">
        <f t="shared" si="156"/>
        <v>56116.369530728138</v>
      </c>
      <c r="O46" s="6">
        <v>482230</v>
      </c>
      <c r="P46" s="6">
        <f t="shared" si="176"/>
        <v>72334.5</v>
      </c>
      <c r="Q46" s="6">
        <f t="shared" si="177"/>
        <v>30953.723561864597</v>
      </c>
      <c r="R46" s="6">
        <f t="shared" ref="R46:R49" si="200">O46*0.08994626586</f>
        <v>43374.787785667802</v>
      </c>
      <c r="S46" s="6">
        <f t="shared" ref="S46:S53" si="201">O46*0.00807396447</f>
        <v>3893.5078863681001</v>
      </c>
      <c r="T46" s="6">
        <f t="shared" si="157"/>
        <v>78222.019233900501</v>
      </c>
      <c r="U46" s="6">
        <v>464378</v>
      </c>
      <c r="V46" s="6">
        <f t="shared" si="178"/>
        <v>69656.7</v>
      </c>
      <c r="W46" s="6">
        <f t="shared" si="179"/>
        <v>32786.34044413636</v>
      </c>
      <c r="X46" s="6">
        <f t="shared" ref="X46:X49" si="202">U46*0.09340419892</f>
        <v>43374.855086071759</v>
      </c>
      <c r="Y46" s="6">
        <f t="shared" ref="Y46:Y53" si="203">U46*0.00838436344</f>
        <v>3893.5139255403201</v>
      </c>
      <c r="Z46" s="6">
        <f t="shared" si="158"/>
        <v>80054.709455748438</v>
      </c>
      <c r="AA46" s="6">
        <v>464378</v>
      </c>
      <c r="AB46" s="6">
        <f t="shared" si="180"/>
        <v>69656.7</v>
      </c>
      <c r="AC46" s="6">
        <f t="shared" si="181"/>
        <v>32786.34044413636</v>
      </c>
      <c r="AD46" s="6">
        <f t="shared" ref="AD46:AD49" si="204">AA46*0.09340419892</f>
        <v>43374.855086071759</v>
      </c>
      <c r="AE46" s="6">
        <f t="shared" ref="AE46:AE49" si="205">AA46*0.00838436344</f>
        <v>3893.5139255403201</v>
      </c>
      <c r="AF46" s="6">
        <f t="shared" si="159"/>
        <v>80054.709455748438</v>
      </c>
      <c r="AG46" s="6">
        <v>464378</v>
      </c>
      <c r="AH46" s="6">
        <f t="shared" si="182"/>
        <v>69656.7</v>
      </c>
      <c r="AI46" s="6">
        <f t="shared" si="183"/>
        <v>32786.34044413636</v>
      </c>
      <c r="AJ46" s="6">
        <f t="shared" ref="AJ46:AJ49" si="206">AG46*0.09340419892</f>
        <v>43374.855086071759</v>
      </c>
      <c r="AK46" s="6">
        <f t="shared" ref="AK46:AK49" si="207">AG46*0.00838436344</f>
        <v>3893.5139255403201</v>
      </c>
      <c r="AL46" s="6">
        <f t="shared" si="160"/>
        <v>80054.709455748438</v>
      </c>
      <c r="AM46" s="6">
        <v>444859</v>
      </c>
      <c r="AN46" s="6">
        <f t="shared" si="184"/>
        <v>66728.849999999991</v>
      </c>
      <c r="AO46" s="6">
        <f t="shared" si="185"/>
        <v>37881.521270788726</v>
      </c>
      <c r="AP46" s="6">
        <f t="shared" ref="AP46:AP49" si="208">AM46*0.08796528174</f>
        <v>39132.147269574656</v>
      </c>
      <c r="AQ46" s="6">
        <f t="shared" ref="AQ46:AQ49" si="209">AM46*0.00882764733</f>
        <v>3927.0583635764701</v>
      </c>
      <c r="AR46" s="6">
        <f t="shared" si="161"/>
        <v>80940.726903939838</v>
      </c>
      <c r="AS46" s="6">
        <v>419665</v>
      </c>
      <c r="AT46" s="6">
        <f t="shared" si="186"/>
        <v>62949.75</v>
      </c>
      <c r="AU46" s="6">
        <f t="shared" si="187"/>
        <v>40032.467011157154</v>
      </c>
      <c r="AV46" s="6">
        <f t="shared" ref="AV46:AV49" si="210">AS46*0.1060428198</f>
        <v>44502.459971366996</v>
      </c>
      <c r="AW46" s="6">
        <f t="shared" ref="AW46:AW49" si="211">AS46*0.00935758924</f>
        <v>3927.0526884046003</v>
      </c>
      <c r="AX46" s="6">
        <f t="shared" si="162"/>
        <v>88461.979670928748</v>
      </c>
      <c r="AY46" s="6">
        <v>407299</v>
      </c>
      <c r="AZ46" s="6">
        <f t="shared" si="188"/>
        <v>61094.85</v>
      </c>
      <c r="BA46" s="6">
        <f t="shared" si="189"/>
        <v>40032.538813824322</v>
      </c>
      <c r="BB46" s="6">
        <f t="shared" ref="BB46:BB49" si="212">AY46*0.10926259032</f>
        <v>44502.543774745682</v>
      </c>
      <c r="BC46" s="6">
        <f t="shared" ref="BC46:BC49" si="213">AY46*0.00964171305</f>
        <v>3927.0600835519504</v>
      </c>
      <c r="BD46" s="6">
        <f t="shared" si="163"/>
        <v>88462.142672121947</v>
      </c>
      <c r="BE46" s="6">
        <v>495164</v>
      </c>
      <c r="BF46" s="6">
        <f t="shared" si="190"/>
        <v>74274.599999999991</v>
      </c>
      <c r="BG46" s="6">
        <f t="shared" si="191"/>
        <v>48089.155309907037</v>
      </c>
      <c r="BH46" s="6">
        <f t="shared" ref="BH46:BH49" si="214">BE46*0.10358785626</f>
        <v>51292.977257126637</v>
      </c>
      <c r="BI46" s="6">
        <f t="shared" ref="BI46:BI49" si="215">BE46*0.00945401872</f>
        <v>4681.2897254700802</v>
      </c>
      <c r="BJ46" s="6">
        <f t="shared" si="164"/>
        <v>104063.42229250375</v>
      </c>
      <c r="BK46" s="6">
        <v>711818</v>
      </c>
      <c r="BL46" s="6">
        <f t="shared" si="192"/>
        <v>106772.7</v>
      </c>
      <c r="BM46" s="6">
        <f t="shared" si="193"/>
        <v>54299.703300622255</v>
      </c>
      <c r="BN46" s="6">
        <f>(182250/1448182)*BK46</f>
        <v>89580.474346456453</v>
      </c>
      <c r="BO46" s="6">
        <f>(12836/1448182)*BK46</f>
        <v>6309.2179353147603</v>
      </c>
      <c r="BP46" s="6">
        <f t="shared" si="165"/>
        <v>150189.39558239345</v>
      </c>
      <c r="BQ46" s="6">
        <v>711818</v>
      </c>
      <c r="BR46" s="6">
        <f t="shared" si="194"/>
        <v>106772.7</v>
      </c>
      <c r="BS46" s="6">
        <f>(185368/2430000)*BQ46</f>
        <v>54299.703302057605</v>
      </c>
      <c r="BT46" s="6">
        <f>(182250/1448182)*BQ46</f>
        <v>89580.474346456453</v>
      </c>
      <c r="BU46" s="6">
        <f>(12836/1448182)*BQ46</f>
        <v>6309.2179353147603</v>
      </c>
      <c r="BV46" s="6">
        <f t="shared" si="166"/>
        <v>150189.39558382879</v>
      </c>
      <c r="BW46" s="7">
        <f t="shared" si="167"/>
        <v>5771835</v>
      </c>
      <c r="BX46" s="7">
        <f t="shared" si="167"/>
        <v>865775.24999999988</v>
      </c>
      <c r="BY46" s="7">
        <f t="shared" si="195"/>
        <v>446482.5408339753</v>
      </c>
      <c r="BZ46" s="7">
        <f t="shared" si="196"/>
        <v>618842.89814212185</v>
      </c>
      <c r="CA46" s="7">
        <f t="shared" si="197"/>
        <v>49854.541693937979</v>
      </c>
      <c r="CB46" s="7">
        <f t="shared" si="171"/>
        <v>1115179.9806700354</v>
      </c>
    </row>
    <row r="47" spans="1:80" s="2" customFormat="1" ht="24" x14ac:dyDescent="0.2">
      <c r="A47" s="1">
        <f t="shared" si="29"/>
        <v>4</v>
      </c>
      <c r="B47" s="5" t="s">
        <v>27</v>
      </c>
      <c r="C47" s="6"/>
      <c r="D47" s="6"/>
      <c r="E47" s="6"/>
      <c r="F47" s="6"/>
      <c r="G47" s="6"/>
      <c r="H47" s="6"/>
      <c r="I47" s="6">
        <v>456818</v>
      </c>
      <c r="J47" s="6">
        <f t="shared" si="174"/>
        <v>68522.7</v>
      </c>
      <c r="K47" s="6">
        <f t="shared" si="175"/>
        <v>25812.990332941641</v>
      </c>
      <c r="L47" s="6">
        <f t="shared" si="198"/>
        <v>48687.182575531901</v>
      </c>
      <c r="M47" s="6">
        <f t="shared" si="199"/>
        <v>2901.7277847421001</v>
      </c>
      <c r="N47" s="6">
        <f t="shared" si="156"/>
        <v>77401.900693215648</v>
      </c>
      <c r="O47" s="6">
        <v>997718</v>
      </c>
      <c r="P47" s="6">
        <f t="shared" si="176"/>
        <v>149657.69999999998</v>
      </c>
      <c r="Q47" s="6">
        <f t="shared" si="177"/>
        <v>64042.235374606353</v>
      </c>
      <c r="R47" s="6">
        <f t="shared" si="200"/>
        <v>89741.008481307479</v>
      </c>
      <c r="S47" s="6">
        <f t="shared" si="201"/>
        <v>8055.5396830794598</v>
      </c>
      <c r="T47" s="6">
        <f t="shared" si="157"/>
        <v>161838.7835389933</v>
      </c>
      <c r="U47" s="6">
        <v>960781</v>
      </c>
      <c r="V47" s="6">
        <f t="shared" si="178"/>
        <v>144117.15</v>
      </c>
      <c r="W47" s="6">
        <f t="shared" si="179"/>
        <v>67833.732343603217</v>
      </c>
      <c r="X47" s="6">
        <f t="shared" si="202"/>
        <v>89740.979642556515</v>
      </c>
      <c r="Y47" s="6">
        <f t="shared" si="203"/>
        <v>8055.5370902466402</v>
      </c>
      <c r="Z47" s="6">
        <f t="shared" si="158"/>
        <v>165630.24907640638</v>
      </c>
      <c r="AA47" s="6">
        <v>960781</v>
      </c>
      <c r="AB47" s="6">
        <f t="shared" si="180"/>
        <v>144117.15</v>
      </c>
      <c r="AC47" s="6">
        <f t="shared" si="181"/>
        <v>67833.732343603217</v>
      </c>
      <c r="AD47" s="6">
        <f t="shared" si="204"/>
        <v>89740.979642556515</v>
      </c>
      <c r="AE47" s="6">
        <f t="shared" si="205"/>
        <v>8055.5370902466402</v>
      </c>
      <c r="AF47" s="6">
        <f t="shared" si="159"/>
        <v>165630.24907640638</v>
      </c>
      <c r="AG47" s="6">
        <v>960781</v>
      </c>
      <c r="AH47" s="6">
        <f t="shared" si="182"/>
        <v>144117.15</v>
      </c>
      <c r="AI47" s="6">
        <f t="shared" si="183"/>
        <v>67833.732343603217</v>
      </c>
      <c r="AJ47" s="6">
        <f t="shared" si="206"/>
        <v>89740.979642556515</v>
      </c>
      <c r="AK47" s="6">
        <f t="shared" si="207"/>
        <v>8055.5370902466402</v>
      </c>
      <c r="AL47" s="6">
        <f t="shared" si="160"/>
        <v>165630.24907640638</v>
      </c>
      <c r="AM47" s="6">
        <v>920397</v>
      </c>
      <c r="AN47" s="6">
        <f t="shared" si="184"/>
        <v>138059.54999999999</v>
      </c>
      <c r="AO47" s="6">
        <f t="shared" si="185"/>
        <v>78375.481968601584</v>
      </c>
      <c r="AP47" s="6">
        <f t="shared" si="208"/>
        <v>80962.981417650779</v>
      </c>
      <c r="AQ47" s="6">
        <f t="shared" si="209"/>
        <v>8124.9401195900109</v>
      </c>
      <c r="AR47" s="6">
        <f t="shared" si="161"/>
        <v>167463.40350584235</v>
      </c>
      <c r="AS47" s="6">
        <v>868273</v>
      </c>
      <c r="AT47" s="6">
        <f t="shared" si="186"/>
        <v>130240.95</v>
      </c>
      <c r="AU47" s="6">
        <f t="shared" si="187"/>
        <v>82825.849735332828</v>
      </c>
      <c r="AV47" s="6">
        <f t="shared" si="210"/>
        <v>92074.11727620539</v>
      </c>
      <c r="AW47" s="6">
        <f t="shared" si="211"/>
        <v>8124.9420821825206</v>
      </c>
      <c r="AX47" s="6">
        <f t="shared" si="162"/>
        <v>183024.90909372075</v>
      </c>
      <c r="AY47" s="6">
        <v>842686</v>
      </c>
      <c r="AZ47" s="6">
        <f t="shared" si="188"/>
        <v>126402.9</v>
      </c>
      <c r="BA47" s="6">
        <f t="shared" si="189"/>
        <v>82825.786468580482</v>
      </c>
      <c r="BB47" s="6">
        <f t="shared" si="212"/>
        <v>92074.055186399521</v>
      </c>
      <c r="BC47" s="6">
        <f t="shared" si="213"/>
        <v>8124.9366032523003</v>
      </c>
      <c r="BD47" s="6">
        <f t="shared" si="163"/>
        <v>183024.77825823231</v>
      </c>
      <c r="BE47" s="6">
        <v>1024478</v>
      </c>
      <c r="BF47" s="6">
        <f t="shared" si="190"/>
        <v>153671.69999999998</v>
      </c>
      <c r="BG47" s="6">
        <f t="shared" si="191"/>
        <v>99494.877764908073</v>
      </c>
      <c r="BH47" s="6">
        <f t="shared" si="214"/>
        <v>106123.47980553228</v>
      </c>
      <c r="BI47" s="6">
        <f t="shared" si="215"/>
        <v>9685.4341902281612</v>
      </c>
      <c r="BJ47" s="6">
        <f t="shared" si="164"/>
        <v>215303.79176066851</v>
      </c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7">
        <f t="shared" si="167"/>
        <v>7992713</v>
      </c>
      <c r="BX47" s="7">
        <f t="shared" si="167"/>
        <v>1198906.95</v>
      </c>
      <c r="BY47" s="7">
        <f t="shared" si="195"/>
        <v>636878.41867578076</v>
      </c>
      <c r="BZ47" s="7">
        <f t="shared" si="196"/>
        <v>778885.76367029676</v>
      </c>
      <c r="CA47" s="7">
        <f t="shared" si="197"/>
        <v>69184.131733814473</v>
      </c>
      <c r="CB47" s="7">
        <f t="shared" si="171"/>
        <v>1484948.3140798919</v>
      </c>
    </row>
    <row r="48" spans="1:80" s="2" customFormat="1" ht="12.75" x14ac:dyDescent="0.2">
      <c r="A48" s="1">
        <f t="shared" si="29"/>
        <v>5</v>
      </c>
      <c r="B48" s="5" t="s">
        <v>29</v>
      </c>
      <c r="C48" s="6"/>
      <c r="D48" s="6"/>
      <c r="E48" s="6"/>
      <c r="F48" s="6"/>
      <c r="G48" s="6"/>
      <c r="H48" s="6"/>
      <c r="I48" s="6">
        <v>228409</v>
      </c>
      <c r="J48" s="6">
        <f t="shared" si="174"/>
        <v>34261.35</v>
      </c>
      <c r="K48" s="6">
        <f t="shared" si="175"/>
        <v>12906.495166470821</v>
      </c>
      <c r="L48" s="6">
        <f t="shared" si="198"/>
        <v>24343.59128776595</v>
      </c>
      <c r="M48" s="6">
        <f t="shared" si="199"/>
        <v>1450.86389237105</v>
      </c>
      <c r="N48" s="6">
        <f t="shared" si="156"/>
        <v>38700.950346607824</v>
      </c>
      <c r="O48" s="6">
        <v>498859</v>
      </c>
      <c r="P48" s="6">
        <f t="shared" si="176"/>
        <v>74828.849999999991</v>
      </c>
      <c r="Q48" s="6">
        <f t="shared" si="177"/>
        <v>32021.117687303176</v>
      </c>
      <c r="R48" s="6">
        <f t="shared" si="200"/>
        <v>44870.50424065374</v>
      </c>
      <c r="S48" s="6">
        <f t="shared" si="201"/>
        <v>4027.7698415397299</v>
      </c>
      <c r="T48" s="6">
        <f t="shared" si="157"/>
        <v>80919.391769496651</v>
      </c>
      <c r="U48" s="6">
        <v>480390</v>
      </c>
      <c r="V48" s="6">
        <f t="shared" si="178"/>
        <v>72058.5</v>
      </c>
      <c r="W48" s="6">
        <f t="shared" si="179"/>
        <v>33916.830870451799</v>
      </c>
      <c r="X48" s="6">
        <f t="shared" si="202"/>
        <v>44870.443119178803</v>
      </c>
      <c r="Y48" s="6">
        <f t="shared" si="203"/>
        <v>4027.7643529416005</v>
      </c>
      <c r="Z48" s="6">
        <f t="shared" si="158"/>
        <v>82815.038342572196</v>
      </c>
      <c r="AA48" s="6">
        <v>480390</v>
      </c>
      <c r="AB48" s="6">
        <f t="shared" si="180"/>
        <v>72058.5</v>
      </c>
      <c r="AC48" s="6">
        <f t="shared" si="181"/>
        <v>33916.830870451799</v>
      </c>
      <c r="AD48" s="6">
        <f t="shared" si="204"/>
        <v>44870.443119178803</v>
      </c>
      <c r="AE48" s="6">
        <f t="shared" si="205"/>
        <v>4027.7643529416005</v>
      </c>
      <c r="AF48" s="6">
        <f t="shared" si="159"/>
        <v>82815.038342572196</v>
      </c>
      <c r="AG48" s="6">
        <v>480390</v>
      </c>
      <c r="AH48" s="6">
        <f t="shared" si="182"/>
        <v>72058.5</v>
      </c>
      <c r="AI48" s="6">
        <f t="shared" si="183"/>
        <v>33916.830870451799</v>
      </c>
      <c r="AJ48" s="6">
        <f t="shared" si="206"/>
        <v>44870.443119178803</v>
      </c>
      <c r="AK48" s="6">
        <f t="shared" si="207"/>
        <v>4027.7643529416005</v>
      </c>
      <c r="AL48" s="6">
        <f t="shared" si="160"/>
        <v>82815.038342572196</v>
      </c>
      <c r="AM48" s="6">
        <v>460198</v>
      </c>
      <c r="AN48" s="6">
        <f t="shared" si="184"/>
        <v>69029.7</v>
      </c>
      <c r="AO48" s="6">
        <f t="shared" si="185"/>
        <v>39187.698407303054</v>
      </c>
      <c r="AP48" s="6">
        <f t="shared" si="208"/>
        <v>40481.44672618452</v>
      </c>
      <c r="AQ48" s="6">
        <f t="shared" si="209"/>
        <v>4062.4656459713401</v>
      </c>
      <c r="AR48" s="6">
        <f t="shared" si="161"/>
        <v>83731.610779458919</v>
      </c>
      <c r="AS48" s="6">
        <v>434136</v>
      </c>
      <c r="AT48" s="6">
        <f t="shared" si="186"/>
        <v>65120.399999999994</v>
      </c>
      <c r="AU48" s="6">
        <f t="shared" si="187"/>
        <v>41412.877171924563</v>
      </c>
      <c r="AV48" s="6">
        <f t="shared" si="210"/>
        <v>46037.005616692797</v>
      </c>
      <c r="AW48" s="6">
        <f t="shared" si="211"/>
        <v>4062.46636229664</v>
      </c>
      <c r="AX48" s="6">
        <f t="shared" si="162"/>
        <v>91512.349150914</v>
      </c>
      <c r="AY48" s="6">
        <v>421343</v>
      </c>
      <c r="AZ48" s="6">
        <f t="shared" si="188"/>
        <v>63201.45</v>
      </c>
      <c r="BA48" s="6">
        <f t="shared" si="189"/>
        <v>41412.893234290241</v>
      </c>
      <c r="BB48" s="6">
        <f t="shared" si="212"/>
        <v>46037.02759319976</v>
      </c>
      <c r="BC48" s="6">
        <f t="shared" si="213"/>
        <v>4062.4683016261502</v>
      </c>
      <c r="BD48" s="6">
        <f t="shared" si="163"/>
        <v>91512.389129116156</v>
      </c>
      <c r="BE48" s="6">
        <v>512239</v>
      </c>
      <c r="BF48" s="6">
        <f t="shared" si="190"/>
        <v>76835.849999999991</v>
      </c>
      <c r="BG48" s="6">
        <f t="shared" si="191"/>
        <v>49747.438882454037</v>
      </c>
      <c r="BH48" s="6">
        <f t="shared" si="214"/>
        <v>53061.739902766138</v>
      </c>
      <c r="BI48" s="6">
        <f t="shared" si="215"/>
        <v>4842.7170951140806</v>
      </c>
      <c r="BJ48" s="6">
        <f t="shared" si="164"/>
        <v>107651.89588033425</v>
      </c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7">
        <f t="shared" si="167"/>
        <v>3996354</v>
      </c>
      <c r="BX48" s="7">
        <f t="shared" si="167"/>
        <v>599453.1</v>
      </c>
      <c r="BY48" s="7">
        <f t="shared" si="195"/>
        <v>318439.01316110126</v>
      </c>
      <c r="BZ48" s="7">
        <f t="shared" si="196"/>
        <v>389442.64472479926</v>
      </c>
      <c r="CA48" s="7">
        <f t="shared" si="197"/>
        <v>34592.044197743795</v>
      </c>
      <c r="CB48" s="7">
        <f t="shared" si="171"/>
        <v>742473.70208364446</v>
      </c>
    </row>
    <row r="49" spans="1:80" s="2" customFormat="1" ht="12.75" x14ac:dyDescent="0.2">
      <c r="A49" s="1">
        <f t="shared" si="29"/>
        <v>6</v>
      </c>
      <c r="B49" s="5" t="s">
        <v>22</v>
      </c>
      <c r="C49" s="6"/>
      <c r="D49" s="6"/>
      <c r="E49" s="6"/>
      <c r="F49" s="6"/>
      <c r="G49" s="6"/>
      <c r="H49" s="6"/>
      <c r="I49" s="6">
        <v>220795</v>
      </c>
      <c r="J49" s="6">
        <f t="shared" si="174"/>
        <v>33119.25</v>
      </c>
      <c r="K49" s="6">
        <f t="shared" si="175"/>
        <v>12476.2579420291</v>
      </c>
      <c r="L49" s="6">
        <f t="shared" si="198"/>
        <v>23532.09916589225</v>
      </c>
      <c r="M49" s="6">
        <f t="shared" si="199"/>
        <v>1402.49943354275</v>
      </c>
      <c r="N49" s="6">
        <f t="shared" si="156"/>
        <v>37410.856541464098</v>
      </c>
      <c r="O49" s="6">
        <v>482230</v>
      </c>
      <c r="P49" s="6">
        <f t="shared" si="176"/>
        <v>72334.5</v>
      </c>
      <c r="Q49" s="6">
        <f t="shared" si="177"/>
        <v>30953.723561864597</v>
      </c>
      <c r="R49" s="6">
        <f t="shared" si="200"/>
        <v>43374.787785667802</v>
      </c>
      <c r="S49" s="6">
        <f t="shared" si="201"/>
        <v>3893.5078863681001</v>
      </c>
      <c r="T49" s="6">
        <f t="shared" si="157"/>
        <v>78222.019233900501</v>
      </c>
      <c r="U49" s="6">
        <v>464378</v>
      </c>
      <c r="V49" s="6">
        <f t="shared" si="178"/>
        <v>69656.7</v>
      </c>
      <c r="W49" s="6">
        <f t="shared" si="179"/>
        <v>32786.34044413636</v>
      </c>
      <c r="X49" s="6">
        <f t="shared" si="202"/>
        <v>43374.855086071759</v>
      </c>
      <c r="Y49" s="6">
        <f t="shared" si="203"/>
        <v>3893.5139255403201</v>
      </c>
      <c r="Z49" s="6">
        <f t="shared" si="158"/>
        <v>80054.709455748438</v>
      </c>
      <c r="AA49" s="6">
        <v>464378</v>
      </c>
      <c r="AB49" s="6">
        <f t="shared" si="180"/>
        <v>69656.7</v>
      </c>
      <c r="AC49" s="6">
        <f t="shared" si="181"/>
        <v>32786.34044413636</v>
      </c>
      <c r="AD49" s="6">
        <f t="shared" si="204"/>
        <v>43374.855086071759</v>
      </c>
      <c r="AE49" s="6">
        <f t="shared" si="205"/>
        <v>3893.5139255403201</v>
      </c>
      <c r="AF49" s="6">
        <f t="shared" si="159"/>
        <v>80054.709455748438</v>
      </c>
      <c r="AG49" s="6">
        <v>464378</v>
      </c>
      <c r="AH49" s="6">
        <f t="shared" si="182"/>
        <v>69656.7</v>
      </c>
      <c r="AI49" s="6">
        <f t="shared" si="183"/>
        <v>32786.34044413636</v>
      </c>
      <c r="AJ49" s="6">
        <f t="shared" si="206"/>
        <v>43374.855086071759</v>
      </c>
      <c r="AK49" s="6">
        <f t="shared" si="207"/>
        <v>3893.5139255403201</v>
      </c>
      <c r="AL49" s="6">
        <f t="shared" si="160"/>
        <v>80054.709455748438</v>
      </c>
      <c r="AM49" s="6">
        <v>444859</v>
      </c>
      <c r="AN49" s="6">
        <f t="shared" si="184"/>
        <v>66728.849999999991</v>
      </c>
      <c r="AO49" s="6">
        <f t="shared" si="185"/>
        <v>37881.521270788726</v>
      </c>
      <c r="AP49" s="6">
        <f t="shared" si="208"/>
        <v>39132.147269574656</v>
      </c>
      <c r="AQ49" s="6">
        <f t="shared" si="209"/>
        <v>3927.0583635764701</v>
      </c>
      <c r="AR49" s="6">
        <f t="shared" si="161"/>
        <v>80940.726903939838</v>
      </c>
      <c r="AS49" s="6">
        <v>419665</v>
      </c>
      <c r="AT49" s="6">
        <f t="shared" si="186"/>
        <v>62949.75</v>
      </c>
      <c r="AU49" s="6">
        <f t="shared" si="187"/>
        <v>40032.467011157154</v>
      </c>
      <c r="AV49" s="6">
        <f t="shared" si="210"/>
        <v>44502.459971366996</v>
      </c>
      <c r="AW49" s="6">
        <f t="shared" si="211"/>
        <v>3927.0526884046003</v>
      </c>
      <c r="AX49" s="6">
        <f t="shared" si="162"/>
        <v>88461.979670928748</v>
      </c>
      <c r="AY49" s="6">
        <v>407298</v>
      </c>
      <c r="AZ49" s="6">
        <f t="shared" si="188"/>
        <v>61094.7</v>
      </c>
      <c r="BA49" s="6">
        <f t="shared" si="189"/>
        <v>40032.440525984639</v>
      </c>
      <c r="BB49" s="6">
        <f t="shared" si="212"/>
        <v>44502.434512155363</v>
      </c>
      <c r="BC49" s="6">
        <f t="shared" si="213"/>
        <v>3927.0504418389</v>
      </c>
      <c r="BD49" s="6">
        <f t="shared" si="163"/>
        <v>88461.925479978905</v>
      </c>
      <c r="BE49" s="6">
        <v>495164</v>
      </c>
      <c r="BF49" s="6">
        <f t="shared" si="190"/>
        <v>74274.599999999991</v>
      </c>
      <c r="BG49" s="6">
        <f t="shared" si="191"/>
        <v>48089.155309907037</v>
      </c>
      <c r="BH49" s="6">
        <f t="shared" si="214"/>
        <v>51292.977257126637</v>
      </c>
      <c r="BI49" s="6">
        <f t="shared" si="215"/>
        <v>4681.2897254700802</v>
      </c>
      <c r="BJ49" s="6">
        <f t="shared" si="164"/>
        <v>104063.42229250375</v>
      </c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7">
        <f t="shared" si="167"/>
        <v>3863145</v>
      </c>
      <c r="BX49" s="7">
        <f t="shared" si="167"/>
        <v>579471.75</v>
      </c>
      <c r="BY49" s="7">
        <f t="shared" si="195"/>
        <v>307824.58695414034</v>
      </c>
      <c r="BZ49" s="7">
        <f t="shared" si="196"/>
        <v>376461.47121999902</v>
      </c>
      <c r="CA49" s="7">
        <f t="shared" si="197"/>
        <v>33439.000315821861</v>
      </c>
      <c r="CB49" s="7">
        <f t="shared" si="171"/>
        <v>717725.0584899612</v>
      </c>
    </row>
    <row r="50" spans="1:80" s="2" customFormat="1" ht="12.75" x14ac:dyDescent="0.2">
      <c r="A50" s="1">
        <f t="shared" si="29"/>
        <v>7</v>
      </c>
      <c r="B50" s="5" t="s">
        <v>33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>
        <v>570695</v>
      </c>
      <c r="P50" s="6">
        <f t="shared" si="176"/>
        <v>85604.25</v>
      </c>
      <c r="Q50" s="6">
        <f t="shared" si="177"/>
        <v>36632.178147643899</v>
      </c>
      <c r="R50" s="6"/>
      <c r="S50" s="6"/>
      <c r="T50" s="6">
        <f t="shared" si="157"/>
        <v>36632.178147643899</v>
      </c>
      <c r="U50" s="6">
        <v>1056859</v>
      </c>
      <c r="V50" s="6">
        <f t="shared" si="178"/>
        <v>158528.85</v>
      </c>
      <c r="W50" s="6">
        <f t="shared" si="179"/>
        <v>74617.098517693579</v>
      </c>
      <c r="X50" s="6">
        <v>0</v>
      </c>
      <c r="Y50" s="6">
        <v>0</v>
      </c>
      <c r="Z50" s="6">
        <f t="shared" si="158"/>
        <v>74617.098517693579</v>
      </c>
      <c r="AA50" s="6">
        <v>1056859</v>
      </c>
      <c r="AB50" s="6">
        <f t="shared" si="180"/>
        <v>158528.85</v>
      </c>
      <c r="AC50" s="6">
        <f t="shared" si="181"/>
        <v>74617.098517693579</v>
      </c>
      <c r="AD50" s="6">
        <v>0</v>
      </c>
      <c r="AE50" s="6">
        <v>0</v>
      </c>
      <c r="AF50" s="6">
        <f t="shared" si="159"/>
        <v>74617.098517693579</v>
      </c>
      <c r="AG50" s="6">
        <v>1056859</v>
      </c>
      <c r="AH50" s="6">
        <f t="shared" si="182"/>
        <v>158528.85</v>
      </c>
      <c r="AI50" s="6">
        <f t="shared" si="183"/>
        <v>74617.098517693579</v>
      </c>
      <c r="AJ50" s="6">
        <v>0</v>
      </c>
      <c r="AK50" s="6">
        <v>0</v>
      </c>
      <c r="AL50" s="6">
        <f t="shared" si="160"/>
        <v>74617.098517693579</v>
      </c>
      <c r="AM50" s="6">
        <v>0</v>
      </c>
      <c r="AN50" s="6">
        <f t="shared" si="184"/>
        <v>0</v>
      </c>
      <c r="AO50" s="6">
        <v>0</v>
      </c>
      <c r="AP50" s="6">
        <v>0</v>
      </c>
      <c r="AQ50" s="6">
        <v>0</v>
      </c>
      <c r="AR50" s="6">
        <f t="shared" si="161"/>
        <v>0</v>
      </c>
      <c r="AS50" s="6">
        <v>955100</v>
      </c>
      <c r="AT50" s="6">
        <f t="shared" si="186"/>
        <v>143265</v>
      </c>
      <c r="AU50" s="6">
        <f t="shared" si="187"/>
        <v>91108.406091420999</v>
      </c>
      <c r="AV50" s="6">
        <v>0</v>
      </c>
      <c r="AW50" s="6">
        <v>0</v>
      </c>
      <c r="AX50" s="6">
        <f t="shared" si="162"/>
        <v>91108.406091420999</v>
      </c>
      <c r="AY50" s="6">
        <v>926955</v>
      </c>
      <c r="AZ50" s="6">
        <f t="shared" si="188"/>
        <v>139043.25</v>
      </c>
      <c r="BA50" s="6">
        <f t="shared" si="189"/>
        <v>91108.404430574403</v>
      </c>
      <c r="BB50" s="6">
        <v>0</v>
      </c>
      <c r="BC50" s="6">
        <v>0</v>
      </c>
      <c r="BD50" s="6">
        <f t="shared" si="163"/>
        <v>91108.404430574403</v>
      </c>
      <c r="BE50" s="6">
        <v>1126924</v>
      </c>
      <c r="BF50" s="6">
        <f t="shared" si="190"/>
        <v>169038.6</v>
      </c>
      <c r="BG50" s="6">
        <f t="shared" si="191"/>
        <v>109444.19072966064</v>
      </c>
      <c r="BH50" s="6">
        <v>0</v>
      </c>
      <c r="BI50" s="6">
        <v>0</v>
      </c>
      <c r="BJ50" s="6">
        <f t="shared" si="164"/>
        <v>109444.19072966064</v>
      </c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7">
        <f t="shared" si="167"/>
        <v>6750251</v>
      </c>
      <c r="BX50" s="7">
        <f t="shared" si="167"/>
        <v>1012537.65</v>
      </c>
      <c r="BY50" s="7">
        <f t="shared" si="195"/>
        <v>552144.47495238064</v>
      </c>
      <c r="BZ50" s="7">
        <f t="shared" si="196"/>
        <v>0</v>
      </c>
      <c r="CA50" s="7">
        <f t="shared" si="197"/>
        <v>0</v>
      </c>
      <c r="CB50" s="7">
        <f t="shared" si="171"/>
        <v>552144.47495238064</v>
      </c>
    </row>
    <row r="51" spans="1:80" s="2" customFormat="1" ht="12.75" x14ac:dyDescent="0.2">
      <c r="A51" s="1">
        <f t="shared" si="29"/>
        <v>8</v>
      </c>
      <c r="B51" s="5" t="s">
        <v>30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>
        <v>498860</v>
      </c>
      <c r="P51" s="6">
        <f t="shared" si="176"/>
        <v>74829</v>
      </c>
      <c r="Q51" s="6">
        <f t="shared" si="177"/>
        <v>32021.181876017199</v>
      </c>
      <c r="R51" s="6">
        <f t="shared" ref="R51:R53" si="216">O51*0.08994626586</f>
        <v>44870.594186919603</v>
      </c>
      <c r="S51" s="6">
        <f t="shared" si="201"/>
        <v>4027.7779155041999</v>
      </c>
      <c r="T51" s="6">
        <f t="shared" si="157"/>
        <v>80919.553978440992</v>
      </c>
      <c r="U51" s="6">
        <v>480391</v>
      </c>
      <c r="V51" s="6">
        <f t="shared" si="178"/>
        <v>72058.649999999994</v>
      </c>
      <c r="W51" s="6">
        <f t="shared" si="179"/>
        <v>33916.901473151418</v>
      </c>
      <c r="X51" s="6">
        <f t="shared" ref="X51:X53" si="217">U51*0.09340419892</f>
        <v>44870.536523377719</v>
      </c>
      <c r="Y51" s="6">
        <f t="shared" si="203"/>
        <v>4027.7727373050402</v>
      </c>
      <c r="Z51" s="6">
        <f t="shared" si="158"/>
        <v>82815.210733834174</v>
      </c>
      <c r="AA51" s="6">
        <v>480391</v>
      </c>
      <c r="AB51" s="6">
        <f t="shared" si="180"/>
        <v>72058.649999999994</v>
      </c>
      <c r="AC51" s="6">
        <f t="shared" si="181"/>
        <v>33916.901473151418</v>
      </c>
      <c r="AD51" s="6">
        <f t="shared" ref="AD51:AD53" si="218">AA51*0.09340419892</f>
        <v>44870.536523377719</v>
      </c>
      <c r="AE51" s="6">
        <f t="shared" ref="AE51:AE53" si="219">AA51*0.00838436344</f>
        <v>4027.7727373050402</v>
      </c>
      <c r="AF51" s="6">
        <f t="shared" si="159"/>
        <v>82815.210733834174</v>
      </c>
      <c r="AG51" s="6">
        <v>480391</v>
      </c>
      <c r="AH51" s="6">
        <f t="shared" si="182"/>
        <v>72058.649999999994</v>
      </c>
      <c r="AI51" s="6">
        <f t="shared" si="183"/>
        <v>33916.901473151418</v>
      </c>
      <c r="AJ51" s="6">
        <f t="shared" ref="AJ51:AJ53" si="220">AG51*0.09340419892</f>
        <v>44870.536523377719</v>
      </c>
      <c r="AK51" s="6">
        <f t="shared" ref="AK51:AK53" si="221">AG51*0.00838436344</f>
        <v>4027.7727373050402</v>
      </c>
      <c r="AL51" s="6">
        <f t="shared" si="160"/>
        <v>82815.210733834174</v>
      </c>
      <c r="AM51" s="6">
        <v>460198</v>
      </c>
      <c r="AN51" s="6">
        <f t="shared" si="184"/>
        <v>69029.7</v>
      </c>
      <c r="AO51" s="6">
        <f>AM51*0.08515399547</f>
        <v>39187.698407303054</v>
      </c>
      <c r="AP51" s="6">
        <f>AM51*0.08796528174</f>
        <v>40481.44672618452</v>
      </c>
      <c r="AQ51" s="6">
        <f>AM51*0.00882764733</f>
        <v>4062.4656459713401</v>
      </c>
      <c r="AR51" s="6">
        <f t="shared" si="161"/>
        <v>83731.610779458919</v>
      </c>
      <c r="AS51" s="6">
        <v>434136</v>
      </c>
      <c r="AT51" s="6">
        <f t="shared" si="186"/>
        <v>65120.399999999994</v>
      </c>
      <c r="AU51" s="6">
        <f t="shared" si="187"/>
        <v>41412.877171924563</v>
      </c>
      <c r="AV51" s="6">
        <f>AS51*0.1060428198</f>
        <v>46037.005616692797</v>
      </c>
      <c r="AW51" s="6">
        <f>AS51*0.00935758924</f>
        <v>4062.46636229664</v>
      </c>
      <c r="AX51" s="6">
        <f t="shared" si="162"/>
        <v>91512.349150914</v>
      </c>
      <c r="AY51" s="6">
        <v>421343</v>
      </c>
      <c r="AZ51" s="6">
        <f t="shared" si="188"/>
        <v>63201.45</v>
      </c>
      <c r="BA51" s="6">
        <f t="shared" si="189"/>
        <v>41412.893234290241</v>
      </c>
      <c r="BB51" s="6">
        <f>AY51*0.10926259032</f>
        <v>46037.02759319976</v>
      </c>
      <c r="BC51" s="6">
        <f>AY51*0.00964171305</f>
        <v>4062.4683016261502</v>
      </c>
      <c r="BD51" s="6">
        <f t="shared" si="163"/>
        <v>91512.389129116156</v>
      </c>
      <c r="BE51" s="6">
        <v>512239</v>
      </c>
      <c r="BF51" s="6">
        <f t="shared" si="190"/>
        <v>76835.849999999991</v>
      </c>
      <c r="BG51" s="6">
        <f t="shared" si="191"/>
        <v>49747.438882454037</v>
      </c>
      <c r="BH51" s="6">
        <f>BE51*0.10358785626</f>
        <v>53061.739902766138</v>
      </c>
      <c r="BI51" s="6">
        <f>BE51*0.00945401872</f>
        <v>4842.7170951140806</v>
      </c>
      <c r="BJ51" s="6">
        <f t="shared" si="164"/>
        <v>107651.89588033425</v>
      </c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7">
        <f t="shared" si="167"/>
        <v>3767949</v>
      </c>
      <c r="BX51" s="7">
        <f t="shared" si="167"/>
        <v>565192.35</v>
      </c>
      <c r="BY51" s="7">
        <f t="shared" si="195"/>
        <v>305532.79399144335</v>
      </c>
      <c r="BZ51" s="7">
        <f t="shared" si="196"/>
        <v>365099.42359589593</v>
      </c>
      <c r="CA51" s="7">
        <f t="shared" si="197"/>
        <v>33141.213532427537</v>
      </c>
      <c r="CB51" s="7">
        <f t="shared" si="171"/>
        <v>703773.43111976702</v>
      </c>
    </row>
    <row r="52" spans="1:80" s="2" customFormat="1" ht="12.75" x14ac:dyDescent="0.2">
      <c r="A52" s="1">
        <f t="shared" si="29"/>
        <v>9</v>
      </c>
      <c r="B52" s="5" t="s">
        <v>32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>
        <v>582002</v>
      </c>
      <c r="P52" s="6">
        <f t="shared" si="176"/>
        <v>87300.3</v>
      </c>
      <c r="Q52" s="6">
        <f t="shared" si="177"/>
        <v>37357.959937068037</v>
      </c>
      <c r="R52" s="6">
        <f t="shared" si="216"/>
        <v>52348.90662305172</v>
      </c>
      <c r="S52" s="6">
        <f t="shared" si="201"/>
        <v>4699.0634694689397</v>
      </c>
      <c r="T52" s="6">
        <f t="shared" si="157"/>
        <v>94405.930029588693</v>
      </c>
      <c r="U52" s="6">
        <v>560456</v>
      </c>
      <c r="V52" s="6">
        <f t="shared" si="178"/>
        <v>84068.4</v>
      </c>
      <c r="W52" s="6">
        <f t="shared" si="179"/>
        <v>39569.706618226723</v>
      </c>
      <c r="X52" s="6">
        <f t="shared" si="217"/>
        <v>52348.943709907522</v>
      </c>
      <c r="Y52" s="6">
        <f t="shared" si="203"/>
        <v>4699.0667961286399</v>
      </c>
      <c r="Z52" s="6">
        <f t="shared" si="158"/>
        <v>96617.717124262883</v>
      </c>
      <c r="AA52" s="6">
        <v>560456</v>
      </c>
      <c r="AB52" s="6">
        <f t="shared" si="180"/>
        <v>84068.4</v>
      </c>
      <c r="AC52" s="6">
        <f t="shared" si="181"/>
        <v>39569.706618226723</v>
      </c>
      <c r="AD52" s="6">
        <f t="shared" si="218"/>
        <v>52348.943709907522</v>
      </c>
      <c r="AE52" s="6">
        <f t="shared" si="219"/>
        <v>4699.0667961286399</v>
      </c>
      <c r="AF52" s="6">
        <f t="shared" si="159"/>
        <v>96617.717124262883</v>
      </c>
      <c r="AG52" s="6">
        <v>560456</v>
      </c>
      <c r="AH52" s="6">
        <f t="shared" si="182"/>
        <v>84068.4</v>
      </c>
      <c r="AI52" s="6">
        <f t="shared" si="183"/>
        <v>39569.706618226723</v>
      </c>
      <c r="AJ52" s="6">
        <f t="shared" si="220"/>
        <v>52348.943709907522</v>
      </c>
      <c r="AK52" s="6">
        <f t="shared" si="221"/>
        <v>4699.0667961286399</v>
      </c>
      <c r="AL52" s="6">
        <f t="shared" si="160"/>
        <v>96617.717124262883</v>
      </c>
      <c r="AM52" s="6">
        <v>0</v>
      </c>
      <c r="AN52" s="6">
        <f t="shared" si="184"/>
        <v>0</v>
      </c>
      <c r="AO52" s="6">
        <v>0</v>
      </c>
      <c r="AP52" s="6">
        <v>0</v>
      </c>
      <c r="AQ52" s="6">
        <v>0</v>
      </c>
      <c r="AR52" s="6">
        <f t="shared" si="161"/>
        <v>0</v>
      </c>
      <c r="AS52" s="6"/>
      <c r="AT52" s="6">
        <f t="shared" si="186"/>
        <v>0</v>
      </c>
      <c r="AU52" s="6"/>
      <c r="AV52" s="6"/>
      <c r="AW52" s="6"/>
      <c r="AX52" s="6"/>
      <c r="AY52" s="6"/>
      <c r="AZ52" s="6">
        <f t="shared" si="188"/>
        <v>0</v>
      </c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7">
        <f t="shared" si="167"/>
        <v>2263370</v>
      </c>
      <c r="BX52" s="7">
        <f t="shared" si="167"/>
        <v>339505.5</v>
      </c>
      <c r="BY52" s="7">
        <f t="shared" si="195"/>
        <v>156067.0797917482</v>
      </c>
      <c r="BZ52" s="7">
        <f t="shared" si="196"/>
        <v>209395.73775277429</v>
      </c>
      <c r="CA52" s="7">
        <f t="shared" si="197"/>
        <v>18796.263857854858</v>
      </c>
      <c r="CB52" s="7">
        <f t="shared" si="171"/>
        <v>384259.08140237734</v>
      </c>
    </row>
    <row r="53" spans="1:80" s="2" customFormat="1" ht="12.75" x14ac:dyDescent="0.2">
      <c r="A53" s="1">
        <f t="shared" si="29"/>
        <v>10</v>
      </c>
      <c r="B53" s="5" t="s">
        <v>23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>
        <v>582002</v>
      </c>
      <c r="P53" s="6">
        <f t="shared" si="176"/>
        <v>87300.3</v>
      </c>
      <c r="Q53" s="6">
        <f t="shared" si="177"/>
        <v>37357.959937068037</v>
      </c>
      <c r="R53" s="6">
        <f t="shared" si="216"/>
        <v>52348.90662305172</v>
      </c>
      <c r="S53" s="6">
        <f t="shared" si="201"/>
        <v>4699.0634694689397</v>
      </c>
      <c r="T53" s="6">
        <f t="shared" si="157"/>
        <v>94405.930029588693</v>
      </c>
      <c r="U53" s="6">
        <v>560456</v>
      </c>
      <c r="V53" s="6">
        <f t="shared" si="178"/>
        <v>84068.4</v>
      </c>
      <c r="W53" s="6">
        <f t="shared" si="179"/>
        <v>39569.706618226723</v>
      </c>
      <c r="X53" s="6">
        <f t="shared" si="217"/>
        <v>52348.943709907522</v>
      </c>
      <c r="Y53" s="6">
        <f t="shared" si="203"/>
        <v>4699.0667961286399</v>
      </c>
      <c r="Z53" s="6">
        <f t="shared" si="158"/>
        <v>96617.717124262883</v>
      </c>
      <c r="AA53" s="6">
        <v>560456</v>
      </c>
      <c r="AB53" s="6">
        <f t="shared" si="180"/>
        <v>84068.4</v>
      </c>
      <c r="AC53" s="6">
        <f t="shared" si="181"/>
        <v>39569.706618226723</v>
      </c>
      <c r="AD53" s="6">
        <f t="shared" si="218"/>
        <v>52348.943709907522</v>
      </c>
      <c r="AE53" s="6">
        <f t="shared" si="219"/>
        <v>4699.0667961286399</v>
      </c>
      <c r="AF53" s="6">
        <f t="shared" si="159"/>
        <v>96617.717124262883</v>
      </c>
      <c r="AG53" s="6">
        <v>560456</v>
      </c>
      <c r="AH53" s="6">
        <f t="shared" si="182"/>
        <v>84068.4</v>
      </c>
      <c r="AI53" s="6">
        <f t="shared" si="183"/>
        <v>39569.706618226723</v>
      </c>
      <c r="AJ53" s="6">
        <f t="shared" si="220"/>
        <v>52348.943709907522</v>
      </c>
      <c r="AK53" s="6">
        <f t="shared" si="221"/>
        <v>4699.0667961286399</v>
      </c>
      <c r="AL53" s="6">
        <f t="shared" si="160"/>
        <v>96617.717124262883</v>
      </c>
      <c r="AM53" s="6">
        <v>536898</v>
      </c>
      <c r="AN53" s="6">
        <f t="shared" si="184"/>
        <v>80534.7</v>
      </c>
      <c r="AO53" s="6">
        <f t="shared" ref="AO53:AO55" si="222">AM53*0.08515399547</f>
        <v>45719.009859852056</v>
      </c>
      <c r="AP53" s="6">
        <f>AM53*0.08796528174</f>
        <v>47228.383835642519</v>
      </c>
      <c r="AQ53" s="6">
        <f>AM53*0.00882764733</f>
        <v>4739.5461961823403</v>
      </c>
      <c r="AR53" s="6">
        <f t="shared" si="161"/>
        <v>97686.939891676913</v>
      </c>
      <c r="AS53" s="6">
        <v>506493</v>
      </c>
      <c r="AT53" s="6">
        <f t="shared" si="186"/>
        <v>75973.95</v>
      </c>
      <c r="AU53" s="6">
        <f t="shared" ref="AU53:AU55" si="223">AS53*0.09539148371</f>
        <v>48315.118758729033</v>
      </c>
      <c r="AV53" s="6">
        <f>AS53*0.1060428198</f>
        <v>53709.945928961395</v>
      </c>
      <c r="AW53" s="6">
        <f>AS53*0.00935758924</f>
        <v>4739.5534469353197</v>
      </c>
      <c r="AX53" s="6">
        <f t="shared" ref="AX53:AX55" si="224">AU53+AV53+AW53</f>
        <v>106764.61813462575</v>
      </c>
      <c r="AY53" s="6">
        <v>491567</v>
      </c>
      <c r="AZ53" s="6">
        <f t="shared" si="188"/>
        <v>73735.05</v>
      </c>
      <c r="BA53" s="6">
        <f t="shared" ref="BA53:BA55" si="225">AY53*0.09828783968</f>
        <v>48315.05848797856</v>
      </c>
      <c r="BB53" s="6">
        <f>AY53*0.10926259032</f>
        <v>53709.883735831441</v>
      </c>
      <c r="BC53" s="6">
        <f>AY53*0.00964171305</f>
        <v>4739.5479588493499</v>
      </c>
      <c r="BD53" s="6">
        <f t="shared" ref="BD53:BD55" si="226">BA53+BB53+BC53</f>
        <v>106764.49018265936</v>
      </c>
      <c r="BE53" s="6">
        <v>597612</v>
      </c>
      <c r="BF53" s="6">
        <f t="shared" ref="BF53:BF55" si="227">BE53*0.15</f>
        <v>89641.8</v>
      </c>
      <c r="BG53" s="6">
        <f t="shared" ref="BG53:BG55" si="228">BE53*0.09711763236</f>
        <v>58038.662509924317</v>
      </c>
      <c r="BH53" s="6">
        <f>BE53*0.10358785626</f>
        <v>61905.345955251119</v>
      </c>
      <c r="BI53" s="6">
        <f>BE53*0.00945401872</f>
        <v>5649.8350352966399</v>
      </c>
      <c r="BJ53" s="6">
        <f t="shared" ref="BJ53:BJ55" si="229">BG53+BH53+BI53</f>
        <v>125593.84350047207</v>
      </c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7">
        <f t="shared" si="167"/>
        <v>4395940</v>
      </c>
      <c r="BX53" s="7">
        <f t="shared" si="167"/>
        <v>659391.00000000012</v>
      </c>
      <c r="BY53" s="7">
        <f t="shared" si="195"/>
        <v>356454.92940823216</v>
      </c>
      <c r="BZ53" s="7">
        <f t="shared" si="196"/>
        <v>425949.29720846075</v>
      </c>
      <c r="CA53" s="7">
        <f t="shared" si="197"/>
        <v>38664.746495118503</v>
      </c>
      <c r="CB53" s="7">
        <f t="shared" si="171"/>
        <v>821068.97311181133</v>
      </c>
    </row>
    <row r="54" spans="1:80" s="2" customFormat="1" ht="12.75" x14ac:dyDescent="0.2">
      <c r="A54" s="1">
        <f t="shared" si="29"/>
        <v>11</v>
      </c>
      <c r="B54" s="5" t="s">
        <v>34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>
        <v>920397</v>
      </c>
      <c r="AN54" s="6">
        <f t="shared" si="184"/>
        <v>138059.54999999999</v>
      </c>
      <c r="AO54" s="6">
        <f t="shared" si="222"/>
        <v>78375.481968601584</v>
      </c>
      <c r="AP54" s="6">
        <v>0</v>
      </c>
      <c r="AQ54" s="6">
        <v>0</v>
      </c>
      <c r="AR54" s="6">
        <f t="shared" si="161"/>
        <v>78375.481968601584</v>
      </c>
      <c r="AS54" s="6">
        <v>868273</v>
      </c>
      <c r="AT54" s="6">
        <f t="shared" si="186"/>
        <v>130240.95</v>
      </c>
      <c r="AU54" s="6">
        <f t="shared" si="223"/>
        <v>82825.849735332828</v>
      </c>
      <c r="AV54" s="6"/>
      <c r="AW54" s="6"/>
      <c r="AX54" s="6">
        <f t="shared" si="224"/>
        <v>82825.849735332828</v>
      </c>
      <c r="AY54" s="6">
        <v>842686</v>
      </c>
      <c r="AZ54" s="6">
        <f t="shared" si="188"/>
        <v>126402.9</v>
      </c>
      <c r="BA54" s="6">
        <f t="shared" si="225"/>
        <v>82825.786468580482</v>
      </c>
      <c r="BB54" s="6">
        <v>0</v>
      </c>
      <c r="BC54" s="6">
        <v>0</v>
      </c>
      <c r="BD54" s="6">
        <f t="shared" si="226"/>
        <v>82825.786468580482</v>
      </c>
      <c r="BE54" s="6">
        <v>1024478</v>
      </c>
      <c r="BF54" s="6">
        <f t="shared" si="227"/>
        <v>153671.69999999998</v>
      </c>
      <c r="BG54" s="6">
        <f t="shared" si="228"/>
        <v>99494.877764908073</v>
      </c>
      <c r="BH54" s="6">
        <v>0</v>
      </c>
      <c r="BI54" s="6">
        <v>0</v>
      </c>
      <c r="BJ54" s="6">
        <f t="shared" si="229"/>
        <v>99494.877764908073</v>
      </c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7">
        <f t="shared" si="167"/>
        <v>3655834</v>
      </c>
      <c r="BX54" s="7">
        <f t="shared" si="167"/>
        <v>548375.1</v>
      </c>
      <c r="BY54" s="7">
        <f t="shared" si="195"/>
        <v>343521.99593742297</v>
      </c>
      <c r="BZ54" s="7">
        <f t="shared" si="196"/>
        <v>0</v>
      </c>
      <c r="CA54" s="7">
        <f t="shared" si="197"/>
        <v>0</v>
      </c>
      <c r="CB54" s="7">
        <f t="shared" si="171"/>
        <v>343521.99593742297</v>
      </c>
    </row>
    <row r="55" spans="1:80" s="2" customFormat="1" ht="12.75" x14ac:dyDescent="0.2">
      <c r="A55" s="1">
        <f t="shared" si="29"/>
        <v>12</v>
      </c>
      <c r="B55" s="5" t="s">
        <v>39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>
        <v>920397</v>
      </c>
      <c r="AN55" s="6">
        <f t="shared" si="184"/>
        <v>138059.54999999999</v>
      </c>
      <c r="AO55" s="6">
        <f t="shared" si="222"/>
        <v>78375.481968601584</v>
      </c>
      <c r="AP55" s="6">
        <v>0</v>
      </c>
      <c r="AQ55" s="6">
        <v>0</v>
      </c>
      <c r="AR55" s="6">
        <f t="shared" si="161"/>
        <v>78375.481968601584</v>
      </c>
      <c r="AS55" s="6">
        <v>868273</v>
      </c>
      <c r="AT55" s="6">
        <f t="shared" si="186"/>
        <v>130240.95</v>
      </c>
      <c r="AU55" s="6">
        <f t="shared" si="223"/>
        <v>82825.849735332828</v>
      </c>
      <c r="AV55" s="6">
        <v>0</v>
      </c>
      <c r="AW55" s="6">
        <v>0</v>
      </c>
      <c r="AX55" s="6">
        <f t="shared" si="224"/>
        <v>82825.849735332828</v>
      </c>
      <c r="AY55" s="6">
        <v>842686</v>
      </c>
      <c r="AZ55" s="6">
        <f t="shared" si="188"/>
        <v>126402.9</v>
      </c>
      <c r="BA55" s="6">
        <f t="shared" si="225"/>
        <v>82825.786468580482</v>
      </c>
      <c r="BB55" s="6">
        <v>0</v>
      </c>
      <c r="BC55" s="6">
        <v>0</v>
      </c>
      <c r="BD55" s="6">
        <f t="shared" si="226"/>
        <v>82825.786468580482</v>
      </c>
      <c r="BE55" s="6">
        <v>1024478</v>
      </c>
      <c r="BF55" s="6">
        <f t="shared" si="227"/>
        <v>153671.69999999998</v>
      </c>
      <c r="BG55" s="6">
        <f t="shared" si="228"/>
        <v>99494.877764908073</v>
      </c>
      <c r="BH55" s="6">
        <v>0</v>
      </c>
      <c r="BI55" s="6">
        <v>0</v>
      </c>
      <c r="BJ55" s="6">
        <f t="shared" si="229"/>
        <v>99494.877764908073</v>
      </c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7">
        <f t="shared" si="167"/>
        <v>3655834</v>
      </c>
      <c r="BX55" s="7">
        <f t="shared" si="167"/>
        <v>548375.1</v>
      </c>
      <c r="BY55" s="7">
        <f t="shared" si="195"/>
        <v>343521.99593742297</v>
      </c>
      <c r="BZ55" s="7">
        <f t="shared" si="196"/>
        <v>0</v>
      </c>
      <c r="CA55" s="7">
        <f t="shared" si="197"/>
        <v>0</v>
      </c>
      <c r="CB55" s="7">
        <f t="shared" si="171"/>
        <v>343521.99593742297</v>
      </c>
    </row>
    <row r="56" spans="1:80" s="2" customFormat="1" ht="12.75" x14ac:dyDescent="0.2">
      <c r="A56" s="8"/>
      <c r="B56" s="9" t="s">
        <v>12</v>
      </c>
      <c r="C56" s="4">
        <f t="shared" ref="C56:CB56" si="230">SUM(C44:C55)</f>
        <v>1821600</v>
      </c>
      <c r="D56" s="4">
        <f t="shared" si="230"/>
        <v>273240</v>
      </c>
      <c r="E56" s="4">
        <f t="shared" ref="E56" si="231">SUM(E44:E55)</f>
        <v>115815.99999895201</v>
      </c>
      <c r="F56" s="4">
        <f t="shared" ref="F56" si="232">SUM(F44:F55)</f>
        <v>136619.99999890703</v>
      </c>
      <c r="G56" s="4">
        <f t="shared" ref="G56" si="233">SUM(G44:G55)</f>
        <v>8219.9999936038603</v>
      </c>
      <c r="H56" s="4">
        <f t="shared" si="230"/>
        <v>260655.99999146292</v>
      </c>
      <c r="I56" s="4">
        <f t="shared" si="230"/>
        <v>2569600</v>
      </c>
      <c r="J56" s="4">
        <f t="shared" si="230"/>
        <v>385440</v>
      </c>
      <c r="K56" s="4">
        <f t="shared" ref="K56" si="234">SUM(K44:K55)</f>
        <v>145197.99999020802</v>
      </c>
      <c r="L56" s="4">
        <f t="shared" ref="L56" si="235">SUM(L44:L55)</f>
        <v>192719.99999744334</v>
      </c>
      <c r="M56" s="4">
        <f t="shared" ref="M56" si="236">SUM(M44:M55)</f>
        <v>11485.99999189765</v>
      </c>
      <c r="N56" s="4">
        <f t="shared" si="230"/>
        <v>349403.99997954903</v>
      </c>
      <c r="O56" s="4">
        <f t="shared" si="230"/>
        <v>5858600</v>
      </c>
      <c r="P56" s="4">
        <f t="shared" si="230"/>
        <v>878790</v>
      </c>
      <c r="Q56" s="4">
        <f t="shared" ref="Q56" si="237">SUM(Q44:Q55)</f>
        <v>376055.99995757197</v>
      </c>
      <c r="R56" s="4">
        <f t="shared" ref="R56" si="238">SUM(R44:R55)</f>
        <v>415799.99996697367</v>
      </c>
      <c r="S56" s="4">
        <f t="shared" ref="S56" si="239">SUM(S44:S55)</f>
        <v>37323.999993337202</v>
      </c>
      <c r="T56" s="4">
        <f t="shared" si="230"/>
        <v>829179.99991788296</v>
      </c>
      <c r="U56" s="4">
        <f t="shared" si="230"/>
        <v>6149000</v>
      </c>
      <c r="V56" s="4">
        <f t="shared" si="230"/>
        <v>922350.00000000012</v>
      </c>
      <c r="W56" s="4">
        <f t="shared" ref="W56" si="240">SUM(W44:W55)</f>
        <v>434135.99996337993</v>
      </c>
      <c r="X56" s="4">
        <f t="shared" ref="X56" si="241">SUM(X44:X55)</f>
        <v>415799.99999625038</v>
      </c>
      <c r="Y56" s="4">
        <f t="shared" ref="Y56" si="242">SUM(Y44:Y55)</f>
        <v>37323.9999767728</v>
      </c>
      <c r="Z56" s="4">
        <f t="shared" si="230"/>
        <v>887259.99993640324</v>
      </c>
      <c r="AA56" s="4">
        <f t="shared" si="230"/>
        <v>6149000</v>
      </c>
      <c r="AB56" s="4">
        <f t="shared" si="230"/>
        <v>922350.00000000012</v>
      </c>
      <c r="AC56" s="4">
        <f t="shared" ref="AC56" si="243">SUM(AC44:AC55)</f>
        <v>434135.99996337993</v>
      </c>
      <c r="AD56" s="4">
        <f t="shared" ref="AD56" si="244">SUM(AD44:AD55)</f>
        <v>415799.99999625038</v>
      </c>
      <c r="AE56" s="4">
        <f t="shared" ref="AE56" si="245">SUM(AE44:AE55)</f>
        <v>37323.9999767728</v>
      </c>
      <c r="AF56" s="4">
        <f t="shared" si="230"/>
        <v>887259.99993640324</v>
      </c>
      <c r="AG56" s="4">
        <f t="shared" si="230"/>
        <v>6149000</v>
      </c>
      <c r="AH56" s="4">
        <f t="shared" si="230"/>
        <v>922350.00000000012</v>
      </c>
      <c r="AI56" s="4">
        <f t="shared" ref="AI56" si="246">SUM(AI44:AI55)</f>
        <v>434135.99996337993</v>
      </c>
      <c r="AJ56" s="4">
        <f t="shared" ref="AJ56" si="247">SUM(AJ44:AJ55)</f>
        <v>415799.99999625038</v>
      </c>
      <c r="AK56" s="4">
        <f t="shared" ref="AK56" si="248">SUM(AK44:AK55)</f>
        <v>37323.9999767728</v>
      </c>
      <c r="AL56" s="4">
        <f t="shared" si="230"/>
        <v>887259.99993640324</v>
      </c>
      <c r="AM56" s="4">
        <f t="shared" si="230"/>
        <v>6182000</v>
      </c>
      <c r="AN56" s="4">
        <f t="shared" si="230"/>
        <v>927300</v>
      </c>
      <c r="AO56" s="4">
        <f t="shared" ref="AO56" si="249">SUM(AO44:AO55)</f>
        <v>526421.9999955399</v>
      </c>
      <c r="AP56" s="4">
        <f t="shared" ref="AP56" si="250">SUM(AP44:AP55)</f>
        <v>327899.99997099623</v>
      </c>
      <c r="AQ56" s="4">
        <f t="shared" ref="AQ56" si="251">SUM(AQ44:AQ55)</f>
        <v>32905.999980839311</v>
      </c>
      <c r="AR56" s="4">
        <f t="shared" si="230"/>
        <v>887227.99994737527</v>
      </c>
      <c r="AS56" s="4">
        <f t="shared" si="230"/>
        <v>6787000</v>
      </c>
      <c r="AT56" s="4">
        <f t="shared" si="230"/>
        <v>1018049.9999999999</v>
      </c>
      <c r="AU56" s="4">
        <f t="shared" ref="AU56" si="252">SUM(AU44:AU55)</f>
        <v>647421.99993976997</v>
      </c>
      <c r="AV56" s="4">
        <f t="shared" ref="AV56" si="253">SUM(AV44:AV55)</f>
        <v>372899.99999797915</v>
      </c>
      <c r="AW56" s="4">
        <f t="shared" ref="AW56" si="254">SUM(AW44:AW55)</f>
        <v>32905.999992816964</v>
      </c>
      <c r="AX56" s="4">
        <f t="shared" si="230"/>
        <v>1053227.9999305662</v>
      </c>
      <c r="AY56" s="4">
        <f t="shared" si="230"/>
        <v>6587000</v>
      </c>
      <c r="AZ56" s="4">
        <f t="shared" si="230"/>
        <v>988050</v>
      </c>
      <c r="BA56" s="4">
        <f t="shared" ref="BA56" si="255">SUM(BA44:BA55)</f>
        <v>647421.99997215997</v>
      </c>
      <c r="BB56" s="4">
        <f t="shared" ref="BB56" si="256">SUM(BB44:BB55)</f>
        <v>372899.99998873123</v>
      </c>
      <c r="BC56" s="4">
        <f t="shared" ref="BC56" si="257">SUM(BC44:BC55)</f>
        <v>32905.999992370955</v>
      </c>
      <c r="BD56" s="4">
        <f t="shared" si="230"/>
        <v>1053227.9999532625</v>
      </c>
      <c r="BE56" s="4">
        <f t="shared" si="230"/>
        <v>8008000</v>
      </c>
      <c r="BF56" s="4">
        <f t="shared" si="230"/>
        <v>1201199.9999999998</v>
      </c>
      <c r="BG56" s="4">
        <f t="shared" ref="BG56" si="258">SUM(BG44:BG55)</f>
        <v>777717.99993887986</v>
      </c>
      <c r="BH56" s="4">
        <f t="shared" ref="BH56" si="259">SUM(BH44:BH55)</f>
        <v>429799.99998333509</v>
      </c>
      <c r="BI56" s="4">
        <f t="shared" ref="BI56" si="260">SUM(BI44:BI55)</f>
        <v>39225.999961807196</v>
      </c>
      <c r="BJ56" s="4">
        <f t="shared" si="230"/>
        <v>1246743.9998840222</v>
      </c>
      <c r="BK56" s="4">
        <f t="shared" si="230"/>
        <v>2430000</v>
      </c>
      <c r="BL56" s="4">
        <f t="shared" si="230"/>
        <v>364500</v>
      </c>
      <c r="BM56" s="4">
        <f t="shared" ref="BM56" si="261">SUM(BM44:BM55)</f>
        <v>185367.99999509999</v>
      </c>
      <c r="BN56" s="4">
        <f t="shared" ref="BN56" si="262">SUM(BN44:BN55)</f>
        <v>182250</v>
      </c>
      <c r="BO56" s="4">
        <f t="shared" ref="BO56" si="263">SUM(BO44:BO55)</f>
        <v>12836</v>
      </c>
      <c r="BP56" s="4">
        <f t="shared" si="230"/>
        <v>380453.99999509996</v>
      </c>
      <c r="BQ56" s="4">
        <f t="shared" si="230"/>
        <v>2430000</v>
      </c>
      <c r="BR56" s="4">
        <f t="shared" si="230"/>
        <v>364500</v>
      </c>
      <c r="BS56" s="4">
        <f t="shared" ref="BS56" si="264">SUM(BS44:BS55)</f>
        <v>185368</v>
      </c>
      <c r="BT56" s="4">
        <f t="shared" ref="BT56" si="265">SUM(BT44:BT55)</f>
        <v>182250</v>
      </c>
      <c r="BU56" s="4">
        <f t="shared" ref="BU56" si="266">SUM(BU44:BU55)</f>
        <v>12836</v>
      </c>
      <c r="BV56" s="4">
        <f t="shared" si="230"/>
        <v>380454</v>
      </c>
      <c r="BW56" s="4">
        <f t="shared" si="230"/>
        <v>61120800</v>
      </c>
      <c r="BX56" s="4">
        <f t="shared" ref="BX56:BY56" si="267">SUM(BX44:BX55)</f>
        <v>9168120</v>
      </c>
      <c r="BY56" s="4">
        <f t="shared" si="267"/>
        <v>4909197.9996783212</v>
      </c>
      <c r="BZ56" s="4">
        <f t="shared" ref="BZ56" si="268">SUM(BZ44:BZ55)</f>
        <v>3860539.9998931168</v>
      </c>
      <c r="CA56" s="4">
        <f t="shared" ref="CA56" si="269">SUM(CA44:CA55)</f>
        <v>332617.99983699154</v>
      </c>
      <c r="CB56" s="4">
        <f t="shared" si="230"/>
        <v>9102355.9994084332</v>
      </c>
    </row>
    <row r="57" spans="1:80" s="2" customFormat="1" ht="12.75" x14ac:dyDescent="0.2">
      <c r="A57" s="30"/>
      <c r="B57" s="27" t="s">
        <v>59</v>
      </c>
      <c r="C57" s="31"/>
      <c r="D57" s="31">
        <v>574500</v>
      </c>
      <c r="E57" s="31">
        <v>325550</v>
      </c>
      <c r="F57" s="31">
        <v>268100</v>
      </c>
      <c r="G57" s="31">
        <v>0</v>
      </c>
      <c r="H57" s="31">
        <f>+E57+F57+G57</f>
        <v>593650</v>
      </c>
      <c r="I57" s="31">
        <v>0</v>
      </c>
      <c r="J57" s="31">
        <v>270000</v>
      </c>
      <c r="K57" s="31">
        <v>0</v>
      </c>
      <c r="L57" s="31">
        <v>140000</v>
      </c>
      <c r="M57" s="31">
        <v>55149.5</v>
      </c>
      <c r="N57" s="31">
        <f>+K57+L57+M57</f>
        <v>195149.5</v>
      </c>
      <c r="O57" s="31">
        <v>26833361.760000002</v>
      </c>
      <c r="P57" s="31">
        <v>1307850</v>
      </c>
      <c r="Q57" s="31">
        <v>719160</v>
      </c>
      <c r="R57" s="31">
        <v>653925</v>
      </c>
      <c r="S57" s="31">
        <v>0</v>
      </c>
      <c r="T57" s="31">
        <f>+Q57+R57+S57</f>
        <v>1373085</v>
      </c>
      <c r="U57" s="31">
        <v>6000000</v>
      </c>
      <c r="V57" s="31">
        <v>0</v>
      </c>
      <c r="W57" s="31">
        <v>0</v>
      </c>
      <c r="X57" s="31">
        <v>0</v>
      </c>
      <c r="Y57" s="31">
        <v>0</v>
      </c>
      <c r="Z57" s="31">
        <f>+W57+X57+Y57</f>
        <v>0</v>
      </c>
      <c r="AA57" s="31">
        <v>0</v>
      </c>
      <c r="AB57" s="31">
        <v>922000</v>
      </c>
      <c r="AC57" s="31">
        <v>461000</v>
      </c>
      <c r="AD57" s="31">
        <v>461000</v>
      </c>
      <c r="AE57" s="31">
        <v>0</v>
      </c>
      <c r="AF57" s="31">
        <f>+AC57+AD57+AE57</f>
        <v>922000</v>
      </c>
      <c r="AG57" s="31">
        <v>0</v>
      </c>
      <c r="AH57" s="31">
        <v>923000</v>
      </c>
      <c r="AI57" s="31">
        <v>462000</v>
      </c>
      <c r="AJ57" s="31">
        <v>462000</v>
      </c>
      <c r="AK57" s="31">
        <v>0</v>
      </c>
      <c r="AL57" s="31">
        <f>+AI57+AJ57+AK57</f>
        <v>924000</v>
      </c>
      <c r="AM57" s="31">
        <v>22264067</v>
      </c>
      <c r="AN57" s="31">
        <v>922350</v>
      </c>
      <c r="AO57" s="31">
        <v>461175</v>
      </c>
      <c r="AP57" s="31">
        <v>461175</v>
      </c>
      <c r="AQ57" s="31">
        <v>0</v>
      </c>
      <c r="AR57" s="31">
        <f>+AO57+AP57+AQ57</f>
        <v>922350</v>
      </c>
      <c r="AS57" s="31">
        <v>0</v>
      </c>
      <c r="AT57" s="31">
        <v>927300</v>
      </c>
      <c r="AU57" s="31">
        <v>463650</v>
      </c>
      <c r="AV57" s="31">
        <v>463650</v>
      </c>
      <c r="AW57" s="31">
        <v>0</v>
      </c>
      <c r="AX57" s="31">
        <f>+AU57+AV57+AW57</f>
        <v>927300</v>
      </c>
      <c r="AY57" s="31">
        <v>13550392</v>
      </c>
      <c r="AZ57" s="31">
        <v>1020000</v>
      </c>
      <c r="BA57" s="31">
        <v>510000</v>
      </c>
      <c r="BB57" s="31">
        <v>510000</v>
      </c>
      <c r="BC57" s="31">
        <v>0</v>
      </c>
      <c r="BD57" s="31">
        <f>+BA57+BB57+BC57</f>
        <v>1020000</v>
      </c>
      <c r="BE57" s="31">
        <v>4325708</v>
      </c>
      <c r="BF57" s="31">
        <v>1018050</v>
      </c>
      <c r="BG57" s="31">
        <v>509025</v>
      </c>
      <c r="BH57" s="31">
        <v>509025</v>
      </c>
      <c r="BI57" s="31">
        <v>397518.13</v>
      </c>
      <c r="BJ57" s="31">
        <f>+BG57+BH57+BI57</f>
        <v>1415568.13</v>
      </c>
      <c r="BK57" s="31">
        <v>1000000</v>
      </c>
      <c r="BL57" s="31">
        <v>8491.76</v>
      </c>
      <c r="BM57" s="31">
        <v>0</v>
      </c>
      <c r="BN57" s="31">
        <v>0</v>
      </c>
      <c r="BO57" s="31">
        <v>0</v>
      </c>
      <c r="BP57" s="31">
        <f>+BM57+BN57+BO57</f>
        <v>0</v>
      </c>
      <c r="BQ57" s="31">
        <v>0</v>
      </c>
      <c r="BR57" s="31">
        <v>1162708.24</v>
      </c>
      <c r="BS57" s="31">
        <v>585600</v>
      </c>
      <c r="BT57" s="31">
        <v>585600</v>
      </c>
      <c r="BU57" s="31">
        <v>0</v>
      </c>
      <c r="BV57" s="31">
        <f>+BS57+BT57+BU57</f>
        <v>1171200</v>
      </c>
      <c r="BW57" s="28">
        <f>C57+I57+O57+U57+AA57+AG57+AM57+AS57+AY57+BE57+BK57+BQ57</f>
        <v>73973528.760000005</v>
      </c>
      <c r="BX57" s="28">
        <f>D57+J57+P57+V57+AB57+AH57+AN57+AT57+AZ57+BF57+BL57+BR57</f>
        <v>9056250</v>
      </c>
      <c r="BY57" s="28">
        <f>E57+K57+Q57+W57+AC57+AI57+AO57+AU57+BA57+BG57+BM57+BS57</f>
        <v>4497160</v>
      </c>
      <c r="BZ57" s="28">
        <f>F57+L57+R57+X57+AD57+AJ57+AP57+AV57+BB57+BH57+BN57+BT57</f>
        <v>4514475</v>
      </c>
      <c r="CA57" s="28">
        <f>G57+M57+S57+Y57+AE57+AK57+AQ57+AW57+BC57+BI57+BO57+BU57</f>
        <v>452667.63</v>
      </c>
      <c r="CB57" s="28">
        <f>BY57+BZ57+CA57</f>
        <v>9464302.6300000008</v>
      </c>
    </row>
    <row r="58" spans="1:80" s="2" customFormat="1" ht="12.75" x14ac:dyDescent="0.2">
      <c r="A58" s="21"/>
      <c r="B58" s="22" t="s">
        <v>60</v>
      </c>
      <c r="C58" s="23">
        <f t="shared" ref="C58:H58" si="270">+BQ42+C56-C57</f>
        <v>43503602.129999995</v>
      </c>
      <c r="D58" s="23">
        <f t="shared" si="270"/>
        <v>-2676004.1124999998</v>
      </c>
      <c r="E58" s="23">
        <f t="shared" si="270"/>
        <v>-496263.52012376575</v>
      </c>
      <c r="F58" s="23">
        <f t="shared" si="270"/>
        <v>-643905.30624728044</v>
      </c>
      <c r="G58" s="23">
        <f t="shared" si="270"/>
        <v>-77816.950150029996</v>
      </c>
      <c r="H58" s="23">
        <f t="shared" si="270"/>
        <v>-892787.47654345946</v>
      </c>
      <c r="I58" s="23">
        <f t="shared" ref="I58:AN58" si="271">+C58+I56-I57</f>
        <v>46073202.129999995</v>
      </c>
      <c r="J58" s="23">
        <f t="shared" si="271"/>
        <v>-2560564.1124999998</v>
      </c>
      <c r="K58" s="23">
        <f t="shared" si="271"/>
        <v>-351065.52013355773</v>
      </c>
      <c r="L58" s="23">
        <f t="shared" si="271"/>
        <v>-591185.30624983716</v>
      </c>
      <c r="M58" s="23">
        <f t="shared" si="271"/>
        <v>-121480.45015813234</v>
      </c>
      <c r="N58" s="23">
        <f t="shared" si="271"/>
        <v>-738532.97656391049</v>
      </c>
      <c r="O58" s="23">
        <f t="shared" si="271"/>
        <v>25098440.369999994</v>
      </c>
      <c r="P58" s="23">
        <f t="shared" si="271"/>
        <v>-2989624.1124999998</v>
      </c>
      <c r="Q58" s="23">
        <f t="shared" si="271"/>
        <v>-694169.52017598576</v>
      </c>
      <c r="R58" s="23">
        <f t="shared" si="271"/>
        <v>-829310.30628286349</v>
      </c>
      <c r="S58" s="23">
        <f t="shared" si="271"/>
        <v>-84156.45016479514</v>
      </c>
      <c r="T58" s="23">
        <f t="shared" si="271"/>
        <v>-1282437.9766460275</v>
      </c>
      <c r="U58" s="23">
        <f t="shared" si="271"/>
        <v>25247440.369999994</v>
      </c>
      <c r="V58" s="23">
        <f t="shared" si="271"/>
        <v>-2067274.1124999998</v>
      </c>
      <c r="W58" s="23">
        <f t="shared" si="271"/>
        <v>-260033.52021260583</v>
      </c>
      <c r="X58" s="23">
        <f t="shared" si="271"/>
        <v>-413510.30628661311</v>
      </c>
      <c r="Y58" s="23">
        <f t="shared" si="271"/>
        <v>-46832.45018802234</v>
      </c>
      <c r="Z58" s="23">
        <f t="shared" si="271"/>
        <v>-395177.97670962429</v>
      </c>
      <c r="AA58" s="23">
        <f t="shared" si="271"/>
        <v>31396440.369999994</v>
      </c>
      <c r="AB58" s="23">
        <f t="shared" si="271"/>
        <v>-2066924.1124999998</v>
      </c>
      <c r="AC58" s="23">
        <f t="shared" si="271"/>
        <v>-286897.5202492259</v>
      </c>
      <c r="AD58" s="23">
        <f t="shared" si="271"/>
        <v>-458710.30629036273</v>
      </c>
      <c r="AE58" s="23">
        <f t="shared" si="271"/>
        <v>-9508.4502112495393</v>
      </c>
      <c r="AF58" s="23">
        <f t="shared" si="271"/>
        <v>-429917.97677322105</v>
      </c>
      <c r="AG58" s="23">
        <f t="shared" si="271"/>
        <v>37545440.36999999</v>
      </c>
      <c r="AH58" s="23">
        <f t="shared" si="271"/>
        <v>-2067574.1124999998</v>
      </c>
      <c r="AI58" s="23">
        <f t="shared" si="271"/>
        <v>-314761.52028584597</v>
      </c>
      <c r="AJ58" s="23">
        <f t="shared" si="271"/>
        <v>-504910.30629411235</v>
      </c>
      <c r="AK58" s="23">
        <f t="shared" si="271"/>
        <v>27815.549765523261</v>
      </c>
      <c r="AL58" s="23">
        <f t="shared" si="271"/>
        <v>-466657.9768368178</v>
      </c>
      <c r="AM58" s="23">
        <f t="shared" si="271"/>
        <v>21463373.36999999</v>
      </c>
      <c r="AN58" s="23">
        <f t="shared" si="271"/>
        <v>-2062624.1124999998</v>
      </c>
      <c r="AO58" s="23">
        <f t="shared" ref="AO58:BT58" si="272">+AI58+AO56-AO57</f>
        <v>-249514.52029030607</v>
      </c>
      <c r="AP58" s="23">
        <f t="shared" si="272"/>
        <v>-638185.30632311618</v>
      </c>
      <c r="AQ58" s="23">
        <f t="shared" si="272"/>
        <v>60721.549746362572</v>
      </c>
      <c r="AR58" s="23">
        <f t="shared" si="272"/>
        <v>-501779.97688944254</v>
      </c>
      <c r="AS58" s="23">
        <f t="shared" si="272"/>
        <v>28250373.36999999</v>
      </c>
      <c r="AT58" s="23">
        <f t="shared" si="272"/>
        <v>-1971874.1124999998</v>
      </c>
      <c r="AU58" s="23">
        <f t="shared" si="272"/>
        <v>-65742.520350536099</v>
      </c>
      <c r="AV58" s="23">
        <f t="shared" si="272"/>
        <v>-728935.30632513703</v>
      </c>
      <c r="AW58" s="23">
        <f t="shared" si="272"/>
        <v>93627.549739179536</v>
      </c>
      <c r="AX58" s="23">
        <f t="shared" si="272"/>
        <v>-375851.97695887636</v>
      </c>
      <c r="AY58" s="23">
        <f t="shared" si="272"/>
        <v>21286981.36999999</v>
      </c>
      <c r="AZ58" s="23">
        <f t="shared" si="272"/>
        <v>-2003824.1124999998</v>
      </c>
      <c r="BA58" s="23">
        <f t="shared" si="272"/>
        <v>71679.479621623876</v>
      </c>
      <c r="BB58" s="23">
        <f t="shared" si="272"/>
        <v>-866035.3063364058</v>
      </c>
      <c r="BC58" s="23">
        <f t="shared" si="272"/>
        <v>126533.54973155049</v>
      </c>
      <c r="BD58" s="23">
        <f t="shared" si="272"/>
        <v>-342623.97700561385</v>
      </c>
      <c r="BE58" s="23">
        <f t="shared" si="272"/>
        <v>24969273.36999999</v>
      </c>
      <c r="BF58" s="23">
        <f t="shared" si="272"/>
        <v>-1820674.1125</v>
      </c>
      <c r="BG58" s="23">
        <f t="shared" si="272"/>
        <v>340372.47956050374</v>
      </c>
      <c r="BH58" s="23">
        <f t="shared" si="272"/>
        <v>-945260.30635307077</v>
      </c>
      <c r="BI58" s="23">
        <f t="shared" si="272"/>
        <v>-231758.58030664231</v>
      </c>
      <c r="BJ58" s="23">
        <f t="shared" si="272"/>
        <v>-511448.10712159157</v>
      </c>
      <c r="BK58" s="23">
        <f t="shared" si="272"/>
        <v>26399273.36999999</v>
      </c>
      <c r="BL58" s="23">
        <f t="shared" si="272"/>
        <v>-1464665.8725000001</v>
      </c>
      <c r="BM58" s="23">
        <f t="shared" si="272"/>
        <v>525740.4795556037</v>
      </c>
      <c r="BN58" s="23">
        <f t="shared" si="272"/>
        <v>-763010.30635307077</v>
      </c>
      <c r="BO58" s="23">
        <f t="shared" si="272"/>
        <v>-218922.58030664231</v>
      </c>
      <c r="BP58" s="23">
        <f t="shared" si="272"/>
        <v>-130994.10712649161</v>
      </c>
      <c r="BQ58" s="23">
        <f t="shared" si="272"/>
        <v>28829273.36999999</v>
      </c>
      <c r="BR58" s="23">
        <f t="shared" si="272"/>
        <v>-2262874.1124999998</v>
      </c>
      <c r="BS58" s="23">
        <f t="shared" si="272"/>
        <v>125508.4795556037</v>
      </c>
      <c r="BT58" s="23">
        <f t="shared" si="272"/>
        <v>-1166360.3063530708</v>
      </c>
      <c r="BU58" s="23">
        <f t="shared" ref="BU58:BV58" si="273">+BO58+BU56-BU57</f>
        <v>-206086.58030664231</v>
      </c>
      <c r="BV58" s="23">
        <f t="shared" si="273"/>
        <v>-921740.10712649161</v>
      </c>
      <c r="BW58" s="23">
        <f>BW42+BW56-BW57</f>
        <v>28829273.36999999</v>
      </c>
      <c r="BX58" s="24">
        <f>BX42+BX56-BX57</f>
        <v>-2262874.1125000007</v>
      </c>
      <c r="BY58" s="24">
        <f>BY42+BY56-BY57</f>
        <v>575820.4795092456</v>
      </c>
      <c r="BZ58" s="24">
        <f t="shared" ref="BZ58:CB58" si="274">BZ42+BZ56-BZ57</f>
        <v>-1166360.3063530712</v>
      </c>
      <c r="CA58" s="24">
        <f t="shared" si="274"/>
        <v>-206086.58030664234</v>
      </c>
      <c r="CB58" s="24">
        <f t="shared" si="274"/>
        <v>-921740.10712648928</v>
      </c>
    </row>
    <row r="59" spans="1:80" s="2" customFormat="1" ht="12.75" x14ac:dyDescent="0.2">
      <c r="A59" s="15"/>
      <c r="B59" s="14" t="s">
        <v>40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</row>
    <row r="60" spans="1:80" s="2" customFormat="1" ht="12.75" x14ac:dyDescent="0.2">
      <c r="A60" s="1">
        <v>1</v>
      </c>
      <c r="B60" s="5" t="s">
        <v>15</v>
      </c>
      <c r="C60" s="6">
        <v>886000</v>
      </c>
      <c r="D60" s="6">
        <f>C60*0.15</f>
        <v>132900</v>
      </c>
      <c r="E60" s="6">
        <v>68244</v>
      </c>
      <c r="F60" s="6">
        <f>C60*0.08</f>
        <v>70880</v>
      </c>
      <c r="G60" s="6">
        <v>0</v>
      </c>
      <c r="H60" s="6">
        <f t="shared" ref="H60:H62" si="275">+E60+F60+G60</f>
        <v>139124</v>
      </c>
      <c r="I60" s="6">
        <v>886000</v>
      </c>
      <c r="J60" s="6">
        <f>I60*0.15</f>
        <v>132900</v>
      </c>
      <c r="K60" s="6">
        <v>68244</v>
      </c>
      <c r="L60" s="6">
        <f>I60*0.08</f>
        <v>70880</v>
      </c>
      <c r="M60" s="6">
        <v>0</v>
      </c>
      <c r="N60" s="6">
        <f t="shared" ref="N60:N62" si="276">K60+L60+M60</f>
        <v>139124</v>
      </c>
      <c r="O60" s="6">
        <v>886000</v>
      </c>
      <c r="P60" s="6">
        <f>O60*0.15</f>
        <v>132900</v>
      </c>
      <c r="Q60" s="6">
        <v>68244</v>
      </c>
      <c r="R60" s="6">
        <f>+O60*0.08</f>
        <v>70880</v>
      </c>
      <c r="S60" s="6">
        <v>0</v>
      </c>
      <c r="T60" s="6">
        <f t="shared" ref="T60:T62" si="277">Q60+R60+S60</f>
        <v>139124</v>
      </c>
      <c r="U60" s="6">
        <v>886000</v>
      </c>
      <c r="V60" s="6">
        <f>U60*0.15</f>
        <v>132900</v>
      </c>
      <c r="W60" s="6">
        <f>U60*0.05633767335</f>
        <v>49915.178588099996</v>
      </c>
      <c r="X60" s="6">
        <f>U60*0.08</f>
        <v>70880</v>
      </c>
      <c r="Y60" s="6">
        <v>0</v>
      </c>
      <c r="Z60" s="6">
        <f t="shared" ref="Z60:Z66" si="278">W60+X60+Y60</f>
        <v>120795.1785881</v>
      </c>
      <c r="AA60" s="6">
        <v>886000</v>
      </c>
      <c r="AB60" s="6">
        <f>+AA60*0.15</f>
        <v>132900</v>
      </c>
      <c r="AC60" s="6">
        <f>(234909/4271400)*AA60</f>
        <v>48726.266329540667</v>
      </c>
      <c r="AD60" s="6">
        <f>AA60*0.08</f>
        <v>70880</v>
      </c>
      <c r="AE60" s="6">
        <v>0</v>
      </c>
      <c r="AF60" s="6">
        <f t="shared" ref="AF60:AF67" si="279">AC60+AD60+AE60</f>
        <v>119606.26632954067</v>
      </c>
      <c r="AG60" s="6">
        <v>886000</v>
      </c>
      <c r="AH60" s="6">
        <f>AG60*0.15</f>
        <v>132900</v>
      </c>
      <c r="AI60" s="6">
        <f>(259636/4609200)*AG60</f>
        <v>49908.33463507767</v>
      </c>
      <c r="AJ60" s="6">
        <f>AG60*0.08</f>
        <v>70880</v>
      </c>
      <c r="AK60" s="6"/>
      <c r="AL60" s="6">
        <f t="shared" ref="AL60:AL66" si="280">AI60+AJ60+AK60</f>
        <v>120788.33463507767</v>
      </c>
      <c r="AM60" s="6">
        <v>886000</v>
      </c>
      <c r="AN60" s="6">
        <f>AM60*0.15</f>
        <v>132900</v>
      </c>
      <c r="AO60" s="6">
        <f>(237038/4300000)*AM60</f>
        <v>48840.853023255819</v>
      </c>
      <c r="AP60" s="6">
        <f>AM60*0.08</f>
        <v>70880</v>
      </c>
      <c r="AQ60" s="6"/>
      <c r="AR60" s="6">
        <f t="shared" ref="AR60:AR67" si="281">AO60+AP60+AQ60</f>
        <v>119720.85302325583</v>
      </c>
      <c r="AS60" s="6">
        <v>886000</v>
      </c>
      <c r="AT60" s="6">
        <f>AS60*0.15</f>
        <v>132900</v>
      </c>
      <c r="AU60" s="6">
        <f>(239638/4340000)*AS60</f>
        <v>48921.490322580648</v>
      </c>
      <c r="AV60" s="6">
        <f>AS60*0.08</f>
        <v>70880</v>
      </c>
      <c r="AW60" s="6"/>
      <c r="AX60" s="6">
        <f t="shared" ref="AX60:AX67" si="282">AU60+AV60+AW60</f>
        <v>119801.49032258065</v>
      </c>
      <c r="AY60" s="6">
        <v>886000</v>
      </c>
      <c r="AZ60" s="6">
        <f>AY60*0.15</f>
        <v>132900</v>
      </c>
      <c r="BA60" s="6">
        <f>(259636/4609200)*AY60</f>
        <v>49908.33463507767</v>
      </c>
      <c r="BB60" s="6">
        <f>AY60*0.08</f>
        <v>70880</v>
      </c>
      <c r="BC60" s="6">
        <v>0</v>
      </c>
      <c r="BD60" s="6">
        <f t="shared" ref="BD60:BD67" si="283">BA60+BB60+BC60</f>
        <v>120788.33463507767</v>
      </c>
      <c r="BE60" s="6">
        <v>886000</v>
      </c>
      <c r="BF60" s="6">
        <f>BE60*0.15</f>
        <v>132900</v>
      </c>
      <c r="BG60" s="6">
        <f>(237038/4300000)*BE60</f>
        <v>48840.853023255819</v>
      </c>
      <c r="BH60" s="6">
        <f>BE60*0.08</f>
        <v>70880</v>
      </c>
      <c r="BI60" s="6"/>
      <c r="BJ60" s="6">
        <f t="shared" ref="BJ60:BJ67" si="284">BG60+BH60+BI60</f>
        <v>119720.85302325583</v>
      </c>
      <c r="BK60" s="6">
        <v>886000</v>
      </c>
      <c r="BL60" s="6">
        <f>BK60*0.15</f>
        <v>132900</v>
      </c>
      <c r="BM60" s="6">
        <f>(237038/3950000)*BK60</f>
        <v>53168.523544303796</v>
      </c>
      <c r="BN60" s="6">
        <f>BK60*0.08</f>
        <v>70880</v>
      </c>
      <c r="BO60" s="6"/>
      <c r="BP60" s="6">
        <f t="shared" ref="BP60:BP67" si="285">BM60+BN60+BO60</f>
        <v>124048.5235443038</v>
      </c>
      <c r="BQ60" s="6">
        <v>886000</v>
      </c>
      <c r="BR60" s="6">
        <f>BQ60*0.15</f>
        <v>132900</v>
      </c>
      <c r="BS60" s="6">
        <f>115800/1500000*BQ60</f>
        <v>68399.199999999997</v>
      </c>
      <c r="BT60" s="6">
        <f>+BQ60*0.08</f>
        <v>70880</v>
      </c>
      <c r="BU60" s="6"/>
      <c r="BV60" s="6">
        <f t="shared" ref="BV60:BV67" si="286">BS60+BT60+BU60</f>
        <v>139279.20000000001</v>
      </c>
      <c r="BW60" s="7">
        <f t="shared" ref="BW60:BX67" si="287">C60+I60+O60+U60+AA60+AG60+AM60+AS60+AY60+BE60+BK60+BQ60</f>
        <v>10632000</v>
      </c>
      <c r="BX60" s="7">
        <f t="shared" si="287"/>
        <v>1594800</v>
      </c>
      <c r="BY60" s="7">
        <f t="shared" ref="BY60:BY67" si="288">E60+K60+Q60+W60+AC60+AI60+AO60+AU60+BA60+BG60+BM60+BS60</f>
        <v>671361.03410119202</v>
      </c>
      <c r="BZ60" s="7">
        <f t="shared" ref="BZ60:BZ67" si="289">F60+L60+R60+X60+AD60+AJ60+AP60+AV60+BB60+BH60+BN60+BT60</f>
        <v>850560</v>
      </c>
      <c r="CA60" s="7">
        <f t="shared" ref="CA60:CA67" si="290">G60+M60+S60+Y60+AE60+AK60+AQ60+AW60+BC60+BI60+BO60+BU60</f>
        <v>0</v>
      </c>
      <c r="CB60" s="7">
        <f t="shared" ref="CB60:CB67" si="291">H60+N60+T60+Z60+AF60+AL60+AR60+AX60+BD60+BJ60+BP60+BV60</f>
        <v>1521921.0341011919</v>
      </c>
    </row>
    <row r="61" spans="1:80" s="2" customFormat="1" ht="12.75" x14ac:dyDescent="0.2">
      <c r="A61" s="1">
        <f>A60+1</f>
        <v>2</v>
      </c>
      <c r="B61" s="5" t="s">
        <v>28</v>
      </c>
      <c r="C61" s="6">
        <v>886000</v>
      </c>
      <c r="D61" s="6">
        <f t="shared" ref="D61:D62" si="292">C61*0.15</f>
        <v>132900</v>
      </c>
      <c r="E61" s="6">
        <v>60882</v>
      </c>
      <c r="F61" s="6">
        <f t="shared" ref="F61:F62" si="293">C61*0.08</f>
        <v>70880</v>
      </c>
      <c r="G61" s="6">
        <v>7362</v>
      </c>
      <c r="H61" s="6">
        <f t="shared" si="275"/>
        <v>139124</v>
      </c>
      <c r="I61" s="6">
        <v>886000</v>
      </c>
      <c r="J61" s="6">
        <f t="shared" ref="J61:J62" si="294">I61*0.15</f>
        <v>132900</v>
      </c>
      <c r="K61" s="6">
        <v>60882</v>
      </c>
      <c r="L61" s="6">
        <f t="shared" ref="L61:L62" si="295">I61*0.08</f>
        <v>70880</v>
      </c>
      <c r="M61" s="6">
        <v>7362</v>
      </c>
      <c r="N61" s="6">
        <f t="shared" si="276"/>
        <v>139124</v>
      </c>
      <c r="O61" s="6">
        <v>886000</v>
      </c>
      <c r="P61" s="6">
        <f t="shared" ref="P61:P62" si="296">O61*0.15</f>
        <v>132900</v>
      </c>
      <c r="Q61" s="6">
        <v>60882</v>
      </c>
      <c r="R61" s="6">
        <f t="shared" ref="R61:R62" si="297">+O61*0.08</f>
        <v>70880</v>
      </c>
      <c r="S61" s="6">
        <v>7362</v>
      </c>
      <c r="T61" s="6">
        <f t="shared" si="277"/>
        <v>139124</v>
      </c>
      <c r="U61" s="6">
        <v>886000</v>
      </c>
      <c r="V61" s="6">
        <f t="shared" ref="V61:V66" si="298">U61*0.15</f>
        <v>132900</v>
      </c>
      <c r="W61" s="6">
        <f>U61*0.05633767335</f>
        <v>49915.178588099996</v>
      </c>
      <c r="X61" s="6">
        <f t="shared" ref="X61:X66" si="299">U61*0.08</f>
        <v>70880</v>
      </c>
      <c r="Y61" s="6">
        <f>U61*0.00712218237</f>
        <v>6310.2535798199997</v>
      </c>
      <c r="Z61" s="6">
        <f t="shared" si="278"/>
        <v>127105.43216791999</v>
      </c>
      <c r="AA61" s="6">
        <v>886000</v>
      </c>
      <c r="AB61" s="6">
        <f t="shared" ref="AB61:AB67" si="300">+AA61*0.15</f>
        <v>132900</v>
      </c>
      <c r="AC61" s="6">
        <f t="shared" ref="AC61:AC67" si="301">(234909/4271400)*AA61</f>
        <v>48726.266329540667</v>
      </c>
      <c r="AD61" s="6">
        <f t="shared" ref="AD61:AD67" si="302">AA61*0.08</f>
        <v>70880</v>
      </c>
      <c r="AE61" s="6">
        <f>(21636/3062400)*AA61</f>
        <v>6259.6316614420057</v>
      </c>
      <c r="AF61" s="6">
        <f t="shared" si="279"/>
        <v>125865.89799098267</v>
      </c>
      <c r="AG61" s="6">
        <v>886000</v>
      </c>
      <c r="AH61" s="6">
        <f t="shared" ref="AH61:AH67" si="303">AG61*0.15</f>
        <v>132900</v>
      </c>
      <c r="AI61" s="6">
        <f t="shared" ref="AI61:AI67" si="304">(259636/4609200)*AG61</f>
        <v>49908.33463507767</v>
      </c>
      <c r="AJ61" s="6">
        <f t="shared" ref="AJ61:AJ67" si="305">AG61*0.08</f>
        <v>70880</v>
      </c>
      <c r="AK61" s="6">
        <f>(22244/3123200)*AG61</f>
        <v>6310.2535860655735</v>
      </c>
      <c r="AL61" s="6">
        <f t="shared" si="280"/>
        <v>127098.58822114325</v>
      </c>
      <c r="AM61" s="6">
        <v>886000</v>
      </c>
      <c r="AN61" s="6">
        <f t="shared" ref="AN61:AN67" si="306">AM61*0.15</f>
        <v>132900</v>
      </c>
      <c r="AO61" s="6">
        <f t="shared" ref="AO61:AO67" si="307">(237038/4300000)*AM61</f>
        <v>48840.853023255819</v>
      </c>
      <c r="AP61" s="6">
        <f t="shared" ref="AP61:AP67" si="308">AM61*0.08</f>
        <v>70880</v>
      </c>
      <c r="AQ61" s="6">
        <f>(21652/3034400)*AM61</f>
        <v>6322.0643290271555</v>
      </c>
      <c r="AR61" s="6">
        <f t="shared" si="281"/>
        <v>126042.91735228298</v>
      </c>
      <c r="AS61" s="6">
        <v>886000</v>
      </c>
      <c r="AT61" s="6">
        <f t="shared" ref="AT61:AT67" si="309">AS61*0.15</f>
        <v>132900</v>
      </c>
      <c r="AU61" s="6">
        <f t="shared" ref="AU61:AU67" si="310">(239638/4340000)*AS61</f>
        <v>48921.490322580648</v>
      </c>
      <c r="AV61" s="6">
        <f t="shared" ref="AV61:AV67" si="311">AS61*0.08</f>
        <v>70880</v>
      </c>
      <c r="AW61" s="6">
        <f>(22052/3104000)*AS61</f>
        <v>6294.4819587628872</v>
      </c>
      <c r="AX61" s="6">
        <f t="shared" si="282"/>
        <v>126095.97228134354</v>
      </c>
      <c r="AY61" s="6">
        <v>886000</v>
      </c>
      <c r="AZ61" s="6">
        <f t="shared" ref="AZ61:AZ67" si="312">AY61*0.15</f>
        <v>132900</v>
      </c>
      <c r="BA61" s="6">
        <f t="shared" ref="BA61:BA67" si="313">(259636/4609200)*AY61</f>
        <v>49908.33463507767</v>
      </c>
      <c r="BB61" s="6">
        <f t="shared" ref="BB61:BB67" si="314">AY61*0.08</f>
        <v>70880</v>
      </c>
      <c r="BC61" s="6">
        <f t="shared" ref="BC61:BC66" si="315">(22244/3123200)*AY61</f>
        <v>6310.2535860655735</v>
      </c>
      <c r="BD61" s="6">
        <f t="shared" si="283"/>
        <v>127098.58822114325</v>
      </c>
      <c r="BE61" s="6">
        <v>886000</v>
      </c>
      <c r="BF61" s="6">
        <f t="shared" ref="BF61:BF67" si="316">BE61*0.15</f>
        <v>132900</v>
      </c>
      <c r="BG61" s="6">
        <f t="shared" ref="BG61:BG67" si="317">(237038/4300000)*BE61</f>
        <v>48840.853023255819</v>
      </c>
      <c r="BH61" s="6">
        <f t="shared" ref="BH61:BH67" si="318">BE61*0.08</f>
        <v>70880</v>
      </c>
      <c r="BI61" s="6">
        <f>(21652/3062400)*BE61</f>
        <v>6264.2607105538136</v>
      </c>
      <c r="BJ61" s="6">
        <f t="shared" si="284"/>
        <v>125985.11373380965</v>
      </c>
      <c r="BK61" s="6">
        <v>886000</v>
      </c>
      <c r="BL61" s="6">
        <f t="shared" ref="BL61:BL66" si="319">BK61*0.15</f>
        <v>132900</v>
      </c>
      <c r="BM61" s="6">
        <f t="shared" ref="BM61:BM66" si="320">(237038/3950000)*BK61</f>
        <v>53168.523544303796</v>
      </c>
      <c r="BN61" s="6">
        <f t="shared" ref="BN61:BN66" si="321">BK61*0.08</f>
        <v>70880</v>
      </c>
      <c r="BO61" s="6">
        <f>21652/3064000*BK61</f>
        <v>6260.9895561357707</v>
      </c>
      <c r="BP61" s="6">
        <f t="shared" si="285"/>
        <v>130309.51310043957</v>
      </c>
      <c r="BQ61" s="6">
        <v>614000</v>
      </c>
      <c r="BR61" s="6">
        <f>BQ61*0.15</f>
        <v>92100</v>
      </c>
      <c r="BS61" s="6">
        <f>115800/1500000*BQ61</f>
        <v>47400.800000000003</v>
      </c>
      <c r="BT61" s="6">
        <f>+BQ61*0.08</f>
        <v>49120</v>
      </c>
      <c r="BU61" s="6">
        <v>6580</v>
      </c>
      <c r="BV61" s="6">
        <f t="shared" si="286"/>
        <v>103100.8</v>
      </c>
      <c r="BW61" s="7">
        <f t="shared" si="287"/>
        <v>10360000</v>
      </c>
      <c r="BX61" s="7">
        <f t="shared" si="287"/>
        <v>1554000</v>
      </c>
      <c r="BY61" s="7">
        <f t="shared" si="288"/>
        <v>628276.63410119212</v>
      </c>
      <c r="BZ61" s="7">
        <f t="shared" si="289"/>
        <v>828800</v>
      </c>
      <c r="CA61" s="7">
        <f t="shared" si="290"/>
        <v>78998.188967872789</v>
      </c>
      <c r="CB61" s="7">
        <f t="shared" si="291"/>
        <v>1536074.8230690651</v>
      </c>
    </row>
    <row r="62" spans="1:80" s="2" customFormat="1" ht="12.75" x14ac:dyDescent="0.2">
      <c r="A62" s="1">
        <f t="shared" ref="A62:A67" si="322">A61+1</f>
        <v>3</v>
      </c>
      <c r="B62" s="5" t="s">
        <v>26</v>
      </c>
      <c r="C62" s="6">
        <v>658000</v>
      </c>
      <c r="D62" s="6">
        <f t="shared" si="292"/>
        <v>98700</v>
      </c>
      <c r="E62" s="6">
        <v>33035</v>
      </c>
      <c r="F62" s="6">
        <f t="shared" si="293"/>
        <v>52640</v>
      </c>
      <c r="G62" s="6">
        <v>5082</v>
      </c>
      <c r="H62" s="6">
        <f t="shared" si="275"/>
        <v>90757</v>
      </c>
      <c r="I62" s="6">
        <v>658000</v>
      </c>
      <c r="J62" s="6">
        <f t="shared" si="294"/>
        <v>98700</v>
      </c>
      <c r="K62" s="6">
        <v>33035</v>
      </c>
      <c r="L62" s="6">
        <f t="shared" si="295"/>
        <v>52640</v>
      </c>
      <c r="M62" s="6">
        <v>5082</v>
      </c>
      <c r="N62" s="6">
        <f t="shared" si="276"/>
        <v>90757</v>
      </c>
      <c r="O62" s="6">
        <v>658000</v>
      </c>
      <c r="P62" s="6">
        <f t="shared" si="296"/>
        <v>98700</v>
      </c>
      <c r="Q62" s="6">
        <v>33035</v>
      </c>
      <c r="R62" s="6">
        <f t="shared" si="297"/>
        <v>52640</v>
      </c>
      <c r="S62" s="6">
        <v>5082</v>
      </c>
      <c r="T62" s="6">
        <f t="shared" si="277"/>
        <v>90757</v>
      </c>
      <c r="U62" s="6">
        <v>658000</v>
      </c>
      <c r="V62" s="6">
        <f t="shared" si="298"/>
        <v>98700</v>
      </c>
      <c r="W62" s="6">
        <f t="shared" ref="W62:W66" si="323">U62*0.05633767335</f>
        <v>37070.189064300001</v>
      </c>
      <c r="X62" s="6">
        <f t="shared" si="299"/>
        <v>52640</v>
      </c>
      <c r="Y62" s="6">
        <f t="shared" ref="Y62:Y66" si="324">U62*0.00712218237</f>
        <v>4686.39599946</v>
      </c>
      <c r="Z62" s="6">
        <f t="shared" si="278"/>
        <v>94396.585063760009</v>
      </c>
      <c r="AA62" s="6">
        <v>658000</v>
      </c>
      <c r="AB62" s="6">
        <f t="shared" si="300"/>
        <v>98700</v>
      </c>
      <c r="AC62" s="6">
        <f t="shared" si="301"/>
        <v>36187.227138643066</v>
      </c>
      <c r="AD62" s="6">
        <f t="shared" si="302"/>
        <v>52640</v>
      </c>
      <c r="AE62" s="6">
        <f t="shared" ref="AE62:AE66" si="325">(21636/3062400)*AA62</f>
        <v>4648.8009404388713</v>
      </c>
      <c r="AF62" s="6">
        <f t="shared" si="279"/>
        <v>93476.028079081938</v>
      </c>
      <c r="AG62" s="6">
        <v>658000</v>
      </c>
      <c r="AH62" s="6">
        <f t="shared" si="303"/>
        <v>98700</v>
      </c>
      <c r="AI62" s="6">
        <f t="shared" si="304"/>
        <v>37065.106309120893</v>
      </c>
      <c r="AJ62" s="6">
        <f t="shared" si="305"/>
        <v>52640</v>
      </c>
      <c r="AK62" s="6">
        <f t="shared" ref="AK62:AK66" si="326">(22244/3123200)*AG62</f>
        <v>4686.3960040983611</v>
      </c>
      <c r="AL62" s="6">
        <f t="shared" si="280"/>
        <v>94391.502313219258</v>
      </c>
      <c r="AM62" s="6">
        <v>630000</v>
      </c>
      <c r="AN62" s="6">
        <f t="shared" si="306"/>
        <v>94500</v>
      </c>
      <c r="AO62" s="6">
        <f t="shared" si="307"/>
        <v>34728.823255813957</v>
      </c>
      <c r="AP62" s="6">
        <f t="shared" si="308"/>
        <v>50400</v>
      </c>
      <c r="AQ62" s="6">
        <f t="shared" ref="AQ62:AQ66" si="327">(21652/3034400)*AM62</f>
        <v>4495.3730556287901</v>
      </c>
      <c r="AR62" s="6">
        <f t="shared" si="281"/>
        <v>89624.196311442749</v>
      </c>
      <c r="AS62" s="6">
        <v>658000</v>
      </c>
      <c r="AT62" s="6">
        <f t="shared" si="309"/>
        <v>98700</v>
      </c>
      <c r="AU62" s="6">
        <f t="shared" si="310"/>
        <v>36332.212903225809</v>
      </c>
      <c r="AV62" s="6">
        <f t="shared" si="311"/>
        <v>52640</v>
      </c>
      <c r="AW62" s="6">
        <f t="shared" ref="AW62:AW66" si="328">(22052/3104000)*AS62</f>
        <v>4674.682989690722</v>
      </c>
      <c r="AX62" s="6">
        <f t="shared" si="282"/>
        <v>93646.895892916538</v>
      </c>
      <c r="AY62" s="6">
        <v>658000</v>
      </c>
      <c r="AZ62" s="6">
        <f t="shared" si="312"/>
        <v>98700</v>
      </c>
      <c r="BA62" s="6">
        <f t="shared" si="313"/>
        <v>37065.106309120893</v>
      </c>
      <c r="BB62" s="6">
        <f t="shared" si="314"/>
        <v>52640</v>
      </c>
      <c r="BC62" s="6">
        <f t="shared" si="315"/>
        <v>4686.3960040983611</v>
      </c>
      <c r="BD62" s="6">
        <f t="shared" si="283"/>
        <v>94391.502313219258</v>
      </c>
      <c r="BE62" s="6">
        <v>658000</v>
      </c>
      <c r="BF62" s="6">
        <f t="shared" si="316"/>
        <v>98700</v>
      </c>
      <c r="BG62" s="6">
        <f t="shared" si="317"/>
        <v>36272.326511627907</v>
      </c>
      <c r="BH62" s="6">
        <f t="shared" si="318"/>
        <v>52640</v>
      </c>
      <c r="BI62" s="6">
        <f t="shared" ref="BI62:BI66" si="329">(21652/3062400)*BE62</f>
        <v>4652.2387669801465</v>
      </c>
      <c r="BJ62" s="6">
        <f t="shared" si="284"/>
        <v>93564.565278608061</v>
      </c>
      <c r="BK62" s="6">
        <v>659600</v>
      </c>
      <c r="BL62" s="6">
        <f t="shared" si="319"/>
        <v>98940</v>
      </c>
      <c r="BM62" s="6">
        <f t="shared" si="320"/>
        <v>39582.345518987342</v>
      </c>
      <c r="BN62" s="6">
        <f t="shared" si="321"/>
        <v>52768</v>
      </c>
      <c r="BO62" s="6">
        <f t="shared" ref="BO62:BO66" si="330">21652/3064000*BK62</f>
        <v>4661.1159268929505</v>
      </c>
      <c r="BP62" s="6">
        <f t="shared" si="285"/>
        <v>97011.461445880283</v>
      </c>
      <c r="BQ62" s="6"/>
      <c r="BR62" s="6"/>
      <c r="BS62" s="6"/>
      <c r="BT62" s="6"/>
      <c r="BU62" s="6"/>
      <c r="BV62" s="6">
        <f t="shared" si="286"/>
        <v>0</v>
      </c>
      <c r="BW62" s="7">
        <f t="shared" si="287"/>
        <v>7211600</v>
      </c>
      <c r="BX62" s="7">
        <f t="shared" si="287"/>
        <v>1081740</v>
      </c>
      <c r="BY62" s="7">
        <f t="shared" si="288"/>
        <v>393408.3370108399</v>
      </c>
      <c r="BZ62" s="7">
        <f t="shared" si="289"/>
        <v>576928</v>
      </c>
      <c r="CA62" s="7">
        <f t="shared" si="290"/>
        <v>52437.399687288198</v>
      </c>
      <c r="CB62" s="7">
        <f t="shared" si="291"/>
        <v>1022773.7366981282</v>
      </c>
    </row>
    <row r="63" spans="1:80" s="2" customFormat="1" ht="12.75" x14ac:dyDescent="0.2">
      <c r="A63" s="1">
        <f t="shared" si="322"/>
        <v>4</v>
      </c>
      <c r="B63" s="5" t="s">
        <v>51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>
        <v>394800</v>
      </c>
      <c r="V63" s="6">
        <f t="shared" si="298"/>
        <v>59220</v>
      </c>
      <c r="W63" s="6">
        <f t="shared" si="323"/>
        <v>22242.11343858</v>
      </c>
      <c r="X63" s="6">
        <f t="shared" si="299"/>
        <v>31584</v>
      </c>
      <c r="Y63" s="6">
        <f t="shared" si="324"/>
        <v>2811.8375996760001</v>
      </c>
      <c r="Z63" s="6">
        <f t="shared" si="278"/>
        <v>56637.951038255997</v>
      </c>
      <c r="AA63" s="6">
        <v>379600</v>
      </c>
      <c r="AB63" s="6">
        <f t="shared" si="300"/>
        <v>56940</v>
      </c>
      <c r="AC63" s="6">
        <f t="shared" si="301"/>
        <v>20876.400337126001</v>
      </c>
      <c r="AD63" s="6">
        <f t="shared" si="302"/>
        <v>30368</v>
      </c>
      <c r="AE63" s="6">
        <f t="shared" si="325"/>
        <v>2681.8918495297803</v>
      </c>
      <c r="AF63" s="6">
        <f t="shared" si="279"/>
        <v>53926.292186655788</v>
      </c>
      <c r="AG63" s="6">
        <v>394800</v>
      </c>
      <c r="AH63" s="6">
        <f t="shared" si="303"/>
        <v>59220</v>
      </c>
      <c r="AI63" s="6">
        <f t="shared" si="304"/>
        <v>22239.063785472536</v>
      </c>
      <c r="AJ63" s="6">
        <f t="shared" si="305"/>
        <v>31584</v>
      </c>
      <c r="AK63" s="6">
        <f t="shared" si="326"/>
        <v>2811.8376024590166</v>
      </c>
      <c r="AL63" s="6">
        <f t="shared" si="280"/>
        <v>56634.901387931553</v>
      </c>
      <c r="AM63" s="6">
        <v>379600</v>
      </c>
      <c r="AN63" s="6">
        <f t="shared" si="306"/>
        <v>56940</v>
      </c>
      <c r="AO63" s="6">
        <f t="shared" si="307"/>
        <v>20925.494139534883</v>
      </c>
      <c r="AP63" s="6">
        <f t="shared" si="308"/>
        <v>30368</v>
      </c>
      <c r="AQ63" s="6">
        <f t="shared" si="327"/>
        <v>2708.6406538360138</v>
      </c>
      <c r="AR63" s="6">
        <f t="shared" si="281"/>
        <v>54002.134793370904</v>
      </c>
      <c r="AS63" s="6">
        <v>390000</v>
      </c>
      <c r="AT63" s="6">
        <f t="shared" si="309"/>
        <v>58500</v>
      </c>
      <c r="AU63" s="6">
        <f t="shared" si="310"/>
        <v>21534.290322580648</v>
      </c>
      <c r="AV63" s="6">
        <f t="shared" si="311"/>
        <v>31200</v>
      </c>
      <c r="AW63" s="6">
        <f t="shared" si="328"/>
        <v>2770.7087628865979</v>
      </c>
      <c r="AX63" s="6">
        <f t="shared" si="282"/>
        <v>55504.999085467251</v>
      </c>
      <c r="AY63" s="6">
        <v>394800</v>
      </c>
      <c r="AZ63" s="6">
        <f t="shared" si="312"/>
        <v>59220</v>
      </c>
      <c r="BA63" s="6">
        <f t="shared" si="313"/>
        <v>22239.063785472536</v>
      </c>
      <c r="BB63" s="6">
        <f t="shared" si="314"/>
        <v>31584</v>
      </c>
      <c r="BC63" s="6">
        <f t="shared" si="315"/>
        <v>2811.8376024590166</v>
      </c>
      <c r="BD63" s="6">
        <f t="shared" si="283"/>
        <v>56634.901387931553</v>
      </c>
      <c r="BE63" s="6">
        <v>379600</v>
      </c>
      <c r="BF63" s="6">
        <f t="shared" si="316"/>
        <v>56940</v>
      </c>
      <c r="BG63" s="6">
        <f t="shared" si="317"/>
        <v>20925.494139534883</v>
      </c>
      <c r="BH63" s="6">
        <f t="shared" si="318"/>
        <v>30368</v>
      </c>
      <c r="BI63" s="6">
        <f t="shared" si="329"/>
        <v>2683.87513061651</v>
      </c>
      <c r="BJ63" s="6">
        <f t="shared" si="284"/>
        <v>53977.369270151394</v>
      </c>
      <c r="BK63" s="6">
        <v>379600</v>
      </c>
      <c r="BL63" s="6">
        <f t="shared" si="319"/>
        <v>56940</v>
      </c>
      <c r="BM63" s="6">
        <f t="shared" si="320"/>
        <v>22779.651848101268</v>
      </c>
      <c r="BN63" s="6">
        <f t="shared" si="321"/>
        <v>30368</v>
      </c>
      <c r="BO63" s="6">
        <f t="shared" si="330"/>
        <v>2682.4736292428202</v>
      </c>
      <c r="BP63" s="6">
        <f t="shared" si="285"/>
        <v>55830.125477344089</v>
      </c>
      <c r="BQ63" s="6"/>
      <c r="BR63" s="6"/>
      <c r="BS63" s="6"/>
      <c r="BT63" s="6"/>
      <c r="BU63" s="6"/>
      <c r="BV63" s="6">
        <f t="shared" si="286"/>
        <v>0</v>
      </c>
      <c r="BW63" s="7">
        <f t="shared" si="287"/>
        <v>3092800</v>
      </c>
      <c r="BX63" s="7">
        <f t="shared" si="287"/>
        <v>463920</v>
      </c>
      <c r="BY63" s="7">
        <f t="shared" si="288"/>
        <v>173761.57179640274</v>
      </c>
      <c r="BZ63" s="7">
        <f t="shared" si="289"/>
        <v>247424</v>
      </c>
      <c r="CA63" s="7">
        <f t="shared" si="290"/>
        <v>21963.102830705757</v>
      </c>
      <c r="CB63" s="7">
        <f t="shared" si="291"/>
        <v>443148.67462710856</v>
      </c>
    </row>
    <row r="64" spans="1:80" s="2" customFormat="1" ht="12.75" x14ac:dyDescent="0.2">
      <c r="A64" s="1">
        <f t="shared" si="322"/>
        <v>5</v>
      </c>
      <c r="B64" s="5" t="s">
        <v>30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>
        <v>394800</v>
      </c>
      <c r="V64" s="6">
        <f t="shared" si="298"/>
        <v>59220</v>
      </c>
      <c r="W64" s="6">
        <f t="shared" si="323"/>
        <v>22242.11343858</v>
      </c>
      <c r="X64" s="6">
        <f t="shared" si="299"/>
        <v>31584</v>
      </c>
      <c r="Y64" s="6">
        <f t="shared" si="324"/>
        <v>2811.8375996760001</v>
      </c>
      <c r="Z64" s="6">
        <f t="shared" si="278"/>
        <v>56637.951038255997</v>
      </c>
      <c r="AA64" s="6">
        <v>379600</v>
      </c>
      <c r="AB64" s="6">
        <f t="shared" si="300"/>
        <v>56940</v>
      </c>
      <c r="AC64" s="6">
        <f t="shared" si="301"/>
        <v>20876.400337126001</v>
      </c>
      <c r="AD64" s="6">
        <f t="shared" si="302"/>
        <v>30368</v>
      </c>
      <c r="AE64" s="6">
        <f t="shared" si="325"/>
        <v>2681.8918495297803</v>
      </c>
      <c r="AF64" s="6">
        <f t="shared" si="279"/>
        <v>53926.292186655788</v>
      </c>
      <c r="AG64" s="6">
        <v>394800</v>
      </c>
      <c r="AH64" s="6">
        <f t="shared" si="303"/>
        <v>59220</v>
      </c>
      <c r="AI64" s="6">
        <f t="shared" si="304"/>
        <v>22239.063785472536</v>
      </c>
      <c r="AJ64" s="6">
        <f t="shared" si="305"/>
        <v>31584</v>
      </c>
      <c r="AK64" s="6">
        <f t="shared" si="326"/>
        <v>2811.8376024590166</v>
      </c>
      <c r="AL64" s="6">
        <f t="shared" si="280"/>
        <v>56634.901387931553</v>
      </c>
      <c r="AM64" s="6">
        <v>379600</v>
      </c>
      <c r="AN64" s="6">
        <f t="shared" si="306"/>
        <v>56940</v>
      </c>
      <c r="AO64" s="6">
        <f t="shared" si="307"/>
        <v>20925.494139534883</v>
      </c>
      <c r="AP64" s="6">
        <f t="shared" si="308"/>
        <v>30368</v>
      </c>
      <c r="AQ64" s="6">
        <f t="shared" si="327"/>
        <v>2708.6406538360138</v>
      </c>
      <c r="AR64" s="6">
        <f t="shared" si="281"/>
        <v>54002.134793370904</v>
      </c>
      <c r="AS64" s="6">
        <v>390000</v>
      </c>
      <c r="AT64" s="6">
        <f t="shared" si="309"/>
        <v>58500</v>
      </c>
      <c r="AU64" s="6">
        <f t="shared" si="310"/>
        <v>21534.290322580648</v>
      </c>
      <c r="AV64" s="6">
        <f t="shared" si="311"/>
        <v>31200</v>
      </c>
      <c r="AW64" s="6">
        <f t="shared" si="328"/>
        <v>2770.7087628865979</v>
      </c>
      <c r="AX64" s="6">
        <f t="shared" si="282"/>
        <v>55504.999085467251</v>
      </c>
      <c r="AY64" s="6">
        <v>394800</v>
      </c>
      <c r="AZ64" s="6">
        <f t="shared" si="312"/>
        <v>59220</v>
      </c>
      <c r="BA64" s="6">
        <f t="shared" si="313"/>
        <v>22239.063785472536</v>
      </c>
      <c r="BB64" s="6">
        <f t="shared" si="314"/>
        <v>31584</v>
      </c>
      <c r="BC64" s="6">
        <f t="shared" si="315"/>
        <v>2811.8376024590166</v>
      </c>
      <c r="BD64" s="6">
        <f t="shared" si="283"/>
        <v>56634.901387931553</v>
      </c>
      <c r="BE64" s="6">
        <v>379600</v>
      </c>
      <c r="BF64" s="6">
        <f t="shared" si="316"/>
        <v>56940</v>
      </c>
      <c r="BG64" s="6">
        <f t="shared" si="317"/>
        <v>20925.494139534883</v>
      </c>
      <c r="BH64" s="6">
        <f t="shared" si="318"/>
        <v>30368</v>
      </c>
      <c r="BI64" s="6">
        <f t="shared" si="329"/>
        <v>2683.87513061651</v>
      </c>
      <c r="BJ64" s="6">
        <f t="shared" si="284"/>
        <v>53977.369270151394</v>
      </c>
      <c r="BK64" s="6">
        <v>379600</v>
      </c>
      <c r="BL64" s="6">
        <f t="shared" si="319"/>
        <v>56940</v>
      </c>
      <c r="BM64" s="6">
        <f t="shared" si="320"/>
        <v>22779.651848101268</v>
      </c>
      <c r="BN64" s="6">
        <f t="shared" si="321"/>
        <v>30368</v>
      </c>
      <c r="BO64" s="6">
        <f t="shared" si="330"/>
        <v>2682.4736292428202</v>
      </c>
      <c r="BP64" s="6">
        <f t="shared" si="285"/>
        <v>55830.125477344089</v>
      </c>
      <c r="BQ64" s="6"/>
      <c r="BR64" s="6"/>
      <c r="BS64" s="6"/>
      <c r="BT64" s="6"/>
      <c r="BU64" s="6"/>
      <c r="BV64" s="6">
        <f t="shared" si="286"/>
        <v>0</v>
      </c>
      <c r="BW64" s="7">
        <f t="shared" si="287"/>
        <v>3092800</v>
      </c>
      <c r="BX64" s="7">
        <f t="shared" si="287"/>
        <v>463920</v>
      </c>
      <c r="BY64" s="7">
        <f t="shared" si="288"/>
        <v>173761.57179640274</v>
      </c>
      <c r="BZ64" s="7">
        <f t="shared" si="289"/>
        <v>247424</v>
      </c>
      <c r="CA64" s="7">
        <f t="shared" si="290"/>
        <v>21963.102830705757</v>
      </c>
      <c r="CB64" s="7">
        <f t="shared" si="291"/>
        <v>443148.67462710856</v>
      </c>
    </row>
    <row r="65" spans="1:80" s="2" customFormat="1" ht="24" x14ac:dyDescent="0.2">
      <c r="A65" s="1">
        <f t="shared" si="322"/>
        <v>6</v>
      </c>
      <c r="B65" s="5" t="s">
        <v>27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>
        <v>394800</v>
      </c>
      <c r="V65" s="6">
        <f t="shared" si="298"/>
        <v>59220</v>
      </c>
      <c r="W65" s="6">
        <f t="shared" si="323"/>
        <v>22242.11343858</v>
      </c>
      <c r="X65" s="6">
        <f t="shared" si="299"/>
        <v>31584</v>
      </c>
      <c r="Y65" s="6">
        <f t="shared" si="324"/>
        <v>2811.8375996760001</v>
      </c>
      <c r="Z65" s="6">
        <f t="shared" si="278"/>
        <v>56637.951038255997</v>
      </c>
      <c r="AA65" s="6">
        <v>379600</v>
      </c>
      <c r="AB65" s="6">
        <f t="shared" si="300"/>
        <v>56940</v>
      </c>
      <c r="AC65" s="6">
        <f t="shared" si="301"/>
        <v>20876.400337126001</v>
      </c>
      <c r="AD65" s="6">
        <f t="shared" si="302"/>
        <v>30368</v>
      </c>
      <c r="AE65" s="6">
        <f t="shared" si="325"/>
        <v>2681.8918495297803</v>
      </c>
      <c r="AF65" s="6">
        <f t="shared" si="279"/>
        <v>53926.292186655788</v>
      </c>
      <c r="AG65" s="6">
        <v>394800</v>
      </c>
      <c r="AH65" s="6">
        <f t="shared" si="303"/>
        <v>59220</v>
      </c>
      <c r="AI65" s="6">
        <f t="shared" si="304"/>
        <v>22239.063785472536</v>
      </c>
      <c r="AJ65" s="6">
        <f t="shared" si="305"/>
        <v>31584</v>
      </c>
      <c r="AK65" s="6">
        <f t="shared" si="326"/>
        <v>2811.8376024590166</v>
      </c>
      <c r="AL65" s="6">
        <f t="shared" si="280"/>
        <v>56634.901387931553</v>
      </c>
      <c r="AM65" s="6">
        <v>379600</v>
      </c>
      <c r="AN65" s="6">
        <f t="shared" si="306"/>
        <v>56940</v>
      </c>
      <c r="AO65" s="6">
        <f t="shared" si="307"/>
        <v>20925.494139534883</v>
      </c>
      <c r="AP65" s="6">
        <f t="shared" si="308"/>
        <v>30368</v>
      </c>
      <c r="AQ65" s="6">
        <f t="shared" si="327"/>
        <v>2708.6406538360138</v>
      </c>
      <c r="AR65" s="6">
        <f t="shared" si="281"/>
        <v>54002.134793370904</v>
      </c>
      <c r="AS65" s="6">
        <v>390000</v>
      </c>
      <c r="AT65" s="6">
        <f t="shared" si="309"/>
        <v>58500</v>
      </c>
      <c r="AU65" s="6">
        <f t="shared" si="310"/>
        <v>21534.290322580648</v>
      </c>
      <c r="AV65" s="6">
        <f t="shared" si="311"/>
        <v>31200</v>
      </c>
      <c r="AW65" s="6">
        <f t="shared" si="328"/>
        <v>2770.7087628865979</v>
      </c>
      <c r="AX65" s="6">
        <f t="shared" si="282"/>
        <v>55504.999085467251</v>
      </c>
      <c r="AY65" s="6">
        <v>394800</v>
      </c>
      <c r="AZ65" s="6">
        <f t="shared" si="312"/>
        <v>59220</v>
      </c>
      <c r="BA65" s="6">
        <f t="shared" si="313"/>
        <v>22239.063785472536</v>
      </c>
      <c r="BB65" s="6">
        <f t="shared" si="314"/>
        <v>31584</v>
      </c>
      <c r="BC65" s="6">
        <f t="shared" si="315"/>
        <v>2811.8376024590166</v>
      </c>
      <c r="BD65" s="6">
        <f t="shared" si="283"/>
        <v>56634.901387931553</v>
      </c>
      <c r="BE65" s="6">
        <v>379600</v>
      </c>
      <c r="BF65" s="6">
        <f t="shared" si="316"/>
        <v>56940</v>
      </c>
      <c r="BG65" s="6">
        <f t="shared" si="317"/>
        <v>20925.494139534883</v>
      </c>
      <c r="BH65" s="6">
        <f t="shared" si="318"/>
        <v>30368</v>
      </c>
      <c r="BI65" s="6">
        <f t="shared" si="329"/>
        <v>2683.87513061651</v>
      </c>
      <c r="BJ65" s="6">
        <f t="shared" si="284"/>
        <v>53977.369270151394</v>
      </c>
      <c r="BK65" s="6">
        <v>379600</v>
      </c>
      <c r="BL65" s="6">
        <f t="shared" si="319"/>
        <v>56940</v>
      </c>
      <c r="BM65" s="6">
        <f t="shared" si="320"/>
        <v>22779.651848101268</v>
      </c>
      <c r="BN65" s="6">
        <f t="shared" si="321"/>
        <v>30368</v>
      </c>
      <c r="BO65" s="6">
        <f t="shared" si="330"/>
        <v>2682.4736292428202</v>
      </c>
      <c r="BP65" s="6">
        <f t="shared" si="285"/>
        <v>55830.125477344089</v>
      </c>
      <c r="BQ65" s="6"/>
      <c r="BR65" s="6"/>
      <c r="BS65" s="6"/>
      <c r="BT65" s="6"/>
      <c r="BU65" s="6"/>
      <c r="BV65" s="6">
        <f t="shared" si="286"/>
        <v>0</v>
      </c>
      <c r="BW65" s="7">
        <f t="shared" si="287"/>
        <v>3092800</v>
      </c>
      <c r="BX65" s="7">
        <f t="shared" si="287"/>
        <v>463920</v>
      </c>
      <c r="BY65" s="7">
        <f t="shared" si="288"/>
        <v>173761.57179640274</v>
      </c>
      <c r="BZ65" s="7">
        <f t="shared" si="289"/>
        <v>247424</v>
      </c>
      <c r="CA65" s="7">
        <f t="shared" si="290"/>
        <v>21963.102830705757</v>
      </c>
      <c r="CB65" s="7">
        <f t="shared" si="291"/>
        <v>443148.67462710856</v>
      </c>
    </row>
    <row r="66" spans="1:80" s="2" customFormat="1" ht="12.75" x14ac:dyDescent="0.2">
      <c r="A66" s="1">
        <f t="shared" si="322"/>
        <v>7</v>
      </c>
      <c r="B66" s="5" t="s">
        <v>29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>
        <v>394800</v>
      </c>
      <c r="V66" s="6">
        <f t="shared" si="298"/>
        <v>59220</v>
      </c>
      <c r="W66" s="6">
        <f t="shared" si="323"/>
        <v>22242.11343858</v>
      </c>
      <c r="X66" s="6">
        <f t="shared" si="299"/>
        <v>31584</v>
      </c>
      <c r="Y66" s="6">
        <f t="shared" si="324"/>
        <v>2811.8375996760001</v>
      </c>
      <c r="Z66" s="6">
        <f t="shared" si="278"/>
        <v>56637.951038255997</v>
      </c>
      <c r="AA66" s="6">
        <v>379600</v>
      </c>
      <c r="AB66" s="6">
        <f t="shared" si="300"/>
        <v>56940</v>
      </c>
      <c r="AC66" s="6">
        <f t="shared" si="301"/>
        <v>20876.400337126001</v>
      </c>
      <c r="AD66" s="6">
        <f t="shared" si="302"/>
        <v>30368</v>
      </c>
      <c r="AE66" s="6">
        <f t="shared" si="325"/>
        <v>2681.8918495297803</v>
      </c>
      <c r="AF66" s="6">
        <f t="shared" si="279"/>
        <v>53926.292186655788</v>
      </c>
      <c r="AG66" s="6">
        <v>394800</v>
      </c>
      <c r="AH66" s="6">
        <f t="shared" si="303"/>
        <v>59220</v>
      </c>
      <c r="AI66" s="6">
        <f t="shared" si="304"/>
        <v>22239.063785472536</v>
      </c>
      <c r="AJ66" s="6">
        <f t="shared" si="305"/>
        <v>31584</v>
      </c>
      <c r="AK66" s="6">
        <f t="shared" si="326"/>
        <v>2811.8376024590166</v>
      </c>
      <c r="AL66" s="6">
        <f t="shared" si="280"/>
        <v>56634.901387931553</v>
      </c>
      <c r="AM66" s="6">
        <v>379600</v>
      </c>
      <c r="AN66" s="6">
        <f t="shared" si="306"/>
        <v>56940</v>
      </c>
      <c r="AO66" s="6">
        <f t="shared" si="307"/>
        <v>20925.494139534883</v>
      </c>
      <c r="AP66" s="6">
        <f t="shared" si="308"/>
        <v>30368</v>
      </c>
      <c r="AQ66" s="6">
        <f t="shared" si="327"/>
        <v>2708.6406538360138</v>
      </c>
      <c r="AR66" s="6">
        <f t="shared" si="281"/>
        <v>54002.134793370904</v>
      </c>
      <c r="AS66" s="6">
        <v>390000</v>
      </c>
      <c r="AT66" s="6">
        <f t="shared" si="309"/>
        <v>58500</v>
      </c>
      <c r="AU66" s="6">
        <f t="shared" si="310"/>
        <v>21534.290322580648</v>
      </c>
      <c r="AV66" s="6">
        <f t="shared" si="311"/>
        <v>31200</v>
      </c>
      <c r="AW66" s="6">
        <f t="shared" si="328"/>
        <v>2770.7087628865979</v>
      </c>
      <c r="AX66" s="6">
        <f t="shared" si="282"/>
        <v>55504.999085467251</v>
      </c>
      <c r="AY66" s="6">
        <v>394800</v>
      </c>
      <c r="AZ66" s="6">
        <f t="shared" si="312"/>
        <v>59220</v>
      </c>
      <c r="BA66" s="6">
        <f t="shared" si="313"/>
        <v>22239.063785472536</v>
      </c>
      <c r="BB66" s="6">
        <f t="shared" si="314"/>
        <v>31584</v>
      </c>
      <c r="BC66" s="6">
        <f t="shared" si="315"/>
        <v>2811.8376024590166</v>
      </c>
      <c r="BD66" s="6">
        <f t="shared" si="283"/>
        <v>56634.901387931553</v>
      </c>
      <c r="BE66" s="6">
        <v>379600</v>
      </c>
      <c r="BF66" s="6">
        <f t="shared" si="316"/>
        <v>56940</v>
      </c>
      <c r="BG66" s="6">
        <f t="shared" si="317"/>
        <v>20925.494139534883</v>
      </c>
      <c r="BH66" s="6">
        <f t="shared" si="318"/>
        <v>30368</v>
      </c>
      <c r="BI66" s="6">
        <f t="shared" si="329"/>
        <v>2683.87513061651</v>
      </c>
      <c r="BJ66" s="6">
        <f t="shared" si="284"/>
        <v>53977.369270151394</v>
      </c>
      <c r="BK66" s="6">
        <v>379600</v>
      </c>
      <c r="BL66" s="6">
        <f t="shared" si="319"/>
        <v>56940</v>
      </c>
      <c r="BM66" s="6">
        <f t="shared" si="320"/>
        <v>22779.651848101268</v>
      </c>
      <c r="BN66" s="6">
        <f t="shared" si="321"/>
        <v>30368</v>
      </c>
      <c r="BO66" s="6">
        <f t="shared" si="330"/>
        <v>2682.4736292428202</v>
      </c>
      <c r="BP66" s="6">
        <f t="shared" si="285"/>
        <v>55830.125477344089</v>
      </c>
      <c r="BQ66" s="6"/>
      <c r="BR66" s="6"/>
      <c r="BS66" s="6"/>
      <c r="BT66" s="6"/>
      <c r="BU66" s="6"/>
      <c r="BV66" s="6">
        <f t="shared" si="286"/>
        <v>0</v>
      </c>
      <c r="BW66" s="7">
        <f t="shared" si="287"/>
        <v>3092800</v>
      </c>
      <c r="BX66" s="7">
        <f t="shared" si="287"/>
        <v>463920</v>
      </c>
      <c r="BY66" s="7">
        <f t="shared" si="288"/>
        <v>173761.57179640274</v>
      </c>
      <c r="BZ66" s="7">
        <f t="shared" si="289"/>
        <v>247424</v>
      </c>
      <c r="CA66" s="7">
        <f t="shared" si="290"/>
        <v>21963.102830705757</v>
      </c>
      <c r="CB66" s="7">
        <f t="shared" si="291"/>
        <v>443148.67462710856</v>
      </c>
    </row>
    <row r="67" spans="1:80" s="2" customFormat="1" ht="12.75" x14ac:dyDescent="0.2">
      <c r="A67" s="1">
        <f t="shared" si="322"/>
        <v>8</v>
      </c>
      <c r="B67" s="5" t="s">
        <v>52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>
        <v>323000</v>
      </c>
      <c r="AB67" s="6">
        <f t="shared" si="300"/>
        <v>48450</v>
      </c>
      <c r="AC67" s="6">
        <f t="shared" si="301"/>
        <v>17763.638853771597</v>
      </c>
      <c r="AD67" s="6">
        <f t="shared" si="302"/>
        <v>25840</v>
      </c>
      <c r="AE67" s="6">
        <v>0</v>
      </c>
      <c r="AF67" s="6">
        <f t="shared" si="279"/>
        <v>43603.638853771597</v>
      </c>
      <c r="AG67" s="6">
        <v>600000</v>
      </c>
      <c r="AH67" s="6">
        <f t="shared" si="303"/>
        <v>90000</v>
      </c>
      <c r="AI67" s="6">
        <f t="shared" si="304"/>
        <v>33797.96927883364</v>
      </c>
      <c r="AJ67" s="6">
        <f t="shared" si="305"/>
        <v>48000</v>
      </c>
      <c r="AK67" s="6"/>
      <c r="AL67" s="6"/>
      <c r="AM67" s="6">
        <v>379600</v>
      </c>
      <c r="AN67" s="6">
        <f t="shared" si="306"/>
        <v>56940</v>
      </c>
      <c r="AO67" s="6">
        <f t="shared" si="307"/>
        <v>20925.494139534883</v>
      </c>
      <c r="AP67" s="6">
        <f t="shared" si="308"/>
        <v>30368</v>
      </c>
      <c r="AQ67" s="6"/>
      <c r="AR67" s="6">
        <f t="shared" si="281"/>
        <v>51293.494139534887</v>
      </c>
      <c r="AS67" s="6">
        <v>350000</v>
      </c>
      <c r="AT67" s="6">
        <f t="shared" si="309"/>
        <v>52500</v>
      </c>
      <c r="AU67" s="6">
        <f t="shared" si="310"/>
        <v>19325.645161290322</v>
      </c>
      <c r="AV67" s="6">
        <f t="shared" si="311"/>
        <v>28000</v>
      </c>
      <c r="AW67" s="6"/>
      <c r="AX67" s="6">
        <f t="shared" si="282"/>
        <v>47325.645161290318</v>
      </c>
      <c r="AY67" s="6">
        <v>600000</v>
      </c>
      <c r="AZ67" s="6">
        <f t="shared" si="312"/>
        <v>90000</v>
      </c>
      <c r="BA67" s="6">
        <f t="shared" si="313"/>
        <v>33797.96927883364</v>
      </c>
      <c r="BB67" s="6">
        <f t="shared" si="314"/>
        <v>48000</v>
      </c>
      <c r="BC67" s="6">
        <v>0</v>
      </c>
      <c r="BD67" s="6">
        <f t="shared" si="283"/>
        <v>81797.96927883364</v>
      </c>
      <c r="BE67" s="6">
        <v>351600</v>
      </c>
      <c r="BF67" s="6">
        <f t="shared" si="316"/>
        <v>52740</v>
      </c>
      <c r="BG67" s="6">
        <f t="shared" si="317"/>
        <v>19381.99088372093</v>
      </c>
      <c r="BH67" s="6">
        <f t="shared" si="318"/>
        <v>28128</v>
      </c>
      <c r="BI67" s="6"/>
      <c r="BJ67" s="6">
        <f t="shared" si="284"/>
        <v>47509.99088372093</v>
      </c>
      <c r="BK67" s="6"/>
      <c r="BL67" s="6"/>
      <c r="BM67" s="6"/>
      <c r="BN67" s="6"/>
      <c r="BO67" s="6"/>
      <c r="BP67" s="6">
        <f t="shared" si="285"/>
        <v>0</v>
      </c>
      <c r="BQ67" s="6"/>
      <c r="BR67" s="6"/>
      <c r="BS67" s="6"/>
      <c r="BT67" s="6"/>
      <c r="BU67" s="6"/>
      <c r="BV67" s="6">
        <f t="shared" si="286"/>
        <v>0</v>
      </c>
      <c r="BW67" s="7">
        <f t="shared" si="287"/>
        <v>2604200</v>
      </c>
      <c r="BX67" s="7">
        <f t="shared" si="287"/>
        <v>390630</v>
      </c>
      <c r="BY67" s="7">
        <f t="shared" si="288"/>
        <v>144992.707595985</v>
      </c>
      <c r="BZ67" s="7">
        <f t="shared" si="289"/>
        <v>208336</v>
      </c>
      <c r="CA67" s="7">
        <f t="shared" si="290"/>
        <v>0</v>
      </c>
      <c r="CB67" s="7">
        <f t="shared" si="291"/>
        <v>271530.73831715138</v>
      </c>
    </row>
    <row r="68" spans="1:80" s="2" customFormat="1" ht="12.75" x14ac:dyDescent="0.2">
      <c r="A68" s="8"/>
      <c r="B68" s="9" t="s">
        <v>12</v>
      </c>
      <c r="C68" s="4">
        <f t="shared" ref="C68:CB68" si="331">SUM(C60:C67)</f>
        <v>2430000</v>
      </c>
      <c r="D68" s="4">
        <f t="shared" si="331"/>
        <v>364500</v>
      </c>
      <c r="E68" s="4">
        <f t="shared" si="331"/>
        <v>162161</v>
      </c>
      <c r="F68" s="4">
        <f t="shared" si="331"/>
        <v>194400</v>
      </c>
      <c r="G68" s="4">
        <f t="shared" si="331"/>
        <v>12444</v>
      </c>
      <c r="H68" s="4">
        <f t="shared" si="331"/>
        <v>369005</v>
      </c>
      <c r="I68" s="4">
        <f t="shared" si="331"/>
        <v>2430000</v>
      </c>
      <c r="J68" s="4">
        <f t="shared" si="331"/>
        <v>364500</v>
      </c>
      <c r="K68" s="4">
        <f t="shared" si="331"/>
        <v>162161</v>
      </c>
      <c r="L68" s="4">
        <f t="shared" si="331"/>
        <v>194400</v>
      </c>
      <c r="M68" s="4">
        <f t="shared" si="331"/>
        <v>12444</v>
      </c>
      <c r="N68" s="4">
        <f t="shared" si="331"/>
        <v>369005</v>
      </c>
      <c r="O68" s="4">
        <f t="shared" si="331"/>
        <v>2430000</v>
      </c>
      <c r="P68" s="4">
        <f t="shared" si="331"/>
        <v>364500</v>
      </c>
      <c r="Q68" s="4">
        <f t="shared" si="331"/>
        <v>162161</v>
      </c>
      <c r="R68" s="4">
        <f t="shared" si="331"/>
        <v>194400</v>
      </c>
      <c r="S68" s="4">
        <f t="shared" si="331"/>
        <v>12444</v>
      </c>
      <c r="T68" s="4">
        <f t="shared" si="331"/>
        <v>369005</v>
      </c>
      <c r="U68" s="4">
        <f t="shared" si="331"/>
        <v>4009200</v>
      </c>
      <c r="V68" s="4">
        <f t="shared" si="331"/>
        <v>601380</v>
      </c>
      <c r="W68" s="4">
        <f t="shared" si="331"/>
        <v>225868.99999482004</v>
      </c>
      <c r="X68" s="4">
        <f t="shared" si="331"/>
        <v>320736</v>
      </c>
      <c r="Y68" s="4">
        <f t="shared" si="331"/>
        <v>22243.999977984</v>
      </c>
      <c r="Z68" s="4">
        <f t="shared" si="331"/>
        <v>568848.99997280398</v>
      </c>
      <c r="AA68" s="4">
        <f t="shared" si="331"/>
        <v>4271400</v>
      </c>
      <c r="AB68" s="4">
        <f t="shared" si="331"/>
        <v>640710</v>
      </c>
      <c r="AC68" s="4">
        <f t="shared" si="331"/>
        <v>234908.99999999994</v>
      </c>
      <c r="AD68" s="4">
        <f t="shared" si="331"/>
        <v>341712</v>
      </c>
      <c r="AE68" s="4">
        <f t="shared" si="331"/>
        <v>21635.999999999996</v>
      </c>
      <c r="AF68" s="4">
        <f t="shared" si="331"/>
        <v>598257.00000000012</v>
      </c>
      <c r="AG68" s="4">
        <f t="shared" si="331"/>
        <v>4609200</v>
      </c>
      <c r="AH68" s="4">
        <f t="shared" si="331"/>
        <v>691380</v>
      </c>
      <c r="AI68" s="4">
        <f t="shared" si="331"/>
        <v>259636</v>
      </c>
      <c r="AJ68" s="4">
        <f t="shared" si="331"/>
        <v>368736</v>
      </c>
      <c r="AK68" s="4">
        <f t="shared" si="331"/>
        <v>22244.000000000004</v>
      </c>
      <c r="AL68" s="4">
        <f t="shared" si="331"/>
        <v>568818.0307211664</v>
      </c>
      <c r="AM68" s="4">
        <f t="shared" si="331"/>
        <v>4300000</v>
      </c>
      <c r="AN68" s="4">
        <f t="shared" si="331"/>
        <v>645000</v>
      </c>
      <c r="AO68" s="4">
        <f t="shared" si="331"/>
        <v>237038.00000000003</v>
      </c>
      <c r="AP68" s="4">
        <f t="shared" si="331"/>
        <v>344000</v>
      </c>
      <c r="AQ68" s="4">
        <f t="shared" si="331"/>
        <v>21652</v>
      </c>
      <c r="AR68" s="4">
        <f t="shared" si="331"/>
        <v>602690</v>
      </c>
      <c r="AS68" s="4">
        <f t="shared" si="331"/>
        <v>4340000</v>
      </c>
      <c r="AT68" s="4">
        <f t="shared" si="331"/>
        <v>651000</v>
      </c>
      <c r="AU68" s="4">
        <f t="shared" si="331"/>
        <v>239637.99999999997</v>
      </c>
      <c r="AV68" s="4">
        <f t="shared" si="331"/>
        <v>347200</v>
      </c>
      <c r="AW68" s="4">
        <f t="shared" si="331"/>
        <v>22052.000000000004</v>
      </c>
      <c r="AX68" s="4">
        <f t="shared" si="331"/>
        <v>608890</v>
      </c>
      <c r="AY68" s="4">
        <f t="shared" si="331"/>
        <v>4609200</v>
      </c>
      <c r="AZ68" s="4">
        <f t="shared" si="331"/>
        <v>691380</v>
      </c>
      <c r="BA68" s="4">
        <f t="shared" si="331"/>
        <v>259636</v>
      </c>
      <c r="BB68" s="4">
        <f t="shared" si="331"/>
        <v>368736</v>
      </c>
      <c r="BC68" s="4">
        <f t="shared" si="331"/>
        <v>22244.000000000004</v>
      </c>
      <c r="BD68" s="4">
        <f t="shared" si="331"/>
        <v>650616</v>
      </c>
      <c r="BE68" s="4">
        <f t="shared" si="331"/>
        <v>4300000</v>
      </c>
      <c r="BF68" s="4">
        <f t="shared" si="331"/>
        <v>645000</v>
      </c>
      <c r="BG68" s="4">
        <f t="shared" si="331"/>
        <v>237038</v>
      </c>
      <c r="BH68" s="4">
        <f t="shared" si="331"/>
        <v>344000</v>
      </c>
      <c r="BI68" s="4">
        <f t="shared" si="331"/>
        <v>21652</v>
      </c>
      <c r="BJ68" s="4">
        <f t="shared" si="331"/>
        <v>602689.99999999988</v>
      </c>
      <c r="BK68" s="4">
        <f t="shared" si="331"/>
        <v>3950000</v>
      </c>
      <c r="BL68" s="4">
        <f t="shared" si="331"/>
        <v>592500</v>
      </c>
      <c r="BM68" s="4">
        <f t="shared" si="331"/>
        <v>237037.99999999997</v>
      </c>
      <c r="BN68" s="4">
        <f t="shared" si="331"/>
        <v>316000</v>
      </c>
      <c r="BO68" s="4">
        <f t="shared" si="331"/>
        <v>21652.000000000004</v>
      </c>
      <c r="BP68" s="4">
        <f t="shared" si="331"/>
        <v>574690</v>
      </c>
      <c r="BQ68" s="4">
        <f t="shared" si="331"/>
        <v>1500000</v>
      </c>
      <c r="BR68" s="4">
        <f t="shared" si="331"/>
        <v>225000</v>
      </c>
      <c r="BS68" s="4">
        <f t="shared" si="331"/>
        <v>115800</v>
      </c>
      <c r="BT68" s="4">
        <f t="shared" si="331"/>
        <v>120000</v>
      </c>
      <c r="BU68" s="4">
        <f t="shared" si="331"/>
        <v>6580</v>
      </c>
      <c r="BV68" s="4">
        <f t="shared" si="331"/>
        <v>242380</v>
      </c>
      <c r="BW68" s="4">
        <f t="shared" si="331"/>
        <v>43179000</v>
      </c>
      <c r="BX68" s="4">
        <f t="shared" si="331"/>
        <v>6476850</v>
      </c>
      <c r="BY68" s="4">
        <f t="shared" si="331"/>
        <v>2533084.99999482</v>
      </c>
      <c r="BZ68" s="4">
        <f t="shared" si="331"/>
        <v>3454320</v>
      </c>
      <c r="CA68" s="4">
        <f t="shared" si="331"/>
        <v>219287.999977984</v>
      </c>
      <c r="CB68" s="4">
        <f t="shared" si="331"/>
        <v>6124895.0306939706</v>
      </c>
    </row>
    <row r="69" spans="1:80" s="2" customFormat="1" ht="12.75" x14ac:dyDescent="0.2">
      <c r="A69" s="30"/>
      <c r="B69" s="27" t="s">
        <v>59</v>
      </c>
      <c r="C69" s="31">
        <v>0</v>
      </c>
      <c r="D69" s="31">
        <v>730000</v>
      </c>
      <c r="E69" s="31">
        <v>366000</v>
      </c>
      <c r="F69" s="31">
        <v>366000</v>
      </c>
      <c r="G69" s="31">
        <v>0</v>
      </c>
      <c r="H69" s="31">
        <f>+E69+F69+G69</f>
        <v>732000</v>
      </c>
      <c r="I69" s="31">
        <v>0</v>
      </c>
      <c r="J69" s="31">
        <v>370000</v>
      </c>
      <c r="K69" s="31">
        <v>185000</v>
      </c>
      <c r="L69" s="31">
        <v>195000</v>
      </c>
      <c r="M69" s="31">
        <v>0</v>
      </c>
      <c r="N69" s="31">
        <f>+K69+L69+M69</f>
        <v>380000</v>
      </c>
      <c r="O69" s="31">
        <v>0</v>
      </c>
      <c r="P69" s="31">
        <v>364500</v>
      </c>
      <c r="Q69" s="31">
        <v>182250</v>
      </c>
      <c r="R69" s="31">
        <v>194400</v>
      </c>
      <c r="S69" s="31">
        <v>0</v>
      </c>
      <c r="T69" s="31">
        <f>+Q69+R69+S69</f>
        <v>376650</v>
      </c>
      <c r="U69" s="31">
        <v>0</v>
      </c>
      <c r="V69" s="31">
        <v>364500</v>
      </c>
      <c r="W69" s="31">
        <v>182250</v>
      </c>
      <c r="X69" s="31">
        <v>194400</v>
      </c>
      <c r="Y69" s="31">
        <v>0</v>
      </c>
      <c r="Z69" s="31">
        <f>W69+X69+Y69</f>
        <v>376650</v>
      </c>
      <c r="AA69" s="31">
        <v>0</v>
      </c>
      <c r="AB69" s="31">
        <v>540000</v>
      </c>
      <c r="AC69" s="31">
        <v>270000</v>
      </c>
      <c r="AD69" s="31">
        <v>288000</v>
      </c>
      <c r="AE69" s="31">
        <v>0</v>
      </c>
      <c r="AF69" s="31">
        <f>+AC69+AD69+AE69</f>
        <v>558000</v>
      </c>
      <c r="AG69" s="31">
        <v>0</v>
      </c>
      <c r="AH69" s="31">
        <v>877600</v>
      </c>
      <c r="AI69" s="31">
        <v>470000</v>
      </c>
      <c r="AJ69" s="31">
        <v>470000</v>
      </c>
      <c r="AK69" s="31">
        <v>0</v>
      </c>
      <c r="AL69" s="31">
        <f>+AI69+AJ69+AK69</f>
        <v>940000</v>
      </c>
      <c r="AM69" s="31">
        <v>13151257</v>
      </c>
      <c r="AN69" s="31">
        <v>695000</v>
      </c>
      <c r="AO69" s="31">
        <v>350000</v>
      </c>
      <c r="AP69" s="31">
        <v>370000</v>
      </c>
      <c r="AQ69" s="31">
        <v>0</v>
      </c>
      <c r="AR69" s="31">
        <f>AO69+AP69+AQ69</f>
        <v>720000</v>
      </c>
      <c r="AS69" s="31">
        <v>3000000</v>
      </c>
      <c r="AT69" s="31">
        <v>645000</v>
      </c>
      <c r="AU69" s="31">
        <v>322500</v>
      </c>
      <c r="AV69" s="31">
        <v>344000</v>
      </c>
      <c r="AW69" s="31">
        <v>0</v>
      </c>
      <c r="AX69" s="31">
        <f>AU69+AV69+AW69</f>
        <v>666500</v>
      </c>
      <c r="AY69" s="31">
        <v>0</v>
      </c>
      <c r="AZ69" s="31">
        <v>0</v>
      </c>
      <c r="BA69" s="31">
        <v>0</v>
      </c>
      <c r="BB69" s="31">
        <v>0</v>
      </c>
      <c r="BC69" s="31">
        <v>0</v>
      </c>
      <c r="BD69" s="31">
        <f>+BA69+BB69+BC69</f>
        <v>0</v>
      </c>
      <c r="BE69" s="31">
        <v>0</v>
      </c>
      <c r="BF69" s="31">
        <v>695000</v>
      </c>
      <c r="BG69" s="31">
        <v>350000</v>
      </c>
      <c r="BH69" s="31">
        <v>370000</v>
      </c>
      <c r="BI69" s="31">
        <v>0</v>
      </c>
      <c r="BJ69" s="31">
        <f>+BG69+BH69+BI69</f>
        <v>720000</v>
      </c>
      <c r="BK69" s="31">
        <v>0</v>
      </c>
      <c r="BL69" s="31">
        <v>1390000</v>
      </c>
      <c r="BM69" s="31">
        <v>700000</v>
      </c>
      <c r="BN69" s="31">
        <v>740000</v>
      </c>
      <c r="BO69" s="31">
        <v>0</v>
      </c>
      <c r="BP69" s="31">
        <f>BM69+BN69+BO69</f>
        <v>1440000</v>
      </c>
      <c r="BQ69" s="31">
        <v>0</v>
      </c>
      <c r="BR69" s="31">
        <v>600000</v>
      </c>
      <c r="BS69" s="31">
        <v>300000</v>
      </c>
      <c r="BT69" s="31">
        <v>320000</v>
      </c>
      <c r="BU69" s="31">
        <v>0</v>
      </c>
      <c r="BV69" s="31">
        <f>+BS69+BT69+BU69</f>
        <v>620000</v>
      </c>
      <c r="BW69" s="28">
        <f>C69+I69+O69+U69+AA69+AG69+AM69+AS69+AY69+BE69+BK69+BQ69</f>
        <v>16151257</v>
      </c>
      <c r="BX69" s="28">
        <f>D69+J69+P69+V69+AB69+AH69+AN69+AT69+AZ69+BF69+BL69+BR69</f>
        <v>7271600</v>
      </c>
      <c r="BY69" s="28">
        <f>E69+K69+Q69+W69+AC69+AI69+AO69+AU69+BA69+BG69+BM69+BS69</f>
        <v>3678000</v>
      </c>
      <c r="BZ69" s="28">
        <f>F69+L69+R69+X69+AD69+AJ69+AP69+AV69+BB69+BH69+BN69+BT69</f>
        <v>3851800</v>
      </c>
      <c r="CA69" s="28">
        <f>G69+M69+S69+Y69+AE69+AK69+AQ69+AW69+BC69+BI69+BO69+BU69</f>
        <v>0</v>
      </c>
      <c r="CB69" s="28">
        <f>BY69+BZ69+CA69</f>
        <v>7529800</v>
      </c>
    </row>
    <row r="70" spans="1:80" s="2" customFormat="1" ht="12.75" x14ac:dyDescent="0.2">
      <c r="A70" s="21"/>
      <c r="B70" s="22" t="s">
        <v>60</v>
      </c>
      <c r="C70" s="23">
        <f>+BQ58+C68-C69</f>
        <v>31259273.36999999</v>
      </c>
      <c r="D70" s="23">
        <f>+BR58+D68-D69</f>
        <v>-2628374.1124999998</v>
      </c>
      <c r="E70" s="23">
        <f>+BS58+E68-E69</f>
        <v>-78330.520444396301</v>
      </c>
      <c r="F70" s="23">
        <f>BT58+F68-F69</f>
        <v>-1337960.3063530708</v>
      </c>
      <c r="G70" s="23">
        <f>BU58+G68-G69</f>
        <v>-193642.58030664231</v>
      </c>
      <c r="H70" s="23">
        <f>BV58+H68-H69</f>
        <v>-1284735.1071264916</v>
      </c>
      <c r="I70" s="23">
        <f>C70+I68-I69</f>
        <v>33689273.36999999</v>
      </c>
      <c r="J70" s="23">
        <f>D70+J68-J69</f>
        <v>-2633874.1124999998</v>
      </c>
      <c r="K70" s="23">
        <f t="shared" ref="K70:T70" si="332">+E70+K68-K69</f>
        <v>-101169.5204443963</v>
      </c>
      <c r="L70" s="23">
        <f t="shared" si="332"/>
        <v>-1338560.3063530708</v>
      </c>
      <c r="M70" s="23">
        <f t="shared" si="332"/>
        <v>-181198.58030664231</v>
      </c>
      <c r="N70" s="23">
        <f t="shared" si="332"/>
        <v>-1295730.1071264916</v>
      </c>
      <c r="O70" s="23">
        <f t="shared" si="332"/>
        <v>36119273.36999999</v>
      </c>
      <c r="P70" s="23">
        <f t="shared" si="332"/>
        <v>-2633874.1124999998</v>
      </c>
      <c r="Q70" s="23">
        <f t="shared" si="332"/>
        <v>-121258.5204443963</v>
      </c>
      <c r="R70" s="23">
        <f t="shared" si="332"/>
        <v>-1338560.3063530708</v>
      </c>
      <c r="S70" s="23">
        <f t="shared" si="332"/>
        <v>-168754.58030664231</v>
      </c>
      <c r="T70" s="23">
        <f t="shared" si="332"/>
        <v>-1303375.1071264916</v>
      </c>
      <c r="U70" s="23">
        <f>O70+U68-U69</f>
        <v>40128473.36999999</v>
      </c>
      <c r="V70" s="23">
        <f>P70+V68-V69</f>
        <v>-2396994.1124999998</v>
      </c>
      <c r="W70" s="23">
        <f>+Q70+W68-W69</f>
        <v>-77639.520449576259</v>
      </c>
      <c r="X70" s="23">
        <f>R70+X68-X69</f>
        <v>-1212224.3063530708</v>
      </c>
      <c r="Y70" s="23">
        <f>+S70+Y68-Y69</f>
        <v>-146510.58032865831</v>
      </c>
      <c r="Z70" s="23">
        <f>T70+Z68-Z69</f>
        <v>-1111176.1071536876</v>
      </c>
      <c r="AA70" s="23">
        <f>U70+AA68-AA69</f>
        <v>44399873.36999999</v>
      </c>
      <c r="AB70" s="23">
        <f>V70+AB68-AB69</f>
        <v>-2296284.1124999998</v>
      </c>
      <c r="AC70" s="23">
        <f>+W70+AC68-AC69</f>
        <v>-112730.52044957632</v>
      </c>
      <c r="AD70" s="23">
        <f>X70+AD68-AD69</f>
        <v>-1158512.3063530708</v>
      </c>
      <c r="AE70" s="23">
        <f t="shared" ref="AE70:AL70" si="333">+Y70+AE68-AE69</f>
        <v>-124874.58032865831</v>
      </c>
      <c r="AF70" s="23">
        <f t="shared" si="333"/>
        <v>-1070919.1071536876</v>
      </c>
      <c r="AG70" s="23">
        <f t="shared" si="333"/>
        <v>49009073.36999999</v>
      </c>
      <c r="AH70" s="23">
        <f t="shared" si="333"/>
        <v>-2482504.1124999998</v>
      </c>
      <c r="AI70" s="23">
        <f t="shared" si="333"/>
        <v>-323094.52044957632</v>
      </c>
      <c r="AJ70" s="23">
        <f t="shared" si="333"/>
        <v>-1259776.3063530708</v>
      </c>
      <c r="AK70" s="23">
        <f t="shared" si="333"/>
        <v>-102630.58032865831</v>
      </c>
      <c r="AL70" s="23">
        <f t="shared" si="333"/>
        <v>-1442101.0764325212</v>
      </c>
      <c r="AM70" s="23">
        <f>AG70+AM68-AM69</f>
        <v>40157816.36999999</v>
      </c>
      <c r="AN70" s="23">
        <f>AH70+AN68-AN69</f>
        <v>-2532504.1124999998</v>
      </c>
      <c r="AO70" s="23">
        <f>+AI70+AO68-AO69</f>
        <v>-436056.52044957632</v>
      </c>
      <c r="AP70" s="23">
        <f>+AJ70+AP68-AP69</f>
        <v>-1285776.3063530708</v>
      </c>
      <c r="AQ70" s="23">
        <f>+AK70+AQ68-AQ69</f>
        <v>-80978.58032865831</v>
      </c>
      <c r="AR70" s="23">
        <f>+AL70+AR68-AR69</f>
        <v>-1559411.0764325212</v>
      </c>
      <c r="AS70" s="23">
        <f>AM70+AS68-AS69</f>
        <v>41497816.36999999</v>
      </c>
      <c r="AT70" s="23">
        <f t="shared" ref="AT70:BD70" si="334">+AN70+AT68-AT69</f>
        <v>-2526504.1124999998</v>
      </c>
      <c r="AU70" s="23">
        <f t="shared" si="334"/>
        <v>-518918.52044957632</v>
      </c>
      <c r="AV70" s="23">
        <f t="shared" si="334"/>
        <v>-1282576.3063530708</v>
      </c>
      <c r="AW70" s="23">
        <f t="shared" si="334"/>
        <v>-58926.58032865831</v>
      </c>
      <c r="AX70" s="23">
        <f t="shared" si="334"/>
        <v>-1617021.0764325212</v>
      </c>
      <c r="AY70" s="23">
        <f t="shared" si="334"/>
        <v>46107016.36999999</v>
      </c>
      <c r="AZ70" s="23">
        <f t="shared" si="334"/>
        <v>-1835124.1124999998</v>
      </c>
      <c r="BA70" s="23">
        <f t="shared" si="334"/>
        <v>-259282.52044957632</v>
      </c>
      <c r="BB70" s="23">
        <f t="shared" si="334"/>
        <v>-913840.30635307077</v>
      </c>
      <c r="BC70" s="23">
        <f t="shared" si="334"/>
        <v>-36682.58032865831</v>
      </c>
      <c r="BD70" s="23">
        <f t="shared" si="334"/>
        <v>-966405.07643252122</v>
      </c>
      <c r="BE70" s="23">
        <f>AY70+BE68-BE69</f>
        <v>50407016.36999999</v>
      </c>
      <c r="BF70" s="23">
        <f>+AZ70+BF68-BF69</f>
        <v>-1885124.1124999998</v>
      </c>
      <c r="BG70" s="23">
        <f>+BA70+BG68-BG69</f>
        <v>-372244.52044957632</v>
      </c>
      <c r="BH70" s="23">
        <f>+BB70+BH68-BH69</f>
        <v>-939840.30635307077</v>
      </c>
      <c r="BI70" s="23">
        <f>+BC70+BI68-BI69</f>
        <v>-15030.58032865831</v>
      </c>
      <c r="BJ70" s="23">
        <f>+BD70+BJ68-BJ69</f>
        <v>-1083715.0764325215</v>
      </c>
      <c r="BK70" s="23">
        <f t="shared" ref="BK70:BR70" si="335">BE70+BK68-BK69</f>
        <v>54357016.36999999</v>
      </c>
      <c r="BL70" s="23">
        <f t="shared" si="335"/>
        <v>-2682624.1124999998</v>
      </c>
      <c r="BM70" s="23">
        <f t="shared" si="335"/>
        <v>-835206.52044957632</v>
      </c>
      <c r="BN70" s="23">
        <f t="shared" si="335"/>
        <v>-1363840.3063530708</v>
      </c>
      <c r="BO70" s="23">
        <f t="shared" si="335"/>
        <v>6621.4196713416932</v>
      </c>
      <c r="BP70" s="23">
        <f t="shared" si="335"/>
        <v>-1949025.0764325215</v>
      </c>
      <c r="BQ70" s="23">
        <f t="shared" si="335"/>
        <v>55857016.36999999</v>
      </c>
      <c r="BR70" s="23">
        <f t="shared" si="335"/>
        <v>-3057624.1124999998</v>
      </c>
      <c r="BS70" s="23">
        <f>+BM70+BS68-BS69</f>
        <v>-1019406.5204495763</v>
      </c>
      <c r="BT70" s="23">
        <f>+BN70+BT68-BT69</f>
        <v>-1563840.3063530708</v>
      </c>
      <c r="BU70" s="23">
        <f>+BO70+BU68-BU69</f>
        <v>13201.419671341693</v>
      </c>
      <c r="BV70" s="23">
        <f>+BP70+BV68-BV69</f>
        <v>-2326645.0764325215</v>
      </c>
      <c r="BW70" s="23">
        <f>BW58+BW68-BW69</f>
        <v>55857016.36999999</v>
      </c>
      <c r="BX70" s="23">
        <f t="shared" ref="BX70:CB70" si="336">BX58+BX68-BX69</f>
        <v>-3057624.1125000007</v>
      </c>
      <c r="BY70" s="23">
        <f t="shared" si="336"/>
        <v>-569094.52049593441</v>
      </c>
      <c r="BZ70" s="23">
        <f t="shared" si="336"/>
        <v>-1563840.3063530712</v>
      </c>
      <c r="CA70" s="23">
        <f t="shared" si="336"/>
        <v>13201.41967134166</v>
      </c>
      <c r="CB70" s="23">
        <f t="shared" si="336"/>
        <v>-2326645.0764325187</v>
      </c>
    </row>
    <row r="71" spans="1:80" s="2" customFormat="1" ht="12.75" x14ac:dyDescent="0.2">
      <c r="A71" s="15"/>
      <c r="B71" s="14" t="s">
        <v>41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</row>
    <row r="72" spans="1:80" s="2" customFormat="1" ht="12.75" x14ac:dyDescent="0.2">
      <c r="A72" s="1">
        <v>1</v>
      </c>
      <c r="B72" s="5" t="s">
        <v>15</v>
      </c>
      <c r="C72" s="6">
        <v>886000</v>
      </c>
      <c r="D72" s="6">
        <f>C72*0.15</f>
        <v>132900</v>
      </c>
      <c r="E72" s="6">
        <f>198414/2645520*C72</f>
        <v>66450</v>
      </c>
      <c r="F72" s="6">
        <f>C72*0.08</f>
        <v>70880</v>
      </c>
      <c r="G72" s="6"/>
      <c r="H72" s="6">
        <f t="shared" ref="H72:H75" si="337">+E72+F72+G72</f>
        <v>137330</v>
      </c>
      <c r="I72" s="6">
        <v>886000</v>
      </c>
      <c r="J72" s="6">
        <f>I72*0.15</f>
        <v>132900</v>
      </c>
      <c r="K72" s="6">
        <f>231600/3088000*I72</f>
        <v>66450</v>
      </c>
      <c r="L72" s="6">
        <f>I72*0.08</f>
        <v>70880</v>
      </c>
      <c r="M72" s="6"/>
      <c r="N72" s="6">
        <f t="shared" ref="N72:N75" si="338">K72+L72+M72</f>
        <v>137330</v>
      </c>
      <c r="O72" s="6">
        <v>886000</v>
      </c>
      <c r="P72" s="6">
        <f>O72*0.15</f>
        <v>132900</v>
      </c>
      <c r="Q72" s="6">
        <f>330300/4404000*O72</f>
        <v>66450</v>
      </c>
      <c r="R72" s="6">
        <f>+O72*0.08</f>
        <v>70880</v>
      </c>
      <c r="S72" s="6"/>
      <c r="T72" s="6">
        <f t="shared" ref="T72:T77" si="339">Q72+R72+S72</f>
        <v>137330</v>
      </c>
      <c r="U72" s="6">
        <v>886000</v>
      </c>
      <c r="V72" s="6">
        <f>U72*0.15</f>
        <v>132900</v>
      </c>
      <c r="W72" s="6">
        <f>U72*0.075</f>
        <v>66450</v>
      </c>
      <c r="X72" s="6">
        <f>U72*0.08</f>
        <v>70880</v>
      </c>
      <c r="Y72" s="6"/>
      <c r="Z72" s="6">
        <f t="shared" ref="Z72:Z77" si="340">W72+X72+Y72</f>
        <v>137330</v>
      </c>
      <c r="AA72" s="6">
        <v>886000</v>
      </c>
      <c r="AB72" s="6">
        <f>AA72*0.15</f>
        <v>132900</v>
      </c>
      <c r="AC72" s="6">
        <f>+AA72*0.075</f>
        <v>66450</v>
      </c>
      <c r="AD72" s="6">
        <f>+AA72*0.08</f>
        <v>70880</v>
      </c>
      <c r="AE72" s="6"/>
      <c r="AF72" s="6">
        <f t="shared" ref="AF72:AF77" si="341">AC72+AD72+AE72</f>
        <v>137330</v>
      </c>
      <c r="AG72" s="6">
        <v>886000</v>
      </c>
      <c r="AH72" s="6">
        <f>AG72*0.15</f>
        <v>132900</v>
      </c>
      <c r="AI72" s="6">
        <f>AG72*0.075</f>
        <v>66450</v>
      </c>
      <c r="AJ72" s="6">
        <f>+AG72*0.08</f>
        <v>70880</v>
      </c>
      <c r="AK72" s="6"/>
      <c r="AL72" s="6">
        <f t="shared" ref="AL72:AL77" si="342">AI72+AJ72+AK72</f>
        <v>137330</v>
      </c>
      <c r="AM72" s="6">
        <v>886000</v>
      </c>
      <c r="AN72" s="6">
        <f>AM72*0.15</f>
        <v>132900</v>
      </c>
      <c r="AO72" s="6">
        <f>AM72*0.075</f>
        <v>66450</v>
      </c>
      <c r="AP72" s="6">
        <f>+AM72*0.08</f>
        <v>70880</v>
      </c>
      <c r="AQ72" s="6"/>
      <c r="AR72" s="6">
        <f t="shared" ref="AR72:AR77" si="343">AO72+AP72+AQ72</f>
        <v>137330</v>
      </c>
      <c r="AS72" s="6">
        <v>886000</v>
      </c>
      <c r="AT72" s="6">
        <f>+AS72*0.15</f>
        <v>132900</v>
      </c>
      <c r="AU72" s="6">
        <f>AS72*0.075</f>
        <v>66450</v>
      </c>
      <c r="AV72" s="6">
        <f>+AS72*0.08</f>
        <v>70880</v>
      </c>
      <c r="AW72" s="6"/>
      <c r="AX72" s="6">
        <f t="shared" ref="AX72:AX77" si="344">AU72+AV72+AW72</f>
        <v>137330</v>
      </c>
      <c r="AY72" s="6">
        <v>886000</v>
      </c>
      <c r="AZ72" s="6">
        <f>AY72*0.15</f>
        <v>132900</v>
      </c>
      <c r="BA72" s="6">
        <f>+AY72*0.075</f>
        <v>66450</v>
      </c>
      <c r="BB72" s="6">
        <f>+AY72*0.08</f>
        <v>70880</v>
      </c>
      <c r="BC72" s="6"/>
      <c r="BD72" s="6">
        <f t="shared" ref="BD72:BD77" si="345">BA72+BB72+BC72</f>
        <v>137330</v>
      </c>
      <c r="BE72" s="6">
        <v>450000</v>
      </c>
      <c r="BF72" s="6">
        <f>BE72*0.15</f>
        <v>67500</v>
      </c>
      <c r="BG72" s="6">
        <f>+BE72*0.075</f>
        <v>33750</v>
      </c>
      <c r="BH72" s="6">
        <f>+BE72*0.08</f>
        <v>36000</v>
      </c>
      <c r="BI72" s="6"/>
      <c r="BJ72" s="6">
        <f t="shared" ref="BJ72:BJ77" si="346">BG72+BH72+BI72</f>
        <v>69750</v>
      </c>
      <c r="BK72" s="6">
        <v>450000</v>
      </c>
      <c r="BL72" s="6">
        <f>BK72*0.15</f>
        <v>67500</v>
      </c>
      <c r="BM72" s="6">
        <f>+BK72*0.075</f>
        <v>33750</v>
      </c>
      <c r="BN72" s="6">
        <f>+BK72*0.08</f>
        <v>36000</v>
      </c>
      <c r="BO72" s="6"/>
      <c r="BP72" s="6">
        <f t="shared" ref="BP72:BP77" si="347">BM72+BN72+BO72</f>
        <v>69750</v>
      </c>
      <c r="BQ72" s="6">
        <v>450000</v>
      </c>
      <c r="BR72" s="6">
        <f>BQ72*0.15</f>
        <v>67500</v>
      </c>
      <c r="BS72" s="6">
        <f>+BQ72*0.075</f>
        <v>33750</v>
      </c>
      <c r="BT72" s="6">
        <f>+BQ72*0.08</f>
        <v>36000</v>
      </c>
      <c r="BU72" s="6"/>
      <c r="BV72" s="6">
        <f t="shared" ref="BV72:BV77" si="348">BS72+BT72+BU72</f>
        <v>69750</v>
      </c>
      <c r="BW72" s="7">
        <f t="shared" ref="BW72:BX77" si="349">C72+I72+O72+U72+AA72+AG72+AM72+AS72+AY72+BE72+BK72+BQ72</f>
        <v>9324000</v>
      </c>
      <c r="BX72" s="7">
        <f t="shared" si="349"/>
        <v>1398600</v>
      </c>
      <c r="BY72" s="7">
        <f t="shared" ref="BY72:BY77" si="350">E72+K72+Q72+W72+AC72+AI72+AO72+AU72+BA72+BG72+BM72+BS72</f>
        <v>699300</v>
      </c>
      <c r="BZ72" s="7">
        <f t="shared" ref="BZ72:BZ77" si="351">F72+L72+R72+X72+AD72+AJ72+AP72+AV72+BB72+BH72+BN72+BT72</f>
        <v>745920</v>
      </c>
      <c r="CA72" s="7">
        <f t="shared" ref="CA72:CA77" si="352">G72+M72+S72+Y72+AE72+AK72+AQ72+AW72+BC72+BI72+BO72+BU72</f>
        <v>0</v>
      </c>
      <c r="CB72" s="7">
        <f t="shared" ref="CB72:CB77" si="353">H72+N72+T72+Z72+AF72+AL72+AR72+AX72+BD72+BJ72+BP72+BV72</f>
        <v>1445220</v>
      </c>
    </row>
    <row r="73" spans="1:80" s="2" customFormat="1" ht="12.75" x14ac:dyDescent="0.2">
      <c r="A73" s="1">
        <f>A72+1</f>
        <v>2</v>
      </c>
      <c r="B73" s="5" t="s">
        <v>53</v>
      </c>
      <c r="C73" s="6">
        <v>605360</v>
      </c>
      <c r="D73" s="6">
        <f t="shared" ref="D73:D75" si="354">C73*0.15</f>
        <v>90804</v>
      </c>
      <c r="E73" s="6">
        <f t="shared" ref="E73:E75" si="355">198414/2645520*C73</f>
        <v>45402</v>
      </c>
      <c r="F73" s="6">
        <f t="shared" ref="F73:F75" si="356">C73*0.08</f>
        <v>48428.800000000003</v>
      </c>
      <c r="G73" s="6">
        <f>26455/1759520*C73</f>
        <v>9101.7998090388282</v>
      </c>
      <c r="H73" s="6">
        <f t="shared" si="337"/>
        <v>102932.59980903883</v>
      </c>
      <c r="I73" s="6">
        <v>658000</v>
      </c>
      <c r="J73" s="6">
        <f t="shared" ref="J73:J75" si="357">I73*0.15</f>
        <v>98700</v>
      </c>
      <c r="K73" s="6">
        <f t="shared" ref="K73:K75" si="358">231600/3088000*I73</f>
        <v>49350</v>
      </c>
      <c r="L73" s="6">
        <f t="shared" ref="L73:L75" si="359">I73*0.08</f>
        <v>52640</v>
      </c>
      <c r="M73" s="6">
        <f>30880/2202000*I73</f>
        <v>9227.5386012715717</v>
      </c>
      <c r="N73" s="6">
        <f t="shared" si="338"/>
        <v>111217.53860127158</v>
      </c>
      <c r="O73" s="6">
        <v>658000</v>
      </c>
      <c r="P73" s="6">
        <f t="shared" ref="P73:P77" si="360">O73*0.15</f>
        <v>98700</v>
      </c>
      <c r="Q73" s="6">
        <f t="shared" ref="Q73:Q77" si="361">330300/4404000*O73</f>
        <v>49350</v>
      </c>
      <c r="R73" s="6">
        <f t="shared" ref="R73:R77" si="362">+O73*0.08</f>
        <v>52640</v>
      </c>
      <c r="S73" s="6">
        <f>44040/3518000*O73</f>
        <v>8237.157475838545</v>
      </c>
      <c r="T73" s="6">
        <f t="shared" si="339"/>
        <v>110227.15747583854</v>
      </c>
      <c r="U73" s="6">
        <v>658000</v>
      </c>
      <c r="V73" s="6">
        <f t="shared" ref="V73:V77" si="363">U73*0.15</f>
        <v>98700</v>
      </c>
      <c r="W73" s="6">
        <f t="shared" ref="W73:W77" si="364">U73*0.075</f>
        <v>49350</v>
      </c>
      <c r="X73" s="6">
        <f t="shared" ref="X73:X77" si="365">U73*0.08</f>
        <v>52640</v>
      </c>
      <c r="Y73" s="6">
        <f>44040/3518000*U73</f>
        <v>8237.157475838545</v>
      </c>
      <c r="Z73" s="6">
        <f t="shared" si="340"/>
        <v>110227.15747583854</v>
      </c>
      <c r="AA73" s="6">
        <v>658000</v>
      </c>
      <c r="AB73" s="6">
        <f t="shared" ref="AB73:AB77" si="366">AA73*0.15</f>
        <v>98700</v>
      </c>
      <c r="AC73" s="6">
        <f t="shared" ref="AC73:AC77" si="367">+AA73*0.075</f>
        <v>49350</v>
      </c>
      <c r="AD73" s="6">
        <f t="shared" ref="AD73:AD77" si="368">+AA73*0.08</f>
        <v>52640</v>
      </c>
      <c r="AE73" s="6">
        <f>44040/3518000*AA73</f>
        <v>8237.157475838545</v>
      </c>
      <c r="AF73" s="6">
        <f t="shared" si="341"/>
        <v>110227.15747583854</v>
      </c>
      <c r="AG73" s="6">
        <v>658000</v>
      </c>
      <c r="AH73" s="6">
        <f t="shared" ref="AH73:AH77" si="369">AG73*0.15</f>
        <v>98700</v>
      </c>
      <c r="AI73" s="6">
        <f t="shared" ref="AI73:AI77" si="370">AG73*0.075</f>
        <v>49350</v>
      </c>
      <c r="AJ73" s="6">
        <f t="shared" ref="AJ73:AJ77" si="371">+AG73*0.08</f>
        <v>52640</v>
      </c>
      <c r="AK73" s="6">
        <f>44040/3518000*AG73</f>
        <v>8237.157475838545</v>
      </c>
      <c r="AL73" s="6">
        <f t="shared" si="342"/>
        <v>110227.15747583854</v>
      </c>
      <c r="AM73" s="6">
        <v>658000</v>
      </c>
      <c r="AN73" s="6">
        <f t="shared" ref="AN73:AN77" si="372">AM73*0.15</f>
        <v>98700</v>
      </c>
      <c r="AO73" s="6">
        <f t="shared" ref="AO73:AO77" si="373">AM73*0.075</f>
        <v>49350</v>
      </c>
      <c r="AP73" s="6">
        <f t="shared" ref="AP73:AP77" si="374">+AM73*0.08</f>
        <v>52640</v>
      </c>
      <c r="AQ73" s="6">
        <f>44040/3518000*AM73</f>
        <v>8237.157475838545</v>
      </c>
      <c r="AR73" s="6">
        <f t="shared" si="343"/>
        <v>110227.15747583854</v>
      </c>
      <c r="AS73" s="6">
        <v>658000</v>
      </c>
      <c r="AT73" s="6">
        <f t="shared" ref="AT73:AT77" si="375">+AS73*0.15</f>
        <v>98700</v>
      </c>
      <c r="AU73" s="6">
        <f t="shared" ref="AU73:AU77" si="376">AS73*0.075</f>
        <v>49350</v>
      </c>
      <c r="AV73" s="6">
        <f t="shared" ref="AV73:AV77" si="377">+AS73*0.08</f>
        <v>52640</v>
      </c>
      <c r="AW73" s="6">
        <f>44040/3518000*AS73</f>
        <v>8237.157475838545</v>
      </c>
      <c r="AX73" s="6">
        <f t="shared" si="344"/>
        <v>110227.15747583854</v>
      </c>
      <c r="AY73" s="6">
        <v>658000</v>
      </c>
      <c r="AZ73" s="6">
        <f t="shared" ref="AZ73:AZ77" si="378">AY73*0.15</f>
        <v>98700</v>
      </c>
      <c r="BA73" s="6">
        <f t="shared" ref="BA73:BA77" si="379">+AY73*0.075</f>
        <v>49350</v>
      </c>
      <c r="BB73" s="6">
        <f t="shared" ref="BB73:BB77" si="380">+AY73*0.08</f>
        <v>52640</v>
      </c>
      <c r="BC73" s="6">
        <f>44040/3518000*AY73</f>
        <v>8237.157475838545</v>
      </c>
      <c r="BD73" s="6">
        <f t="shared" si="345"/>
        <v>110227.15747583854</v>
      </c>
      <c r="BE73" s="6">
        <v>436000</v>
      </c>
      <c r="BF73" s="6">
        <f>BE73*0.15</f>
        <v>65400</v>
      </c>
      <c r="BG73" s="6">
        <f>+BE73*0.075</f>
        <v>32700</v>
      </c>
      <c r="BH73" s="6">
        <f>+BE73*0.08</f>
        <v>34880</v>
      </c>
      <c r="BI73" s="6">
        <v>8860</v>
      </c>
      <c r="BJ73" s="6">
        <f t="shared" si="346"/>
        <v>76440</v>
      </c>
      <c r="BK73" s="6">
        <v>436000</v>
      </c>
      <c r="BL73" s="6">
        <f>BK73*0.15</f>
        <v>65400</v>
      </c>
      <c r="BM73" s="6">
        <f>+BK73*0.075</f>
        <v>32700</v>
      </c>
      <c r="BN73" s="6">
        <f>+BK73*0.08</f>
        <v>34880</v>
      </c>
      <c r="BO73" s="6">
        <v>8860</v>
      </c>
      <c r="BP73" s="6">
        <f t="shared" si="347"/>
        <v>76440</v>
      </c>
      <c r="BQ73" s="6">
        <v>436000</v>
      </c>
      <c r="BR73" s="6">
        <f>BQ73*0.15</f>
        <v>65400</v>
      </c>
      <c r="BS73" s="6">
        <f>+BQ73*0.075</f>
        <v>32700</v>
      </c>
      <c r="BT73" s="6">
        <f>+BQ73*0.08</f>
        <v>34880</v>
      </c>
      <c r="BU73" s="6">
        <v>8860</v>
      </c>
      <c r="BV73" s="6">
        <f t="shared" si="348"/>
        <v>76440</v>
      </c>
      <c r="BW73" s="7">
        <f t="shared" si="349"/>
        <v>7177360</v>
      </c>
      <c r="BX73" s="7">
        <f t="shared" si="349"/>
        <v>1076604</v>
      </c>
      <c r="BY73" s="7">
        <f t="shared" si="350"/>
        <v>538302</v>
      </c>
      <c r="BZ73" s="7">
        <f t="shared" si="351"/>
        <v>574188.80000000005</v>
      </c>
      <c r="CA73" s="7">
        <f t="shared" si="352"/>
        <v>102569.44074118021</v>
      </c>
      <c r="CB73" s="7">
        <f t="shared" si="353"/>
        <v>1215060.2407411803</v>
      </c>
    </row>
    <row r="74" spans="1:80" s="2" customFormat="1" ht="12.75" x14ac:dyDescent="0.2">
      <c r="A74" s="1">
        <f t="shared" ref="A74:A77" si="381">A73+1</f>
        <v>3</v>
      </c>
      <c r="B74" s="5" t="s">
        <v>54</v>
      </c>
      <c r="C74" s="6">
        <v>496160</v>
      </c>
      <c r="D74" s="6">
        <f t="shared" si="354"/>
        <v>74424</v>
      </c>
      <c r="E74" s="6">
        <f t="shared" si="355"/>
        <v>37212</v>
      </c>
      <c r="F74" s="6">
        <f t="shared" si="356"/>
        <v>39692.800000000003</v>
      </c>
      <c r="G74" s="6">
        <f t="shared" ref="G74:G75" si="382">26455/1759520*C74</f>
        <v>7459.9395289624445</v>
      </c>
      <c r="H74" s="6">
        <f t="shared" si="337"/>
        <v>84364.73952896244</v>
      </c>
      <c r="I74" s="6">
        <v>886000</v>
      </c>
      <c r="J74" s="6">
        <f t="shared" si="357"/>
        <v>132900</v>
      </c>
      <c r="K74" s="6">
        <f t="shared" si="358"/>
        <v>66450</v>
      </c>
      <c r="L74" s="6">
        <f t="shared" si="359"/>
        <v>70880</v>
      </c>
      <c r="M74" s="6">
        <f t="shared" ref="M74:M75" si="383">30880/2202000*I74</f>
        <v>12424.922797456858</v>
      </c>
      <c r="N74" s="6">
        <f t="shared" si="338"/>
        <v>149754.92279745685</v>
      </c>
      <c r="O74" s="6">
        <v>886000</v>
      </c>
      <c r="P74" s="6">
        <f t="shared" si="360"/>
        <v>132900</v>
      </c>
      <c r="Q74" s="6">
        <f t="shared" si="361"/>
        <v>66450</v>
      </c>
      <c r="R74" s="6">
        <f t="shared" si="362"/>
        <v>70880</v>
      </c>
      <c r="S74" s="6">
        <f t="shared" ref="S74:S77" si="384">44040/3518000*O74</f>
        <v>11091.370096645822</v>
      </c>
      <c r="T74" s="6">
        <f t="shared" si="339"/>
        <v>148421.37009664581</v>
      </c>
      <c r="U74" s="6">
        <v>886000</v>
      </c>
      <c r="V74" s="6">
        <f t="shared" si="363"/>
        <v>132900</v>
      </c>
      <c r="W74" s="6">
        <f t="shared" si="364"/>
        <v>66450</v>
      </c>
      <c r="X74" s="6">
        <f t="shared" si="365"/>
        <v>70880</v>
      </c>
      <c r="Y74" s="6">
        <f t="shared" ref="Y74:Y77" si="385">44040/3518000*U74</f>
        <v>11091.370096645822</v>
      </c>
      <c r="Z74" s="6">
        <f t="shared" si="340"/>
        <v>148421.37009664581</v>
      </c>
      <c r="AA74" s="6">
        <v>886000</v>
      </c>
      <c r="AB74" s="6">
        <f t="shared" si="366"/>
        <v>132900</v>
      </c>
      <c r="AC74" s="6">
        <f t="shared" si="367"/>
        <v>66450</v>
      </c>
      <c r="AD74" s="6">
        <f t="shared" si="368"/>
        <v>70880</v>
      </c>
      <c r="AE74" s="6">
        <f t="shared" ref="AE74:AE77" si="386">44040/3518000*AA74</f>
        <v>11091.370096645822</v>
      </c>
      <c r="AF74" s="6">
        <f t="shared" si="341"/>
        <v>148421.37009664581</v>
      </c>
      <c r="AG74" s="6">
        <v>886000</v>
      </c>
      <c r="AH74" s="6">
        <f t="shared" si="369"/>
        <v>132900</v>
      </c>
      <c r="AI74" s="6">
        <f t="shared" si="370"/>
        <v>66450</v>
      </c>
      <c r="AJ74" s="6">
        <f t="shared" si="371"/>
        <v>70880</v>
      </c>
      <c r="AK74" s="6">
        <f t="shared" ref="AK74:AK77" si="387">44040/3518000*AG74</f>
        <v>11091.370096645822</v>
      </c>
      <c r="AL74" s="6">
        <f t="shared" si="342"/>
        <v>148421.37009664581</v>
      </c>
      <c r="AM74" s="6">
        <v>886000</v>
      </c>
      <c r="AN74" s="6">
        <f t="shared" si="372"/>
        <v>132900</v>
      </c>
      <c r="AO74" s="6">
        <f t="shared" si="373"/>
        <v>66450</v>
      </c>
      <c r="AP74" s="6">
        <f t="shared" si="374"/>
        <v>70880</v>
      </c>
      <c r="AQ74" s="6">
        <f t="shared" ref="AQ74:AQ77" si="388">44040/3518000*AM74</f>
        <v>11091.370096645822</v>
      </c>
      <c r="AR74" s="6">
        <f t="shared" si="343"/>
        <v>148421.37009664581</v>
      </c>
      <c r="AS74" s="6">
        <v>886000</v>
      </c>
      <c r="AT74" s="6">
        <f t="shared" si="375"/>
        <v>132900</v>
      </c>
      <c r="AU74" s="6">
        <f t="shared" si="376"/>
        <v>66450</v>
      </c>
      <c r="AV74" s="6">
        <f t="shared" si="377"/>
        <v>70880</v>
      </c>
      <c r="AW74" s="6">
        <f t="shared" ref="AW74:AW77" si="389">44040/3518000*AS74</f>
        <v>11091.370096645822</v>
      </c>
      <c r="AX74" s="6">
        <f t="shared" si="344"/>
        <v>148421.37009664581</v>
      </c>
      <c r="AY74" s="6">
        <v>886000</v>
      </c>
      <c r="AZ74" s="6">
        <f t="shared" si="378"/>
        <v>132900</v>
      </c>
      <c r="BA74" s="6">
        <f t="shared" si="379"/>
        <v>66450</v>
      </c>
      <c r="BB74" s="6">
        <f t="shared" si="380"/>
        <v>70880</v>
      </c>
      <c r="BC74" s="6">
        <f t="shared" ref="BC74:BC77" si="390">44040/3518000*AY74</f>
        <v>11091.370096645822</v>
      </c>
      <c r="BD74" s="6">
        <f t="shared" si="345"/>
        <v>148421.37009664581</v>
      </c>
      <c r="BE74" s="6"/>
      <c r="BF74" s="6"/>
      <c r="BG74" s="6"/>
      <c r="BH74" s="6"/>
      <c r="BI74" s="6"/>
      <c r="BJ74" s="6">
        <f t="shared" si="346"/>
        <v>0</v>
      </c>
      <c r="BK74" s="6"/>
      <c r="BL74" s="6"/>
      <c r="BM74" s="6"/>
      <c r="BN74" s="6"/>
      <c r="BO74" s="6"/>
      <c r="BP74" s="6">
        <f t="shared" si="347"/>
        <v>0</v>
      </c>
      <c r="BQ74" s="6"/>
      <c r="BR74" s="6"/>
      <c r="BS74" s="6"/>
      <c r="BT74" s="6"/>
      <c r="BU74" s="6"/>
      <c r="BV74" s="6">
        <f t="shared" si="348"/>
        <v>0</v>
      </c>
      <c r="BW74" s="7">
        <f t="shared" si="349"/>
        <v>7584160</v>
      </c>
      <c r="BX74" s="7">
        <f t="shared" si="349"/>
        <v>1137624</v>
      </c>
      <c r="BY74" s="7">
        <f t="shared" si="350"/>
        <v>568812</v>
      </c>
      <c r="BZ74" s="7">
        <f t="shared" si="351"/>
        <v>606732.80000000005</v>
      </c>
      <c r="CA74" s="7">
        <f t="shared" si="352"/>
        <v>97524.453002940063</v>
      </c>
      <c r="CB74" s="7">
        <f t="shared" si="353"/>
        <v>1273069.25300294</v>
      </c>
    </row>
    <row r="75" spans="1:80" s="2" customFormat="1" ht="12.75" x14ac:dyDescent="0.2">
      <c r="A75" s="1">
        <f t="shared" si="381"/>
        <v>4</v>
      </c>
      <c r="B75" s="5" t="s">
        <v>26</v>
      </c>
      <c r="C75" s="6">
        <v>658000</v>
      </c>
      <c r="D75" s="6">
        <f t="shared" si="354"/>
        <v>98700</v>
      </c>
      <c r="E75" s="6">
        <f t="shared" si="355"/>
        <v>49350</v>
      </c>
      <c r="F75" s="6">
        <f t="shared" si="356"/>
        <v>52640</v>
      </c>
      <c r="G75" s="6">
        <f t="shared" si="382"/>
        <v>9893.2606619987273</v>
      </c>
      <c r="H75" s="6">
        <f t="shared" si="337"/>
        <v>111883.26066199873</v>
      </c>
      <c r="I75" s="6">
        <v>658000</v>
      </c>
      <c r="J75" s="6">
        <f t="shared" si="357"/>
        <v>98700</v>
      </c>
      <c r="K75" s="6">
        <f t="shared" si="358"/>
        <v>49350</v>
      </c>
      <c r="L75" s="6">
        <f t="shared" si="359"/>
        <v>52640</v>
      </c>
      <c r="M75" s="6">
        <f t="shared" si="383"/>
        <v>9227.5386012715717</v>
      </c>
      <c r="N75" s="6">
        <f t="shared" si="338"/>
        <v>111217.53860127158</v>
      </c>
      <c r="O75" s="6">
        <v>658000</v>
      </c>
      <c r="P75" s="6">
        <f t="shared" si="360"/>
        <v>98700</v>
      </c>
      <c r="Q75" s="6">
        <f t="shared" si="361"/>
        <v>49350</v>
      </c>
      <c r="R75" s="6">
        <f t="shared" si="362"/>
        <v>52640</v>
      </c>
      <c r="S75" s="6">
        <f t="shared" si="384"/>
        <v>8237.157475838545</v>
      </c>
      <c r="T75" s="6">
        <f t="shared" si="339"/>
        <v>110227.15747583854</v>
      </c>
      <c r="U75" s="6">
        <v>658000</v>
      </c>
      <c r="V75" s="6">
        <f t="shared" si="363"/>
        <v>98700</v>
      </c>
      <c r="W75" s="6">
        <f t="shared" si="364"/>
        <v>49350</v>
      </c>
      <c r="X75" s="6">
        <f t="shared" si="365"/>
        <v>52640</v>
      </c>
      <c r="Y75" s="6">
        <f t="shared" si="385"/>
        <v>8237.157475838545</v>
      </c>
      <c r="Z75" s="6">
        <f t="shared" si="340"/>
        <v>110227.15747583854</v>
      </c>
      <c r="AA75" s="6">
        <v>658000</v>
      </c>
      <c r="AB75" s="6">
        <f t="shared" si="366"/>
        <v>98700</v>
      </c>
      <c r="AC75" s="6">
        <f t="shared" si="367"/>
        <v>49350</v>
      </c>
      <c r="AD75" s="6">
        <f t="shared" si="368"/>
        <v>52640</v>
      </c>
      <c r="AE75" s="6">
        <f t="shared" si="386"/>
        <v>8237.157475838545</v>
      </c>
      <c r="AF75" s="6">
        <f t="shared" si="341"/>
        <v>110227.15747583854</v>
      </c>
      <c r="AG75" s="6">
        <v>658000</v>
      </c>
      <c r="AH75" s="6">
        <f t="shared" si="369"/>
        <v>98700</v>
      </c>
      <c r="AI75" s="6">
        <f t="shared" si="370"/>
        <v>49350</v>
      </c>
      <c r="AJ75" s="6">
        <f t="shared" si="371"/>
        <v>52640</v>
      </c>
      <c r="AK75" s="6">
        <f t="shared" si="387"/>
        <v>8237.157475838545</v>
      </c>
      <c r="AL75" s="6">
        <f t="shared" si="342"/>
        <v>110227.15747583854</v>
      </c>
      <c r="AM75" s="6">
        <v>658000</v>
      </c>
      <c r="AN75" s="6">
        <f t="shared" si="372"/>
        <v>98700</v>
      </c>
      <c r="AO75" s="6">
        <f t="shared" si="373"/>
        <v>49350</v>
      </c>
      <c r="AP75" s="6">
        <f t="shared" si="374"/>
        <v>52640</v>
      </c>
      <c r="AQ75" s="6">
        <f t="shared" si="388"/>
        <v>8237.157475838545</v>
      </c>
      <c r="AR75" s="6">
        <f t="shared" si="343"/>
        <v>110227.15747583854</v>
      </c>
      <c r="AS75" s="6">
        <v>658000</v>
      </c>
      <c r="AT75" s="6">
        <f t="shared" si="375"/>
        <v>98700</v>
      </c>
      <c r="AU75" s="6">
        <f t="shared" si="376"/>
        <v>49350</v>
      </c>
      <c r="AV75" s="6">
        <f t="shared" si="377"/>
        <v>52640</v>
      </c>
      <c r="AW75" s="6">
        <f t="shared" si="389"/>
        <v>8237.157475838545</v>
      </c>
      <c r="AX75" s="6">
        <f t="shared" si="344"/>
        <v>110227.15747583854</v>
      </c>
      <c r="AY75" s="6">
        <v>658000</v>
      </c>
      <c r="AZ75" s="6">
        <f t="shared" si="378"/>
        <v>98700</v>
      </c>
      <c r="BA75" s="6">
        <f t="shared" si="379"/>
        <v>49350</v>
      </c>
      <c r="BB75" s="6">
        <f t="shared" si="380"/>
        <v>52640</v>
      </c>
      <c r="BC75" s="6">
        <f t="shared" si="390"/>
        <v>8237.157475838545</v>
      </c>
      <c r="BD75" s="6">
        <f t="shared" si="345"/>
        <v>110227.15747583854</v>
      </c>
      <c r="BE75" s="6"/>
      <c r="BF75" s="6"/>
      <c r="BG75" s="6"/>
      <c r="BH75" s="6"/>
      <c r="BI75" s="6"/>
      <c r="BJ75" s="6">
        <f t="shared" si="346"/>
        <v>0</v>
      </c>
      <c r="BK75" s="6"/>
      <c r="BL75" s="6"/>
      <c r="BM75" s="6"/>
      <c r="BN75" s="6"/>
      <c r="BO75" s="6"/>
      <c r="BP75" s="6">
        <f t="shared" si="347"/>
        <v>0</v>
      </c>
      <c r="BQ75" s="6"/>
      <c r="BR75" s="6"/>
      <c r="BS75" s="6"/>
      <c r="BT75" s="6"/>
      <c r="BU75" s="6"/>
      <c r="BV75" s="6">
        <f t="shared" si="348"/>
        <v>0</v>
      </c>
      <c r="BW75" s="7">
        <f t="shared" si="349"/>
        <v>5922000</v>
      </c>
      <c r="BX75" s="7">
        <f t="shared" si="349"/>
        <v>888300</v>
      </c>
      <c r="BY75" s="7">
        <f t="shared" si="350"/>
        <v>444150</v>
      </c>
      <c r="BZ75" s="7">
        <f t="shared" si="351"/>
        <v>473760</v>
      </c>
      <c r="CA75" s="7">
        <f t="shared" si="352"/>
        <v>76780.901594140116</v>
      </c>
      <c r="CB75" s="7">
        <f t="shared" si="353"/>
        <v>994690.9015941401</v>
      </c>
    </row>
    <row r="76" spans="1:80" s="2" customFormat="1" ht="12.75" x14ac:dyDescent="0.2">
      <c r="A76" s="1">
        <f t="shared" si="381"/>
        <v>5</v>
      </c>
      <c r="B76" s="5" t="s">
        <v>51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>
        <v>658000</v>
      </c>
      <c r="P76" s="6">
        <f t="shared" si="360"/>
        <v>98700</v>
      </c>
      <c r="Q76" s="6">
        <f t="shared" si="361"/>
        <v>49350</v>
      </c>
      <c r="R76" s="6">
        <f t="shared" si="362"/>
        <v>52640</v>
      </c>
      <c r="S76" s="6">
        <f t="shared" si="384"/>
        <v>8237.157475838545</v>
      </c>
      <c r="T76" s="6">
        <f t="shared" si="339"/>
        <v>110227.15747583854</v>
      </c>
      <c r="U76" s="6">
        <v>658000</v>
      </c>
      <c r="V76" s="6">
        <f t="shared" si="363"/>
        <v>98700</v>
      </c>
      <c r="W76" s="6">
        <f t="shared" si="364"/>
        <v>49350</v>
      </c>
      <c r="X76" s="6">
        <f t="shared" si="365"/>
        <v>52640</v>
      </c>
      <c r="Y76" s="6">
        <f t="shared" si="385"/>
        <v>8237.157475838545</v>
      </c>
      <c r="Z76" s="6">
        <f t="shared" si="340"/>
        <v>110227.15747583854</v>
      </c>
      <c r="AA76" s="6">
        <v>658000</v>
      </c>
      <c r="AB76" s="6">
        <f t="shared" si="366"/>
        <v>98700</v>
      </c>
      <c r="AC76" s="6">
        <f t="shared" si="367"/>
        <v>49350</v>
      </c>
      <c r="AD76" s="6">
        <f t="shared" si="368"/>
        <v>52640</v>
      </c>
      <c r="AE76" s="6">
        <f t="shared" si="386"/>
        <v>8237.157475838545</v>
      </c>
      <c r="AF76" s="6">
        <f t="shared" si="341"/>
        <v>110227.15747583854</v>
      </c>
      <c r="AG76" s="6">
        <v>658000</v>
      </c>
      <c r="AH76" s="6">
        <f t="shared" si="369"/>
        <v>98700</v>
      </c>
      <c r="AI76" s="6">
        <f t="shared" si="370"/>
        <v>49350</v>
      </c>
      <c r="AJ76" s="6">
        <f t="shared" si="371"/>
        <v>52640</v>
      </c>
      <c r="AK76" s="6">
        <f t="shared" si="387"/>
        <v>8237.157475838545</v>
      </c>
      <c r="AL76" s="6">
        <f t="shared" si="342"/>
        <v>110227.15747583854</v>
      </c>
      <c r="AM76" s="6">
        <v>658000</v>
      </c>
      <c r="AN76" s="6">
        <f t="shared" si="372"/>
        <v>98700</v>
      </c>
      <c r="AO76" s="6">
        <f t="shared" si="373"/>
        <v>49350</v>
      </c>
      <c r="AP76" s="6">
        <f t="shared" si="374"/>
        <v>52640</v>
      </c>
      <c r="AQ76" s="6">
        <f t="shared" si="388"/>
        <v>8237.157475838545</v>
      </c>
      <c r="AR76" s="6">
        <f t="shared" si="343"/>
        <v>110227.15747583854</v>
      </c>
      <c r="AS76" s="6">
        <v>658000</v>
      </c>
      <c r="AT76" s="6">
        <f t="shared" si="375"/>
        <v>98700</v>
      </c>
      <c r="AU76" s="6">
        <f t="shared" si="376"/>
        <v>49350</v>
      </c>
      <c r="AV76" s="6">
        <f t="shared" si="377"/>
        <v>52640</v>
      </c>
      <c r="AW76" s="6">
        <f t="shared" si="389"/>
        <v>8237.157475838545</v>
      </c>
      <c r="AX76" s="6">
        <f t="shared" si="344"/>
        <v>110227.15747583854</v>
      </c>
      <c r="AY76" s="6">
        <v>658000</v>
      </c>
      <c r="AZ76" s="6">
        <f t="shared" si="378"/>
        <v>98700</v>
      </c>
      <c r="BA76" s="6">
        <f t="shared" si="379"/>
        <v>49350</v>
      </c>
      <c r="BB76" s="6">
        <f t="shared" si="380"/>
        <v>52640</v>
      </c>
      <c r="BC76" s="6">
        <f t="shared" si="390"/>
        <v>8237.157475838545</v>
      </c>
      <c r="BD76" s="6">
        <f t="shared" si="345"/>
        <v>110227.15747583854</v>
      </c>
      <c r="BE76" s="6"/>
      <c r="BF76" s="6"/>
      <c r="BG76" s="6"/>
      <c r="BH76" s="6"/>
      <c r="BI76" s="6"/>
      <c r="BJ76" s="6">
        <f t="shared" si="346"/>
        <v>0</v>
      </c>
      <c r="BK76" s="6"/>
      <c r="BL76" s="6"/>
      <c r="BM76" s="6"/>
      <c r="BN76" s="6"/>
      <c r="BO76" s="6"/>
      <c r="BP76" s="6">
        <f t="shared" si="347"/>
        <v>0</v>
      </c>
      <c r="BQ76" s="6"/>
      <c r="BR76" s="6"/>
      <c r="BS76" s="6"/>
      <c r="BT76" s="6"/>
      <c r="BU76" s="6"/>
      <c r="BV76" s="6">
        <f t="shared" si="348"/>
        <v>0</v>
      </c>
      <c r="BW76" s="7">
        <f t="shared" si="349"/>
        <v>4606000</v>
      </c>
      <c r="BX76" s="7">
        <f t="shared" si="349"/>
        <v>690900</v>
      </c>
      <c r="BY76" s="7">
        <f t="shared" si="350"/>
        <v>345450</v>
      </c>
      <c r="BZ76" s="7">
        <f t="shared" si="351"/>
        <v>368480</v>
      </c>
      <c r="CA76" s="7">
        <f t="shared" si="352"/>
        <v>57660.10233086982</v>
      </c>
      <c r="CB76" s="7">
        <f t="shared" si="353"/>
        <v>771590.10233086976</v>
      </c>
    </row>
    <row r="77" spans="1:80" s="2" customFormat="1" ht="24" x14ac:dyDescent="0.2">
      <c r="A77" s="1">
        <f t="shared" si="381"/>
        <v>6</v>
      </c>
      <c r="B77" s="5" t="s">
        <v>27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>
        <v>658000</v>
      </c>
      <c r="P77" s="6">
        <f t="shared" si="360"/>
        <v>98700</v>
      </c>
      <c r="Q77" s="6">
        <f t="shared" si="361"/>
        <v>49350</v>
      </c>
      <c r="R77" s="6">
        <f t="shared" si="362"/>
        <v>52640</v>
      </c>
      <c r="S77" s="6">
        <f t="shared" si="384"/>
        <v>8237.157475838545</v>
      </c>
      <c r="T77" s="6">
        <f t="shared" si="339"/>
        <v>110227.15747583854</v>
      </c>
      <c r="U77" s="6">
        <v>658000</v>
      </c>
      <c r="V77" s="6">
        <f t="shared" si="363"/>
        <v>98700</v>
      </c>
      <c r="W77" s="6">
        <f t="shared" si="364"/>
        <v>49350</v>
      </c>
      <c r="X77" s="6">
        <f t="shared" si="365"/>
        <v>52640</v>
      </c>
      <c r="Y77" s="6">
        <f t="shared" si="385"/>
        <v>8237.157475838545</v>
      </c>
      <c r="Z77" s="6">
        <f t="shared" si="340"/>
        <v>110227.15747583854</v>
      </c>
      <c r="AA77" s="6">
        <v>658000</v>
      </c>
      <c r="AB77" s="6">
        <f t="shared" si="366"/>
        <v>98700</v>
      </c>
      <c r="AC77" s="6">
        <f t="shared" si="367"/>
        <v>49350</v>
      </c>
      <c r="AD77" s="6">
        <f t="shared" si="368"/>
        <v>52640</v>
      </c>
      <c r="AE77" s="6">
        <f t="shared" si="386"/>
        <v>8237.157475838545</v>
      </c>
      <c r="AF77" s="6">
        <f t="shared" si="341"/>
        <v>110227.15747583854</v>
      </c>
      <c r="AG77" s="6">
        <v>658000</v>
      </c>
      <c r="AH77" s="6">
        <f t="shared" si="369"/>
        <v>98700</v>
      </c>
      <c r="AI77" s="6">
        <f t="shared" si="370"/>
        <v>49350</v>
      </c>
      <c r="AJ77" s="6">
        <f t="shared" si="371"/>
        <v>52640</v>
      </c>
      <c r="AK77" s="6">
        <f t="shared" si="387"/>
        <v>8237.157475838545</v>
      </c>
      <c r="AL77" s="6">
        <f t="shared" si="342"/>
        <v>110227.15747583854</v>
      </c>
      <c r="AM77" s="6">
        <v>658000</v>
      </c>
      <c r="AN77" s="6">
        <f t="shared" si="372"/>
        <v>98700</v>
      </c>
      <c r="AO77" s="6">
        <f t="shared" si="373"/>
        <v>49350</v>
      </c>
      <c r="AP77" s="6">
        <f t="shared" si="374"/>
        <v>52640</v>
      </c>
      <c r="AQ77" s="6">
        <f t="shared" si="388"/>
        <v>8237.157475838545</v>
      </c>
      <c r="AR77" s="6">
        <f t="shared" si="343"/>
        <v>110227.15747583854</v>
      </c>
      <c r="AS77" s="6">
        <v>658000</v>
      </c>
      <c r="AT77" s="6">
        <f t="shared" si="375"/>
        <v>98700</v>
      </c>
      <c r="AU77" s="6">
        <f t="shared" si="376"/>
        <v>49350</v>
      </c>
      <c r="AV77" s="6">
        <f t="shared" si="377"/>
        <v>52640</v>
      </c>
      <c r="AW77" s="6">
        <f t="shared" si="389"/>
        <v>8237.157475838545</v>
      </c>
      <c r="AX77" s="6">
        <f t="shared" si="344"/>
        <v>110227.15747583854</v>
      </c>
      <c r="AY77" s="6">
        <v>658000</v>
      </c>
      <c r="AZ77" s="6">
        <f t="shared" si="378"/>
        <v>98700</v>
      </c>
      <c r="BA77" s="6">
        <f t="shared" si="379"/>
        <v>49350</v>
      </c>
      <c r="BB77" s="6">
        <f t="shared" si="380"/>
        <v>52640</v>
      </c>
      <c r="BC77" s="6">
        <f t="shared" si="390"/>
        <v>8237.157475838545</v>
      </c>
      <c r="BD77" s="6">
        <f t="shared" si="345"/>
        <v>110227.15747583854</v>
      </c>
      <c r="BE77" s="6"/>
      <c r="BF77" s="6"/>
      <c r="BG77" s="6"/>
      <c r="BH77" s="6"/>
      <c r="BI77" s="6"/>
      <c r="BJ77" s="6">
        <f t="shared" si="346"/>
        <v>0</v>
      </c>
      <c r="BK77" s="6"/>
      <c r="BL77" s="6"/>
      <c r="BM77" s="6"/>
      <c r="BN77" s="6"/>
      <c r="BO77" s="6"/>
      <c r="BP77" s="6">
        <f t="shared" si="347"/>
        <v>0</v>
      </c>
      <c r="BQ77" s="6"/>
      <c r="BR77" s="6"/>
      <c r="BS77" s="6"/>
      <c r="BT77" s="6"/>
      <c r="BU77" s="6"/>
      <c r="BV77" s="6">
        <f t="shared" si="348"/>
        <v>0</v>
      </c>
      <c r="BW77" s="7">
        <f t="shared" si="349"/>
        <v>4606000</v>
      </c>
      <c r="BX77" s="7">
        <f t="shared" si="349"/>
        <v>690900</v>
      </c>
      <c r="BY77" s="7">
        <f t="shared" si="350"/>
        <v>345450</v>
      </c>
      <c r="BZ77" s="7">
        <f t="shared" si="351"/>
        <v>368480</v>
      </c>
      <c r="CA77" s="7">
        <f t="shared" si="352"/>
        <v>57660.10233086982</v>
      </c>
      <c r="CB77" s="7">
        <f t="shared" si="353"/>
        <v>771590.10233086976</v>
      </c>
    </row>
    <row r="78" spans="1:80" s="2" customFormat="1" ht="12.75" x14ac:dyDescent="0.2">
      <c r="A78" s="8"/>
      <c r="B78" s="9" t="s">
        <v>12</v>
      </c>
      <c r="C78" s="4">
        <f t="shared" ref="C78:CB78" si="391">SUM(C72:C77)</f>
        <v>2645520</v>
      </c>
      <c r="D78" s="4">
        <f t="shared" si="391"/>
        <v>396828</v>
      </c>
      <c r="E78" s="4">
        <f t="shared" si="391"/>
        <v>198414</v>
      </c>
      <c r="F78" s="4">
        <f t="shared" si="391"/>
        <v>211641.60000000001</v>
      </c>
      <c r="G78" s="4">
        <f t="shared" si="391"/>
        <v>26455</v>
      </c>
      <c r="H78" s="4">
        <f t="shared" si="391"/>
        <v>436510.6</v>
      </c>
      <c r="I78" s="4">
        <f t="shared" si="391"/>
        <v>3088000</v>
      </c>
      <c r="J78" s="4">
        <f t="shared" si="391"/>
        <v>463200</v>
      </c>
      <c r="K78" s="4">
        <f t="shared" si="391"/>
        <v>231600</v>
      </c>
      <c r="L78" s="4">
        <f t="shared" si="391"/>
        <v>247040</v>
      </c>
      <c r="M78" s="4">
        <f t="shared" si="391"/>
        <v>30880.000000000004</v>
      </c>
      <c r="N78" s="4">
        <f t="shared" si="391"/>
        <v>509520</v>
      </c>
      <c r="O78" s="4">
        <f t="shared" si="391"/>
        <v>4404000</v>
      </c>
      <c r="P78" s="4">
        <f t="shared" si="391"/>
        <v>660600</v>
      </c>
      <c r="Q78" s="4">
        <f t="shared" si="391"/>
        <v>330300</v>
      </c>
      <c r="R78" s="4">
        <f t="shared" si="391"/>
        <v>352320</v>
      </c>
      <c r="S78" s="4">
        <f t="shared" si="391"/>
        <v>44040.000000000007</v>
      </c>
      <c r="T78" s="4">
        <f t="shared" si="391"/>
        <v>726660</v>
      </c>
      <c r="U78" s="4">
        <f t="shared" si="391"/>
        <v>4404000</v>
      </c>
      <c r="V78" s="4">
        <f t="shared" si="391"/>
        <v>660600</v>
      </c>
      <c r="W78" s="4">
        <f t="shared" si="391"/>
        <v>330300</v>
      </c>
      <c r="X78" s="4">
        <f t="shared" si="391"/>
        <v>352320</v>
      </c>
      <c r="Y78" s="4">
        <f t="shared" si="391"/>
        <v>44040.000000000007</v>
      </c>
      <c r="Z78" s="4">
        <f t="shared" si="391"/>
        <v>726660</v>
      </c>
      <c r="AA78" s="4">
        <f t="shared" si="391"/>
        <v>4404000</v>
      </c>
      <c r="AB78" s="4">
        <f t="shared" si="391"/>
        <v>660600</v>
      </c>
      <c r="AC78" s="4">
        <f t="shared" si="391"/>
        <v>330300</v>
      </c>
      <c r="AD78" s="4">
        <f t="shared" si="391"/>
        <v>352320</v>
      </c>
      <c r="AE78" s="4">
        <f t="shared" si="391"/>
        <v>44040.000000000007</v>
      </c>
      <c r="AF78" s="4">
        <f t="shared" si="391"/>
        <v>726660</v>
      </c>
      <c r="AG78" s="4">
        <f t="shared" si="391"/>
        <v>4404000</v>
      </c>
      <c r="AH78" s="4">
        <f t="shared" si="391"/>
        <v>660600</v>
      </c>
      <c r="AI78" s="4">
        <f t="shared" si="391"/>
        <v>330300</v>
      </c>
      <c r="AJ78" s="4">
        <f t="shared" si="391"/>
        <v>352320</v>
      </c>
      <c r="AK78" s="4">
        <f t="shared" si="391"/>
        <v>44040.000000000007</v>
      </c>
      <c r="AL78" s="4">
        <f t="shared" si="391"/>
        <v>726660</v>
      </c>
      <c r="AM78" s="4">
        <f t="shared" si="391"/>
        <v>4404000</v>
      </c>
      <c r="AN78" s="4">
        <f t="shared" si="391"/>
        <v>660600</v>
      </c>
      <c r="AO78" s="4">
        <f t="shared" si="391"/>
        <v>330300</v>
      </c>
      <c r="AP78" s="4">
        <f t="shared" si="391"/>
        <v>352320</v>
      </c>
      <c r="AQ78" s="4">
        <f t="shared" si="391"/>
        <v>44040.000000000007</v>
      </c>
      <c r="AR78" s="4">
        <f t="shared" si="391"/>
        <v>726660</v>
      </c>
      <c r="AS78" s="4">
        <f t="shared" si="391"/>
        <v>4404000</v>
      </c>
      <c r="AT78" s="4">
        <f t="shared" si="391"/>
        <v>660600</v>
      </c>
      <c r="AU78" s="4">
        <f t="shared" si="391"/>
        <v>330300</v>
      </c>
      <c r="AV78" s="4">
        <f t="shared" si="391"/>
        <v>352320</v>
      </c>
      <c r="AW78" s="4">
        <f t="shared" si="391"/>
        <v>44040.000000000007</v>
      </c>
      <c r="AX78" s="4">
        <f t="shared" si="391"/>
        <v>726660</v>
      </c>
      <c r="AY78" s="4">
        <f t="shared" si="391"/>
        <v>4404000</v>
      </c>
      <c r="AZ78" s="4">
        <f t="shared" si="391"/>
        <v>660600</v>
      </c>
      <c r="BA78" s="4">
        <f t="shared" si="391"/>
        <v>330300</v>
      </c>
      <c r="BB78" s="4">
        <f t="shared" si="391"/>
        <v>352320</v>
      </c>
      <c r="BC78" s="4">
        <f t="shared" si="391"/>
        <v>44040.000000000007</v>
      </c>
      <c r="BD78" s="4">
        <f t="shared" si="391"/>
        <v>726660</v>
      </c>
      <c r="BE78" s="4">
        <f t="shared" si="391"/>
        <v>886000</v>
      </c>
      <c r="BF78" s="4">
        <f t="shared" si="391"/>
        <v>132900</v>
      </c>
      <c r="BG78" s="4">
        <f t="shared" si="391"/>
        <v>66450</v>
      </c>
      <c r="BH78" s="4">
        <f t="shared" si="391"/>
        <v>70880</v>
      </c>
      <c r="BI78" s="4">
        <f t="shared" si="391"/>
        <v>8860</v>
      </c>
      <c r="BJ78" s="4">
        <f t="shared" si="391"/>
        <v>146190</v>
      </c>
      <c r="BK78" s="4">
        <f t="shared" si="391"/>
        <v>886000</v>
      </c>
      <c r="BL78" s="4">
        <f t="shared" si="391"/>
        <v>132900</v>
      </c>
      <c r="BM78" s="4">
        <f t="shared" si="391"/>
        <v>66450</v>
      </c>
      <c r="BN78" s="4">
        <f t="shared" si="391"/>
        <v>70880</v>
      </c>
      <c r="BO78" s="4">
        <f t="shared" si="391"/>
        <v>8860</v>
      </c>
      <c r="BP78" s="4">
        <f t="shared" si="391"/>
        <v>146190</v>
      </c>
      <c r="BQ78" s="4">
        <f t="shared" si="391"/>
        <v>886000</v>
      </c>
      <c r="BR78" s="4">
        <f t="shared" si="391"/>
        <v>132900</v>
      </c>
      <c r="BS78" s="4">
        <f t="shared" si="391"/>
        <v>66450</v>
      </c>
      <c r="BT78" s="4">
        <f t="shared" si="391"/>
        <v>70880</v>
      </c>
      <c r="BU78" s="4">
        <f t="shared" si="391"/>
        <v>8860</v>
      </c>
      <c r="BV78" s="4">
        <f t="shared" si="391"/>
        <v>146190</v>
      </c>
      <c r="BW78" s="4">
        <f t="shared" si="391"/>
        <v>39219520</v>
      </c>
      <c r="BX78" s="4">
        <f t="shared" si="391"/>
        <v>5882928</v>
      </c>
      <c r="BY78" s="4">
        <f t="shared" si="391"/>
        <v>2941464</v>
      </c>
      <c r="BZ78" s="4">
        <f t="shared" si="391"/>
        <v>3137561.6</v>
      </c>
      <c r="CA78" s="4">
        <f t="shared" si="391"/>
        <v>392195</v>
      </c>
      <c r="CB78" s="4">
        <f t="shared" si="391"/>
        <v>6471220.5999999996</v>
      </c>
    </row>
    <row r="79" spans="1:80" s="2" customFormat="1" ht="12.75" x14ac:dyDescent="0.2">
      <c r="A79" s="30"/>
      <c r="B79" s="27" t="s">
        <v>59</v>
      </c>
      <c r="C79" s="31">
        <v>0</v>
      </c>
      <c r="D79" s="31">
        <v>231600</v>
      </c>
      <c r="E79" s="31">
        <v>115800</v>
      </c>
      <c r="F79" s="31">
        <v>123520</v>
      </c>
      <c r="G79" s="31">
        <v>0</v>
      </c>
      <c r="H79" s="31">
        <f>E79+F79+G79</f>
        <v>239320</v>
      </c>
      <c r="I79" s="31">
        <v>0</v>
      </c>
      <c r="J79" s="31">
        <v>324780</v>
      </c>
      <c r="K79" s="31">
        <v>200578</v>
      </c>
      <c r="L79" s="31">
        <v>0</v>
      </c>
      <c r="M79" s="31">
        <v>0</v>
      </c>
      <c r="N79" s="31">
        <f>+K79+L79+M79</f>
        <v>200578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f>+Q79+R79+S79</f>
        <v>0</v>
      </c>
      <c r="U79" s="31">
        <v>5500000</v>
      </c>
      <c r="V79" s="31">
        <v>0</v>
      </c>
      <c r="W79" s="31">
        <v>234750</v>
      </c>
      <c r="X79" s="31">
        <v>0</v>
      </c>
      <c r="Y79" s="31">
        <v>0</v>
      </c>
      <c r="Z79" s="31">
        <f>+W79+X79+Y79</f>
        <v>234750</v>
      </c>
      <c r="AA79" s="31">
        <v>9000000</v>
      </c>
      <c r="AB79" s="31">
        <v>1110000</v>
      </c>
      <c r="AC79" s="31">
        <v>554274</v>
      </c>
      <c r="AD79" s="31">
        <v>554274</v>
      </c>
      <c r="AE79" s="31">
        <v>112560</v>
      </c>
      <c r="AF79" s="31">
        <f>+AC79+AD79+AE79</f>
        <v>1221108</v>
      </c>
      <c r="AG79" s="31">
        <v>0</v>
      </c>
      <c r="AH79" s="31">
        <v>526500</v>
      </c>
      <c r="AI79" s="31">
        <v>0</v>
      </c>
      <c r="AJ79" s="31">
        <v>281000</v>
      </c>
      <c r="AK79" s="31">
        <v>0</v>
      </c>
      <c r="AL79" s="31">
        <f>+AI79+AJ79+AK79</f>
        <v>281000</v>
      </c>
      <c r="AM79" s="31">
        <v>0</v>
      </c>
      <c r="AN79" s="31">
        <v>0</v>
      </c>
      <c r="AO79" s="31">
        <v>0</v>
      </c>
      <c r="AP79" s="31">
        <v>0</v>
      </c>
      <c r="AQ79" s="31">
        <v>0</v>
      </c>
      <c r="AR79" s="31">
        <f>+AO79+AP79+AQ79</f>
        <v>0</v>
      </c>
      <c r="AS79" s="31">
        <v>2800000</v>
      </c>
      <c r="AT79" s="31">
        <v>1186554</v>
      </c>
      <c r="AU79" s="31">
        <v>538533</v>
      </c>
      <c r="AV79" s="31">
        <v>614258</v>
      </c>
      <c r="AW79" s="31">
        <v>284550</v>
      </c>
      <c r="AX79" s="31">
        <f>+AU79+AV79+AW79</f>
        <v>1437341</v>
      </c>
      <c r="AY79" s="31">
        <v>0</v>
      </c>
      <c r="AZ79" s="31">
        <v>0</v>
      </c>
      <c r="BA79" s="31">
        <v>0</v>
      </c>
      <c r="BB79" s="31">
        <v>0</v>
      </c>
      <c r="BC79" s="31">
        <v>0</v>
      </c>
      <c r="BD79" s="31">
        <f>+BA79+BB79+BC79</f>
        <v>0</v>
      </c>
      <c r="BE79" s="31">
        <v>0</v>
      </c>
      <c r="BF79" s="31">
        <v>0</v>
      </c>
      <c r="BG79" s="31">
        <v>0</v>
      </c>
      <c r="BH79" s="31">
        <v>0</v>
      </c>
      <c r="BI79" s="31">
        <v>120960</v>
      </c>
      <c r="BJ79" s="31">
        <f>+BG79+BH79+BI79</f>
        <v>120960</v>
      </c>
      <c r="BK79" s="31">
        <v>0</v>
      </c>
      <c r="BL79" s="31">
        <v>0</v>
      </c>
      <c r="BM79" s="31">
        <v>0</v>
      </c>
      <c r="BN79" s="31">
        <v>0</v>
      </c>
      <c r="BO79" s="31">
        <v>0</v>
      </c>
      <c r="BP79" s="31">
        <f>+BM79+BN79+BO79</f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1">
        <f>+BS79+BT79+BU79</f>
        <v>0</v>
      </c>
      <c r="BW79" s="28">
        <f>C79+I79+O79+U79+AA79+AG79+AM79+AS79+AY79+BE79+BK79+BQ79</f>
        <v>17300000</v>
      </c>
      <c r="BX79" s="28">
        <f>D79+J79+P79+V79+AB79+AH79+AN79+AT79+AZ79+BF79+BL79+BR79</f>
        <v>3379434</v>
      </c>
      <c r="BY79" s="28">
        <f>E79+K79+Q79+W79+AC79+AI79+AO79+AU79+BA79+BG79+BM79+BS79</f>
        <v>1643935</v>
      </c>
      <c r="BZ79" s="28">
        <f>F79+L79+R79+X79+AD79+AJ79+AP79+AV79+BB79+BH79+BN79+BT79</f>
        <v>1573052</v>
      </c>
      <c r="CA79" s="28">
        <f>G79+M79+S79+Y79+AE79+AK79+AQ79+AW79+BC79+BI79+BO79+BU79</f>
        <v>518070</v>
      </c>
      <c r="CB79" s="28">
        <f>BY79+BZ79+CA79</f>
        <v>3735057</v>
      </c>
    </row>
    <row r="80" spans="1:80" s="2" customFormat="1" ht="12.75" x14ac:dyDescent="0.2">
      <c r="A80" s="21"/>
      <c r="B80" s="22" t="s">
        <v>60</v>
      </c>
      <c r="C80" s="23">
        <f t="shared" ref="C80:H80" si="392">BQ70+C78-C79</f>
        <v>58502536.36999999</v>
      </c>
      <c r="D80" s="23">
        <f t="shared" si="392"/>
        <v>-2892396.1124999998</v>
      </c>
      <c r="E80" s="23">
        <f t="shared" si="392"/>
        <v>-936792.52044957632</v>
      </c>
      <c r="F80" s="23">
        <f t="shared" si="392"/>
        <v>-1475718.7063530707</v>
      </c>
      <c r="G80" s="23">
        <f t="shared" si="392"/>
        <v>39656.41967134169</v>
      </c>
      <c r="H80" s="23">
        <f t="shared" si="392"/>
        <v>-2129454.4764325214</v>
      </c>
      <c r="I80" s="23">
        <f t="shared" ref="I80:T80" si="393">+C80+I78-I79</f>
        <v>61590536.36999999</v>
      </c>
      <c r="J80" s="23">
        <f t="shared" si="393"/>
        <v>-2753976.1124999998</v>
      </c>
      <c r="K80" s="23">
        <f t="shared" si="393"/>
        <v>-905770.52044957632</v>
      </c>
      <c r="L80" s="23">
        <f t="shared" si="393"/>
        <v>-1228678.7063530707</v>
      </c>
      <c r="M80" s="23">
        <f t="shared" si="393"/>
        <v>70536.41967134169</v>
      </c>
      <c r="N80" s="23">
        <f t="shared" si="393"/>
        <v>-1820512.4764325214</v>
      </c>
      <c r="O80" s="23">
        <f t="shared" si="393"/>
        <v>65994536.36999999</v>
      </c>
      <c r="P80" s="23">
        <f t="shared" si="393"/>
        <v>-2093376.1124999998</v>
      </c>
      <c r="Q80" s="23">
        <f t="shared" si="393"/>
        <v>-575470.52044957632</v>
      </c>
      <c r="R80" s="23">
        <f t="shared" si="393"/>
        <v>-876358.70635307068</v>
      </c>
      <c r="S80" s="23">
        <f t="shared" si="393"/>
        <v>114576.41967134169</v>
      </c>
      <c r="T80" s="23">
        <f t="shared" si="393"/>
        <v>-1093852.4764325214</v>
      </c>
      <c r="U80" s="23">
        <f>O80+U78-U79</f>
        <v>64898536.36999999</v>
      </c>
      <c r="V80" s="23">
        <f t="shared" ref="V80:BA80" si="394">+P80+V78-V79</f>
        <v>-1432776.1124999998</v>
      </c>
      <c r="W80" s="23">
        <f t="shared" si="394"/>
        <v>-479920.52044957632</v>
      </c>
      <c r="X80" s="23">
        <f t="shared" si="394"/>
        <v>-524038.70635307068</v>
      </c>
      <c r="Y80" s="23">
        <f t="shared" si="394"/>
        <v>158616.41967134169</v>
      </c>
      <c r="Z80" s="23">
        <f t="shared" si="394"/>
        <v>-601942.47643252136</v>
      </c>
      <c r="AA80" s="23">
        <f t="shared" si="394"/>
        <v>60302536.36999999</v>
      </c>
      <c r="AB80" s="23">
        <f t="shared" si="394"/>
        <v>-1882176.1124999998</v>
      </c>
      <c r="AC80" s="23">
        <f t="shared" si="394"/>
        <v>-703894.52044957632</v>
      </c>
      <c r="AD80" s="23">
        <f t="shared" si="394"/>
        <v>-725992.70635307068</v>
      </c>
      <c r="AE80" s="23">
        <f t="shared" si="394"/>
        <v>90096.41967134169</v>
      </c>
      <c r="AF80" s="23">
        <f t="shared" si="394"/>
        <v>-1096390.4764325214</v>
      </c>
      <c r="AG80" s="23">
        <f t="shared" si="394"/>
        <v>64706536.36999999</v>
      </c>
      <c r="AH80" s="23">
        <f t="shared" si="394"/>
        <v>-1748076.1124999998</v>
      </c>
      <c r="AI80" s="23">
        <f t="shared" si="394"/>
        <v>-373594.52044957632</v>
      </c>
      <c r="AJ80" s="23">
        <f t="shared" si="394"/>
        <v>-654672.70635307068</v>
      </c>
      <c r="AK80" s="23">
        <f t="shared" si="394"/>
        <v>134136.41967134169</v>
      </c>
      <c r="AL80" s="23">
        <f t="shared" si="394"/>
        <v>-650730.47643252136</v>
      </c>
      <c r="AM80" s="23">
        <f t="shared" si="394"/>
        <v>69110536.36999999</v>
      </c>
      <c r="AN80" s="23">
        <f t="shared" si="394"/>
        <v>-1087476.1124999998</v>
      </c>
      <c r="AO80" s="23">
        <f t="shared" si="394"/>
        <v>-43294.520449576317</v>
      </c>
      <c r="AP80" s="23">
        <f t="shared" si="394"/>
        <v>-302352.70635307068</v>
      </c>
      <c r="AQ80" s="23">
        <f t="shared" si="394"/>
        <v>178176.41967134169</v>
      </c>
      <c r="AR80" s="23">
        <f t="shared" si="394"/>
        <v>75929.523567478638</v>
      </c>
      <c r="AS80" s="23">
        <f t="shared" si="394"/>
        <v>70714536.36999999</v>
      </c>
      <c r="AT80" s="23">
        <f t="shared" si="394"/>
        <v>-1613430.1124999998</v>
      </c>
      <c r="AU80" s="23">
        <f t="shared" si="394"/>
        <v>-251527.52044957632</v>
      </c>
      <c r="AV80" s="23">
        <f t="shared" si="394"/>
        <v>-564290.70635307068</v>
      </c>
      <c r="AW80" s="23">
        <f t="shared" si="394"/>
        <v>-62333.58032865831</v>
      </c>
      <c r="AX80" s="23">
        <f t="shared" si="394"/>
        <v>-634751.47643252136</v>
      </c>
      <c r="AY80" s="23">
        <f t="shared" si="394"/>
        <v>75118536.36999999</v>
      </c>
      <c r="AZ80" s="23">
        <f t="shared" si="394"/>
        <v>-952830.11249999981</v>
      </c>
      <c r="BA80" s="23">
        <f t="shared" si="394"/>
        <v>78772.479550423683</v>
      </c>
      <c r="BB80" s="23">
        <f t="shared" ref="BB80:BV80" si="395">+AV80+BB78-BB79</f>
        <v>-211970.70635307068</v>
      </c>
      <c r="BC80" s="23">
        <f t="shared" si="395"/>
        <v>-18293.580328658303</v>
      </c>
      <c r="BD80" s="23">
        <f t="shared" si="395"/>
        <v>91908.523567478638</v>
      </c>
      <c r="BE80" s="23">
        <f t="shared" si="395"/>
        <v>76004536.36999999</v>
      </c>
      <c r="BF80" s="23">
        <f t="shared" si="395"/>
        <v>-819930.11249999981</v>
      </c>
      <c r="BG80" s="23">
        <f t="shared" si="395"/>
        <v>145222.47955042368</v>
      </c>
      <c r="BH80" s="23">
        <f t="shared" si="395"/>
        <v>-141090.70635307068</v>
      </c>
      <c r="BI80" s="23">
        <f t="shared" si="395"/>
        <v>-130393.58032865831</v>
      </c>
      <c r="BJ80" s="23">
        <f t="shared" si="395"/>
        <v>117138.52356747864</v>
      </c>
      <c r="BK80" s="23">
        <f t="shared" si="395"/>
        <v>76890536.36999999</v>
      </c>
      <c r="BL80" s="23">
        <f t="shared" si="395"/>
        <v>-687030.11249999981</v>
      </c>
      <c r="BM80" s="23">
        <f t="shared" si="395"/>
        <v>211672.47955042368</v>
      </c>
      <c r="BN80" s="23">
        <f t="shared" si="395"/>
        <v>-70210.70635307068</v>
      </c>
      <c r="BO80" s="23">
        <f t="shared" si="395"/>
        <v>-121533.58032865831</v>
      </c>
      <c r="BP80" s="23">
        <f t="shared" si="395"/>
        <v>263328.52356747864</v>
      </c>
      <c r="BQ80" s="23">
        <f t="shared" si="395"/>
        <v>77776536.36999999</v>
      </c>
      <c r="BR80" s="23">
        <f t="shared" si="395"/>
        <v>-554130.11249999981</v>
      </c>
      <c r="BS80" s="23">
        <f t="shared" si="395"/>
        <v>278122.47955042368</v>
      </c>
      <c r="BT80" s="23">
        <f t="shared" si="395"/>
        <v>669.29364692931995</v>
      </c>
      <c r="BU80" s="23">
        <f t="shared" si="395"/>
        <v>-112673.58032865831</v>
      </c>
      <c r="BV80" s="23">
        <f t="shared" si="395"/>
        <v>409518.52356747864</v>
      </c>
      <c r="BW80" s="23">
        <f>BW70+BW78-BW79</f>
        <v>77776536.36999999</v>
      </c>
      <c r="BX80" s="23">
        <f t="shared" ref="BX80:CB80" si="396">BX70+BX78-BX79</f>
        <v>-554130.11250000075</v>
      </c>
      <c r="BY80" s="23">
        <f t="shared" si="396"/>
        <v>728434.47950406559</v>
      </c>
      <c r="BZ80" s="23">
        <f t="shared" si="396"/>
        <v>669.29364692885429</v>
      </c>
      <c r="CA80" s="23">
        <f t="shared" si="396"/>
        <v>-112673.58032865834</v>
      </c>
      <c r="CB80" s="23">
        <f t="shared" si="396"/>
        <v>409518.52356748097</v>
      </c>
    </row>
    <row r="81" spans="1:80" s="2" customFormat="1" ht="12.75" x14ac:dyDescent="0.2">
      <c r="A81" s="15"/>
      <c r="B81" s="14" t="s">
        <v>42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</row>
    <row r="82" spans="1:80" s="2" customFormat="1" ht="24" x14ac:dyDescent="0.2">
      <c r="A82" s="1">
        <v>1</v>
      </c>
      <c r="B82" s="5" t="s">
        <v>43</v>
      </c>
      <c r="C82" s="6"/>
      <c r="D82" s="6">
        <f>+C82*0.15</f>
        <v>0</v>
      </c>
      <c r="E82" s="6"/>
      <c r="F82" s="33"/>
      <c r="G82" s="6"/>
      <c r="H82" s="6">
        <f t="shared" ref="H82:H94" si="397">+E82+F82+G82</f>
        <v>0</v>
      </c>
      <c r="I82" s="6"/>
      <c r="J82" s="6"/>
      <c r="K82" s="6"/>
      <c r="L82" s="33"/>
      <c r="M82" s="6"/>
      <c r="N82" s="6">
        <f t="shared" ref="N82:N94" si="398">K82+L82+M82</f>
        <v>0</v>
      </c>
      <c r="O82" s="6"/>
      <c r="P82" s="6"/>
      <c r="Q82" s="6"/>
      <c r="R82" s="33"/>
      <c r="S82" s="6"/>
      <c r="T82" s="6">
        <f t="shared" ref="T82:T94" si="399">Q82+R82+S82</f>
        <v>0</v>
      </c>
      <c r="U82" s="6"/>
      <c r="V82" s="6"/>
      <c r="W82" s="6"/>
      <c r="X82" s="33"/>
      <c r="Y82" s="6"/>
      <c r="Z82" s="6">
        <f t="shared" ref="Z82:Z94" si="400">W82+X82+Y82</f>
        <v>0</v>
      </c>
      <c r="AA82" s="6">
        <v>600000</v>
      </c>
      <c r="AB82" s="6">
        <f>+AA82*0.12</f>
        <v>72000</v>
      </c>
      <c r="AC82" s="6">
        <f>+AA82*0.12</f>
        <v>72000</v>
      </c>
      <c r="AD82" s="33"/>
      <c r="AE82" s="6">
        <v>0</v>
      </c>
      <c r="AF82" s="6">
        <f t="shared" ref="AF82:AF94" si="401">AC82+AD82+AE82</f>
        <v>72000</v>
      </c>
      <c r="AG82" s="6">
        <v>600000</v>
      </c>
      <c r="AH82" s="6">
        <f>+AG82*0.12</f>
        <v>72000</v>
      </c>
      <c r="AI82" s="6">
        <f>+AG82*0.119</f>
        <v>71400</v>
      </c>
      <c r="AJ82" s="33"/>
      <c r="AK82" s="6">
        <f>+AG82*0.001</f>
        <v>600</v>
      </c>
      <c r="AL82" s="6">
        <f t="shared" ref="AL82:AL86" si="402">AI82+AJ82+AK82</f>
        <v>72000</v>
      </c>
      <c r="AM82" s="6">
        <v>600000</v>
      </c>
      <c r="AN82" s="6">
        <f>+AM82*0.12</f>
        <v>72000</v>
      </c>
      <c r="AO82" s="6">
        <f>+AM82*0.119</f>
        <v>71400</v>
      </c>
      <c r="AP82" s="33"/>
      <c r="AQ82" s="6">
        <f>+AM82*0.001</f>
        <v>600</v>
      </c>
      <c r="AR82" s="6">
        <f t="shared" ref="AR82:AR88" si="403">AO82+AP82+AQ82</f>
        <v>72000</v>
      </c>
      <c r="AS82" s="6">
        <v>660000</v>
      </c>
      <c r="AT82" s="6">
        <f>+AS82*0.12</f>
        <v>79200</v>
      </c>
      <c r="AU82" s="6">
        <f>+AS82*0.119</f>
        <v>78540</v>
      </c>
      <c r="AV82" s="33"/>
      <c r="AW82" s="6">
        <f>+AS82*0.001</f>
        <v>660</v>
      </c>
      <c r="AX82" s="6">
        <f t="shared" ref="AX82:AX88" si="404">AU82+AV82+AW82</f>
        <v>79200</v>
      </c>
      <c r="AY82" s="6">
        <v>660000</v>
      </c>
      <c r="AZ82" s="6">
        <f>+AY82*0.12</f>
        <v>79200</v>
      </c>
      <c r="BA82" s="6">
        <f>+AY82*0.119</f>
        <v>78540</v>
      </c>
      <c r="BB82" s="33"/>
      <c r="BC82" s="6">
        <f>+AY82*0.001</f>
        <v>660</v>
      </c>
      <c r="BD82" s="6">
        <f t="shared" ref="BD82:BD88" si="405">BA82+BB82+BC82</f>
        <v>79200</v>
      </c>
      <c r="BE82" s="6">
        <v>660000</v>
      </c>
      <c r="BF82" s="6">
        <f>BE82*0.12</f>
        <v>79200</v>
      </c>
      <c r="BG82" s="6">
        <f>+BE82*0.119</f>
        <v>78540</v>
      </c>
      <c r="BH82" s="33"/>
      <c r="BI82" s="6">
        <f>+BE82*0.001</f>
        <v>660</v>
      </c>
      <c r="BJ82" s="6">
        <f t="shared" ref="BJ82:BJ94" si="406">BG82+BH82+BI82</f>
        <v>79200</v>
      </c>
      <c r="BK82" s="6">
        <v>660000</v>
      </c>
      <c r="BL82" s="6">
        <f>BK82*0.12</f>
        <v>79200</v>
      </c>
      <c r="BM82" s="6">
        <f>+BK82*0.119</f>
        <v>78540</v>
      </c>
      <c r="BN82" s="33"/>
      <c r="BO82" s="6">
        <f>BK82*0.001</f>
        <v>660</v>
      </c>
      <c r="BP82" s="6">
        <f t="shared" ref="BP82:BP94" si="407">BM82+BN82+BO82</f>
        <v>79200</v>
      </c>
      <c r="BQ82" s="6">
        <v>660000</v>
      </c>
      <c r="BR82" s="6">
        <f>+BQ82*0.12</f>
        <v>79200</v>
      </c>
      <c r="BS82" s="6">
        <f>+BQ82*0.119</f>
        <v>78540</v>
      </c>
      <c r="BT82" s="33"/>
      <c r="BU82" s="6">
        <f>+BQ82*0.001</f>
        <v>660</v>
      </c>
      <c r="BV82" s="6">
        <f t="shared" ref="BV82:BV94" si="408">BS82+BT82+BU82</f>
        <v>79200</v>
      </c>
      <c r="BW82" s="7">
        <f t="shared" ref="BW82:BX94" si="409">C82+I82+O82+U82+AA82+AG82+AM82+AS82+AY82+BE82+BK82+BQ82</f>
        <v>5100000</v>
      </c>
      <c r="BX82" s="7">
        <f t="shared" si="409"/>
        <v>612000</v>
      </c>
      <c r="BY82" s="7">
        <f t="shared" ref="BY82:BY94" si="410">E82+K82+Q82+W82+AC82+AI82+AO82+AU82+BA82+BG82+BM82+BS82</f>
        <v>607500</v>
      </c>
      <c r="BZ82" s="7">
        <f t="shared" ref="BZ82:BZ94" si="411">F82+L82+R82+X82+AD82+AJ82+AP82+AV82+BB82+BH82+BN82+BT82</f>
        <v>0</v>
      </c>
      <c r="CA82" s="7">
        <f t="shared" ref="CA82:CA94" si="412">G82+M82+S82+Y82+AE82+AK82+AQ82+AW82+BC82+BI82+BO82+BU82</f>
        <v>4500</v>
      </c>
      <c r="CB82" s="7">
        <f t="shared" ref="CB82:CB94" si="413">H82+N82+T82+Z82+AF82+AL82+AR82+AX82+BD82+BJ82+BP82+BV82</f>
        <v>612000</v>
      </c>
    </row>
    <row r="83" spans="1:80" s="2" customFormat="1" ht="12.75" x14ac:dyDescent="0.2">
      <c r="A83" s="1">
        <f t="shared" si="29"/>
        <v>2</v>
      </c>
      <c r="B83" s="5" t="s">
        <v>15</v>
      </c>
      <c r="C83" s="6">
        <v>600000</v>
      </c>
      <c r="D83" s="6">
        <f>+C83*0.12</f>
        <v>72000</v>
      </c>
      <c r="E83" s="6">
        <f>C83*0.12</f>
        <v>72000</v>
      </c>
      <c r="F83" s="33"/>
      <c r="G83" s="6">
        <v>0</v>
      </c>
      <c r="H83" s="6">
        <f t="shared" si="397"/>
        <v>72000</v>
      </c>
      <c r="I83" s="6">
        <v>600000</v>
      </c>
      <c r="J83" s="6">
        <f>+I83*0.12</f>
        <v>72000</v>
      </c>
      <c r="K83" s="6">
        <f>+I83*0.12</f>
        <v>72000</v>
      </c>
      <c r="L83" s="33"/>
      <c r="M83" s="6">
        <v>0</v>
      </c>
      <c r="N83" s="6">
        <f t="shared" si="398"/>
        <v>72000</v>
      </c>
      <c r="O83" s="6">
        <v>600000</v>
      </c>
      <c r="P83" s="6">
        <f>+O83*0.12</f>
        <v>72000</v>
      </c>
      <c r="Q83" s="6">
        <f>+O83*0.12</f>
        <v>72000</v>
      </c>
      <c r="R83" s="33"/>
      <c r="S83" s="6">
        <v>0</v>
      </c>
      <c r="T83" s="6">
        <f t="shared" si="399"/>
        <v>72000</v>
      </c>
      <c r="U83" s="6">
        <v>600000</v>
      </c>
      <c r="V83" s="6">
        <f>+U83*0.12</f>
        <v>72000</v>
      </c>
      <c r="W83" s="6">
        <f>U83*0.12</f>
        <v>72000</v>
      </c>
      <c r="X83" s="33"/>
      <c r="Y83" s="6">
        <v>0</v>
      </c>
      <c r="Z83" s="6">
        <f t="shared" si="400"/>
        <v>72000</v>
      </c>
      <c r="AA83" s="6">
        <v>600000</v>
      </c>
      <c r="AB83" s="6">
        <f t="shared" ref="AB83:AB84" si="414">+AA83*0.12</f>
        <v>72000</v>
      </c>
      <c r="AC83" s="6">
        <f>+AA83*0.119</f>
        <v>71400</v>
      </c>
      <c r="AD83" s="33"/>
      <c r="AE83" s="6">
        <f>+AA83*0.001</f>
        <v>600</v>
      </c>
      <c r="AF83" s="6">
        <f t="shared" si="401"/>
        <v>72000</v>
      </c>
      <c r="AG83" s="6">
        <v>600000</v>
      </c>
      <c r="AH83" s="6">
        <f t="shared" ref="AH83:AH86" si="415">+AG83*0.12</f>
        <v>72000</v>
      </c>
      <c r="AI83" s="6">
        <f>+AG83*0.12</f>
        <v>72000</v>
      </c>
      <c r="AJ83" s="33"/>
      <c r="AK83" s="6">
        <v>0</v>
      </c>
      <c r="AL83" s="6">
        <f t="shared" si="402"/>
        <v>72000</v>
      </c>
      <c r="AM83" s="6">
        <v>600000</v>
      </c>
      <c r="AN83" s="6">
        <f t="shared" ref="AN83:AN88" si="416">+AM83*0.12</f>
        <v>72000</v>
      </c>
      <c r="AO83" s="6">
        <f>+AM83*0.12</f>
        <v>72000</v>
      </c>
      <c r="AP83" s="33"/>
      <c r="AQ83" s="6">
        <v>0</v>
      </c>
      <c r="AR83" s="6">
        <f t="shared" si="403"/>
        <v>72000</v>
      </c>
      <c r="AS83" s="6">
        <v>660000</v>
      </c>
      <c r="AT83" s="6">
        <f t="shared" ref="AT83:AT88" si="417">+AS83*0.12</f>
        <v>79200</v>
      </c>
      <c r="AU83" s="6">
        <f>+AS83*0.12</f>
        <v>79200</v>
      </c>
      <c r="AV83" s="33"/>
      <c r="AW83" s="6"/>
      <c r="AX83" s="6">
        <f t="shared" si="404"/>
        <v>79200</v>
      </c>
      <c r="AY83" s="6">
        <v>660000</v>
      </c>
      <c r="AZ83" s="6">
        <f t="shared" ref="AZ83:AZ88" si="418">+AY83*0.12</f>
        <v>79200</v>
      </c>
      <c r="BA83" s="6">
        <f>+AY83*0.12</f>
        <v>79200</v>
      </c>
      <c r="BB83" s="33"/>
      <c r="BC83" s="6">
        <v>0</v>
      </c>
      <c r="BD83" s="6">
        <f t="shared" si="405"/>
        <v>79200</v>
      </c>
      <c r="BE83" s="6">
        <v>660000</v>
      </c>
      <c r="BF83" s="6">
        <f t="shared" ref="BF83:BF94" si="419">BE83*0.12</f>
        <v>79200</v>
      </c>
      <c r="BG83" s="6">
        <f>+BE83*0.12</f>
        <v>79200</v>
      </c>
      <c r="BH83" s="33"/>
      <c r="BI83" s="6">
        <v>0</v>
      </c>
      <c r="BJ83" s="6">
        <f t="shared" si="406"/>
        <v>79200</v>
      </c>
      <c r="BK83" s="6">
        <v>660000</v>
      </c>
      <c r="BL83" s="6">
        <f t="shared" ref="BL83:BL94" si="420">BK83*0.12</f>
        <v>79200</v>
      </c>
      <c r="BM83" s="6">
        <f>+BK83*0.12</f>
        <v>79200</v>
      </c>
      <c r="BN83" s="33"/>
      <c r="BO83" s="6">
        <v>0</v>
      </c>
      <c r="BP83" s="6">
        <f t="shared" si="407"/>
        <v>79200</v>
      </c>
      <c r="BQ83" s="6">
        <v>660000</v>
      </c>
      <c r="BR83" s="6">
        <f t="shared" ref="BR83:BR94" si="421">+BQ83*0.12</f>
        <v>79200</v>
      </c>
      <c r="BS83" s="6">
        <f>+BQ83*0.12</f>
        <v>79200</v>
      </c>
      <c r="BT83" s="33"/>
      <c r="BU83" s="6">
        <v>0</v>
      </c>
      <c r="BV83" s="6">
        <f t="shared" si="408"/>
        <v>79200</v>
      </c>
      <c r="BW83" s="7">
        <f t="shared" si="409"/>
        <v>7500000</v>
      </c>
      <c r="BX83" s="7">
        <f t="shared" si="409"/>
        <v>900000</v>
      </c>
      <c r="BY83" s="7">
        <f t="shared" si="410"/>
        <v>899400</v>
      </c>
      <c r="BZ83" s="7">
        <f t="shared" si="411"/>
        <v>0</v>
      </c>
      <c r="CA83" s="7">
        <f t="shared" si="412"/>
        <v>600</v>
      </c>
      <c r="CB83" s="7">
        <f t="shared" si="413"/>
        <v>900000</v>
      </c>
    </row>
    <row r="84" spans="1:80" s="2" customFormat="1" ht="12.75" x14ac:dyDescent="0.2">
      <c r="A84" s="1">
        <f t="shared" si="29"/>
        <v>3</v>
      </c>
      <c r="B84" s="5" t="s">
        <v>26</v>
      </c>
      <c r="C84" s="6">
        <v>600000</v>
      </c>
      <c r="D84" s="6">
        <f>+C84*0.12</f>
        <v>72000</v>
      </c>
      <c r="E84" s="6">
        <f>C84*0.119</f>
        <v>71400</v>
      </c>
      <c r="F84" s="33"/>
      <c r="G84" s="6">
        <f>+C84*0.001</f>
        <v>600</v>
      </c>
      <c r="H84" s="6">
        <f t="shared" si="397"/>
        <v>72000</v>
      </c>
      <c r="I84" s="6">
        <v>600000</v>
      </c>
      <c r="J84" s="6">
        <f>+I84*0.12</f>
        <v>72000</v>
      </c>
      <c r="K84" s="6">
        <f>+I84*0.119</f>
        <v>71400</v>
      </c>
      <c r="L84" s="33"/>
      <c r="M84" s="6">
        <f>I84*0.001</f>
        <v>600</v>
      </c>
      <c r="N84" s="6">
        <f t="shared" si="398"/>
        <v>72000</v>
      </c>
      <c r="O84" s="6">
        <v>600000</v>
      </c>
      <c r="P84" s="6">
        <f>+O84*0.12</f>
        <v>72000</v>
      </c>
      <c r="Q84" s="6">
        <f>+O84*0.119</f>
        <v>71400</v>
      </c>
      <c r="R84" s="33"/>
      <c r="S84" s="6">
        <f>+O84*0.001</f>
        <v>600</v>
      </c>
      <c r="T84" s="6">
        <f t="shared" si="399"/>
        <v>72000</v>
      </c>
      <c r="U84" s="6">
        <v>600000</v>
      </c>
      <c r="V84" s="6">
        <f>+U84*0.12</f>
        <v>72000</v>
      </c>
      <c r="W84" s="6">
        <f>U84*0.119</f>
        <v>71400</v>
      </c>
      <c r="X84" s="33"/>
      <c r="Y84" s="6">
        <f>U84*0.001</f>
        <v>600</v>
      </c>
      <c r="Z84" s="6">
        <f t="shared" si="400"/>
        <v>72000</v>
      </c>
      <c r="AA84" s="6">
        <v>600000</v>
      </c>
      <c r="AB84" s="6">
        <f t="shared" si="414"/>
        <v>72000</v>
      </c>
      <c r="AC84" s="6">
        <f>+AA84*0.119</f>
        <v>71400</v>
      </c>
      <c r="AD84" s="33"/>
      <c r="AE84" s="6">
        <f>+AA84*0.001</f>
        <v>600</v>
      </c>
      <c r="AF84" s="6">
        <f t="shared" si="401"/>
        <v>72000</v>
      </c>
      <c r="AG84" s="6">
        <v>600000</v>
      </c>
      <c r="AH84" s="6">
        <f t="shared" si="415"/>
        <v>72000</v>
      </c>
      <c r="AI84" s="6">
        <f t="shared" ref="AI84:AI86" si="422">+AG84*0.119</f>
        <v>71400</v>
      </c>
      <c r="AJ84" s="33"/>
      <c r="AK84" s="6">
        <f t="shared" ref="AK84:AK86" si="423">+AG84*0.001</f>
        <v>600</v>
      </c>
      <c r="AL84" s="6">
        <f t="shared" si="402"/>
        <v>72000</v>
      </c>
      <c r="AM84" s="6">
        <v>600000</v>
      </c>
      <c r="AN84" s="6">
        <f t="shared" si="416"/>
        <v>72000</v>
      </c>
      <c r="AO84" s="6">
        <f>AM84*0.119</f>
        <v>71400</v>
      </c>
      <c r="AP84" s="33"/>
      <c r="AQ84" s="6">
        <f>AM84*0.001</f>
        <v>600</v>
      </c>
      <c r="AR84" s="6">
        <f t="shared" si="403"/>
        <v>72000</v>
      </c>
      <c r="AS84" s="6">
        <v>660000</v>
      </c>
      <c r="AT84" s="6">
        <f t="shared" si="417"/>
        <v>79200</v>
      </c>
      <c r="AU84" s="6">
        <f t="shared" ref="AU84:AU88" si="424">+AS84*0.119</f>
        <v>78540</v>
      </c>
      <c r="AV84" s="33"/>
      <c r="AW84" s="6">
        <f t="shared" ref="AW84:AW88" si="425">+AS84*0.001</f>
        <v>660</v>
      </c>
      <c r="AX84" s="6">
        <f t="shared" si="404"/>
        <v>79200</v>
      </c>
      <c r="AY84" s="6">
        <v>660000</v>
      </c>
      <c r="AZ84" s="6">
        <f t="shared" si="418"/>
        <v>79200</v>
      </c>
      <c r="BA84" s="6">
        <f t="shared" ref="BA84:BA88" si="426">+AY84*0.119</f>
        <v>78540</v>
      </c>
      <c r="BB84" s="33"/>
      <c r="BC84" s="6">
        <f t="shared" ref="BC84:BC88" si="427">+AY84*0.001</f>
        <v>660</v>
      </c>
      <c r="BD84" s="6">
        <f t="shared" si="405"/>
        <v>79200</v>
      </c>
      <c r="BE84" s="6">
        <v>660000</v>
      </c>
      <c r="BF84" s="6">
        <f t="shared" si="419"/>
        <v>79200</v>
      </c>
      <c r="BG84" s="6">
        <f t="shared" ref="BG84:BG88" si="428">+BE84*0.119</f>
        <v>78540</v>
      </c>
      <c r="BH84" s="33"/>
      <c r="BI84" s="6">
        <f t="shared" ref="BI84:BI88" si="429">+BE84*0.001</f>
        <v>660</v>
      </c>
      <c r="BJ84" s="6">
        <f t="shared" si="406"/>
        <v>79200</v>
      </c>
      <c r="BK84" s="6">
        <v>660000</v>
      </c>
      <c r="BL84" s="6">
        <f t="shared" si="420"/>
        <v>79200</v>
      </c>
      <c r="BM84" s="6">
        <f t="shared" ref="BM84:BM88" si="430">+BK84*0.119</f>
        <v>78540</v>
      </c>
      <c r="BN84" s="33"/>
      <c r="BO84" s="6">
        <f t="shared" ref="BO84:BO88" si="431">BK84*0.001</f>
        <v>660</v>
      </c>
      <c r="BP84" s="6">
        <f t="shared" si="407"/>
        <v>79200</v>
      </c>
      <c r="BQ84" s="6">
        <v>660000</v>
      </c>
      <c r="BR84" s="6">
        <f t="shared" si="421"/>
        <v>79200</v>
      </c>
      <c r="BS84" s="6">
        <f t="shared" ref="BS84:BS88" si="432">+BQ84*0.119</f>
        <v>78540</v>
      </c>
      <c r="BT84" s="33"/>
      <c r="BU84" s="6">
        <f t="shared" ref="BU84:BU88" si="433">+BQ84*0.001</f>
        <v>660</v>
      </c>
      <c r="BV84" s="6">
        <f t="shared" si="408"/>
        <v>79200</v>
      </c>
      <c r="BW84" s="7">
        <f t="shared" si="409"/>
        <v>7500000</v>
      </c>
      <c r="BX84" s="7">
        <f t="shared" si="409"/>
        <v>900000</v>
      </c>
      <c r="BY84" s="7">
        <f t="shared" si="410"/>
        <v>892500</v>
      </c>
      <c r="BZ84" s="7">
        <f t="shared" si="411"/>
        <v>0</v>
      </c>
      <c r="CA84" s="7">
        <f t="shared" si="412"/>
        <v>7500</v>
      </c>
      <c r="CB84" s="7">
        <f t="shared" si="413"/>
        <v>900000</v>
      </c>
    </row>
    <row r="85" spans="1:80" s="2" customFormat="1" ht="24" x14ac:dyDescent="0.2">
      <c r="A85" s="1">
        <f t="shared" si="29"/>
        <v>4</v>
      </c>
      <c r="B85" s="5" t="s">
        <v>44</v>
      </c>
      <c r="C85" s="6"/>
      <c r="D85" s="6">
        <f t="shared" ref="D85:D94" si="434">+C85*0.15</f>
        <v>0</v>
      </c>
      <c r="E85" s="6"/>
      <c r="F85" s="33"/>
      <c r="G85" s="6"/>
      <c r="H85" s="6">
        <f t="shared" si="397"/>
        <v>0</v>
      </c>
      <c r="I85" s="6"/>
      <c r="J85" s="6"/>
      <c r="K85" s="6"/>
      <c r="L85" s="33"/>
      <c r="M85" s="6"/>
      <c r="N85" s="6">
        <f t="shared" si="398"/>
        <v>0</v>
      </c>
      <c r="O85" s="6"/>
      <c r="P85" s="6"/>
      <c r="Q85" s="6"/>
      <c r="R85" s="33"/>
      <c r="S85" s="6"/>
      <c r="T85" s="6">
        <f t="shared" si="399"/>
        <v>0</v>
      </c>
      <c r="U85" s="6"/>
      <c r="V85" s="6"/>
      <c r="W85" s="6"/>
      <c r="X85" s="33"/>
      <c r="Y85" s="6"/>
      <c r="Z85" s="6">
        <f t="shared" si="400"/>
        <v>0</v>
      </c>
      <c r="AA85" s="6"/>
      <c r="AB85" s="6"/>
      <c r="AC85" s="6"/>
      <c r="AD85" s="33"/>
      <c r="AE85" s="6"/>
      <c r="AF85" s="6">
        <f t="shared" si="401"/>
        <v>0</v>
      </c>
      <c r="AG85" s="6">
        <v>600000</v>
      </c>
      <c r="AH85" s="6">
        <f t="shared" si="415"/>
        <v>72000</v>
      </c>
      <c r="AI85" s="6">
        <f t="shared" si="422"/>
        <v>71400</v>
      </c>
      <c r="AJ85" s="33"/>
      <c r="AK85" s="6">
        <f t="shared" si="423"/>
        <v>600</v>
      </c>
      <c r="AL85" s="6">
        <f t="shared" si="402"/>
        <v>72000</v>
      </c>
      <c r="AM85" s="6">
        <v>600000</v>
      </c>
      <c r="AN85" s="6">
        <f t="shared" si="416"/>
        <v>72000</v>
      </c>
      <c r="AO85" s="6">
        <f>+AM85*0.119</f>
        <v>71400</v>
      </c>
      <c r="AP85" s="33"/>
      <c r="AQ85" s="6">
        <f t="shared" ref="AQ85:AQ88" si="435">AM85*0.001</f>
        <v>600</v>
      </c>
      <c r="AR85" s="6">
        <f t="shared" si="403"/>
        <v>72000</v>
      </c>
      <c r="AS85" s="6">
        <v>660000</v>
      </c>
      <c r="AT85" s="6">
        <f t="shared" si="417"/>
        <v>79200</v>
      </c>
      <c r="AU85" s="6">
        <f t="shared" si="424"/>
        <v>78540</v>
      </c>
      <c r="AV85" s="33"/>
      <c r="AW85" s="6">
        <f t="shared" si="425"/>
        <v>660</v>
      </c>
      <c r="AX85" s="6">
        <f t="shared" si="404"/>
        <v>79200</v>
      </c>
      <c r="AY85" s="6">
        <v>660000</v>
      </c>
      <c r="AZ85" s="6">
        <f t="shared" si="418"/>
        <v>79200</v>
      </c>
      <c r="BA85" s="6">
        <f t="shared" si="426"/>
        <v>78540</v>
      </c>
      <c r="BB85" s="33"/>
      <c r="BC85" s="6">
        <f t="shared" si="427"/>
        <v>660</v>
      </c>
      <c r="BD85" s="6">
        <f t="shared" si="405"/>
        <v>79200</v>
      </c>
      <c r="BE85" s="6">
        <v>660000</v>
      </c>
      <c r="BF85" s="6">
        <f t="shared" si="419"/>
        <v>79200</v>
      </c>
      <c r="BG85" s="6">
        <f t="shared" si="428"/>
        <v>78540</v>
      </c>
      <c r="BH85" s="33"/>
      <c r="BI85" s="6">
        <f t="shared" si="429"/>
        <v>660</v>
      </c>
      <c r="BJ85" s="6">
        <f t="shared" si="406"/>
        <v>79200</v>
      </c>
      <c r="BK85" s="6">
        <v>660000</v>
      </c>
      <c r="BL85" s="6">
        <f t="shared" si="420"/>
        <v>79200</v>
      </c>
      <c r="BM85" s="6">
        <f t="shared" si="430"/>
        <v>78540</v>
      </c>
      <c r="BN85" s="33"/>
      <c r="BO85" s="6">
        <f t="shared" si="431"/>
        <v>660</v>
      </c>
      <c r="BP85" s="6">
        <f t="shared" si="407"/>
        <v>79200</v>
      </c>
      <c r="BQ85" s="6">
        <v>660000</v>
      </c>
      <c r="BR85" s="6">
        <f t="shared" si="421"/>
        <v>79200</v>
      </c>
      <c r="BS85" s="6">
        <f t="shared" si="432"/>
        <v>78540</v>
      </c>
      <c r="BT85" s="33"/>
      <c r="BU85" s="6">
        <f t="shared" si="433"/>
        <v>660</v>
      </c>
      <c r="BV85" s="6">
        <f t="shared" si="408"/>
        <v>79200</v>
      </c>
      <c r="BW85" s="7">
        <f t="shared" si="409"/>
        <v>4500000</v>
      </c>
      <c r="BX85" s="7">
        <f t="shared" si="409"/>
        <v>540000</v>
      </c>
      <c r="BY85" s="7">
        <f t="shared" si="410"/>
        <v>535500</v>
      </c>
      <c r="BZ85" s="7">
        <f t="shared" si="411"/>
        <v>0</v>
      </c>
      <c r="CA85" s="7">
        <f t="shared" si="412"/>
        <v>4500</v>
      </c>
      <c r="CB85" s="7">
        <f t="shared" si="413"/>
        <v>540000</v>
      </c>
    </row>
    <row r="86" spans="1:80" s="2" customFormat="1" ht="24" x14ac:dyDescent="0.2">
      <c r="A86" s="1">
        <f t="shared" si="29"/>
        <v>5</v>
      </c>
      <c r="B86" s="5" t="s">
        <v>45</v>
      </c>
      <c r="C86" s="6"/>
      <c r="D86" s="6">
        <f t="shared" si="434"/>
        <v>0</v>
      </c>
      <c r="E86" s="6"/>
      <c r="F86" s="33"/>
      <c r="G86" s="6"/>
      <c r="H86" s="6">
        <f t="shared" si="397"/>
        <v>0</v>
      </c>
      <c r="I86" s="6"/>
      <c r="J86" s="6"/>
      <c r="K86" s="6"/>
      <c r="L86" s="33"/>
      <c r="M86" s="6"/>
      <c r="N86" s="6">
        <f t="shared" si="398"/>
        <v>0</v>
      </c>
      <c r="O86" s="6"/>
      <c r="P86" s="6"/>
      <c r="Q86" s="6"/>
      <c r="R86" s="33"/>
      <c r="S86" s="6"/>
      <c r="T86" s="6">
        <f t="shared" si="399"/>
        <v>0</v>
      </c>
      <c r="U86" s="6"/>
      <c r="V86" s="6"/>
      <c r="W86" s="6"/>
      <c r="X86" s="33"/>
      <c r="Y86" s="6"/>
      <c r="Z86" s="6">
        <f t="shared" si="400"/>
        <v>0</v>
      </c>
      <c r="AA86" s="6"/>
      <c r="AB86" s="6"/>
      <c r="AC86" s="6"/>
      <c r="AD86" s="33"/>
      <c r="AE86" s="6"/>
      <c r="AF86" s="6">
        <f t="shared" si="401"/>
        <v>0</v>
      </c>
      <c r="AG86" s="6">
        <v>600000</v>
      </c>
      <c r="AH86" s="6">
        <f t="shared" si="415"/>
        <v>72000</v>
      </c>
      <c r="AI86" s="6">
        <f t="shared" si="422"/>
        <v>71400</v>
      </c>
      <c r="AJ86" s="33"/>
      <c r="AK86" s="6">
        <f t="shared" si="423"/>
        <v>600</v>
      </c>
      <c r="AL86" s="6">
        <f t="shared" si="402"/>
        <v>72000</v>
      </c>
      <c r="AM86" s="6">
        <v>600000</v>
      </c>
      <c r="AN86" s="6">
        <f t="shared" si="416"/>
        <v>72000</v>
      </c>
      <c r="AO86" s="6">
        <f t="shared" ref="AO86:AO88" si="436">+AM86*0.119</f>
        <v>71400</v>
      </c>
      <c r="AP86" s="33"/>
      <c r="AQ86" s="6">
        <f t="shared" si="435"/>
        <v>600</v>
      </c>
      <c r="AR86" s="6">
        <f t="shared" si="403"/>
        <v>72000</v>
      </c>
      <c r="AS86" s="6">
        <v>660000</v>
      </c>
      <c r="AT86" s="6">
        <f t="shared" si="417"/>
        <v>79200</v>
      </c>
      <c r="AU86" s="6">
        <f t="shared" si="424"/>
        <v>78540</v>
      </c>
      <c r="AV86" s="33"/>
      <c r="AW86" s="6">
        <f t="shared" si="425"/>
        <v>660</v>
      </c>
      <c r="AX86" s="6">
        <f t="shared" si="404"/>
        <v>79200</v>
      </c>
      <c r="AY86" s="6">
        <v>660000</v>
      </c>
      <c r="AZ86" s="6">
        <f t="shared" si="418"/>
        <v>79200</v>
      </c>
      <c r="BA86" s="6">
        <f t="shared" si="426"/>
        <v>78540</v>
      </c>
      <c r="BB86" s="33"/>
      <c r="BC86" s="6">
        <f t="shared" si="427"/>
        <v>660</v>
      </c>
      <c r="BD86" s="6">
        <f t="shared" si="405"/>
        <v>79200</v>
      </c>
      <c r="BE86" s="6">
        <v>660000</v>
      </c>
      <c r="BF86" s="6">
        <f t="shared" si="419"/>
        <v>79200</v>
      </c>
      <c r="BG86" s="6">
        <f t="shared" si="428"/>
        <v>78540</v>
      </c>
      <c r="BH86" s="33"/>
      <c r="BI86" s="6">
        <f t="shared" si="429"/>
        <v>660</v>
      </c>
      <c r="BJ86" s="6">
        <f t="shared" si="406"/>
        <v>79200</v>
      </c>
      <c r="BK86" s="6">
        <v>660000</v>
      </c>
      <c r="BL86" s="6">
        <f t="shared" si="420"/>
        <v>79200</v>
      </c>
      <c r="BM86" s="6">
        <f t="shared" si="430"/>
        <v>78540</v>
      </c>
      <c r="BN86" s="33"/>
      <c r="BO86" s="6">
        <f t="shared" si="431"/>
        <v>660</v>
      </c>
      <c r="BP86" s="6">
        <f t="shared" si="407"/>
        <v>79200</v>
      </c>
      <c r="BQ86" s="6">
        <v>660000</v>
      </c>
      <c r="BR86" s="6">
        <f t="shared" si="421"/>
        <v>79200</v>
      </c>
      <c r="BS86" s="6">
        <f t="shared" si="432"/>
        <v>78540</v>
      </c>
      <c r="BT86" s="33"/>
      <c r="BU86" s="6">
        <f t="shared" si="433"/>
        <v>660</v>
      </c>
      <c r="BV86" s="6">
        <f t="shared" si="408"/>
        <v>79200</v>
      </c>
      <c r="BW86" s="7">
        <f t="shared" si="409"/>
        <v>4500000</v>
      </c>
      <c r="BX86" s="7">
        <f t="shared" si="409"/>
        <v>540000</v>
      </c>
      <c r="BY86" s="7">
        <f t="shared" si="410"/>
        <v>535500</v>
      </c>
      <c r="BZ86" s="7">
        <f t="shared" si="411"/>
        <v>0</v>
      </c>
      <c r="CA86" s="7">
        <f t="shared" si="412"/>
        <v>4500</v>
      </c>
      <c r="CB86" s="7">
        <f t="shared" si="413"/>
        <v>540000</v>
      </c>
    </row>
    <row r="87" spans="1:80" s="2" customFormat="1" ht="24" x14ac:dyDescent="0.2">
      <c r="A87" s="1">
        <f t="shared" si="29"/>
        <v>6</v>
      </c>
      <c r="B87" s="5" t="s">
        <v>27</v>
      </c>
      <c r="C87" s="6"/>
      <c r="D87" s="6">
        <f t="shared" si="434"/>
        <v>0</v>
      </c>
      <c r="E87" s="6"/>
      <c r="F87" s="33"/>
      <c r="G87" s="6"/>
      <c r="H87" s="6">
        <f t="shared" si="397"/>
        <v>0</v>
      </c>
      <c r="I87" s="6"/>
      <c r="J87" s="6"/>
      <c r="K87" s="6"/>
      <c r="L87" s="33"/>
      <c r="M87" s="6"/>
      <c r="N87" s="6">
        <f t="shared" si="398"/>
        <v>0</v>
      </c>
      <c r="O87" s="6"/>
      <c r="P87" s="6"/>
      <c r="Q87" s="6"/>
      <c r="R87" s="33"/>
      <c r="S87" s="6"/>
      <c r="T87" s="6">
        <f t="shared" si="399"/>
        <v>0</v>
      </c>
      <c r="U87" s="6"/>
      <c r="V87" s="6"/>
      <c r="W87" s="6"/>
      <c r="X87" s="33"/>
      <c r="Y87" s="6"/>
      <c r="Z87" s="6">
        <f t="shared" si="400"/>
        <v>0</v>
      </c>
      <c r="AA87" s="6"/>
      <c r="AB87" s="6"/>
      <c r="AC87" s="6"/>
      <c r="AD87" s="33"/>
      <c r="AE87" s="6"/>
      <c r="AF87" s="6">
        <f t="shared" si="401"/>
        <v>0</v>
      </c>
      <c r="AG87" s="6"/>
      <c r="AH87" s="6"/>
      <c r="AI87" s="6"/>
      <c r="AJ87" s="33"/>
      <c r="AK87" s="6"/>
      <c r="AL87" s="6"/>
      <c r="AM87" s="6">
        <v>600000</v>
      </c>
      <c r="AN87" s="6">
        <f t="shared" si="416"/>
        <v>72000</v>
      </c>
      <c r="AO87" s="6">
        <f t="shared" si="436"/>
        <v>71400</v>
      </c>
      <c r="AP87" s="33"/>
      <c r="AQ87" s="6">
        <f t="shared" si="435"/>
        <v>600</v>
      </c>
      <c r="AR87" s="6">
        <f t="shared" si="403"/>
        <v>72000</v>
      </c>
      <c r="AS87" s="6">
        <v>660000</v>
      </c>
      <c r="AT87" s="6">
        <f t="shared" si="417"/>
        <v>79200</v>
      </c>
      <c r="AU87" s="6">
        <f t="shared" si="424"/>
        <v>78540</v>
      </c>
      <c r="AV87" s="33"/>
      <c r="AW87" s="6">
        <f t="shared" si="425"/>
        <v>660</v>
      </c>
      <c r="AX87" s="6">
        <f t="shared" si="404"/>
        <v>79200</v>
      </c>
      <c r="AY87" s="6">
        <v>660000</v>
      </c>
      <c r="AZ87" s="6">
        <f t="shared" si="418"/>
        <v>79200</v>
      </c>
      <c r="BA87" s="6">
        <f t="shared" si="426"/>
        <v>78540</v>
      </c>
      <c r="BB87" s="33"/>
      <c r="BC87" s="6">
        <f t="shared" si="427"/>
        <v>660</v>
      </c>
      <c r="BD87" s="6">
        <f t="shared" si="405"/>
        <v>79200</v>
      </c>
      <c r="BE87" s="6">
        <v>660000</v>
      </c>
      <c r="BF87" s="6">
        <f t="shared" si="419"/>
        <v>79200</v>
      </c>
      <c r="BG87" s="6">
        <f t="shared" si="428"/>
        <v>78540</v>
      </c>
      <c r="BH87" s="33"/>
      <c r="BI87" s="6">
        <f t="shared" si="429"/>
        <v>660</v>
      </c>
      <c r="BJ87" s="6">
        <f t="shared" si="406"/>
        <v>79200</v>
      </c>
      <c r="BK87" s="6">
        <v>660000</v>
      </c>
      <c r="BL87" s="6">
        <f t="shared" si="420"/>
        <v>79200</v>
      </c>
      <c r="BM87" s="6">
        <f t="shared" si="430"/>
        <v>78540</v>
      </c>
      <c r="BN87" s="33"/>
      <c r="BO87" s="6">
        <f t="shared" si="431"/>
        <v>660</v>
      </c>
      <c r="BP87" s="6">
        <f t="shared" si="407"/>
        <v>79200</v>
      </c>
      <c r="BQ87" s="6">
        <v>660000</v>
      </c>
      <c r="BR87" s="6">
        <f t="shared" si="421"/>
        <v>79200</v>
      </c>
      <c r="BS87" s="6">
        <f t="shared" si="432"/>
        <v>78540</v>
      </c>
      <c r="BT87" s="33"/>
      <c r="BU87" s="6">
        <f t="shared" si="433"/>
        <v>660</v>
      </c>
      <c r="BV87" s="6">
        <f t="shared" si="408"/>
        <v>79200</v>
      </c>
      <c r="BW87" s="7">
        <f t="shared" si="409"/>
        <v>3900000</v>
      </c>
      <c r="BX87" s="7">
        <f t="shared" si="409"/>
        <v>468000</v>
      </c>
      <c r="BY87" s="7">
        <f t="shared" si="410"/>
        <v>464100</v>
      </c>
      <c r="BZ87" s="7">
        <f t="shared" si="411"/>
        <v>0</v>
      </c>
      <c r="CA87" s="7">
        <f t="shared" si="412"/>
        <v>3900</v>
      </c>
      <c r="CB87" s="7">
        <f t="shared" si="413"/>
        <v>468000</v>
      </c>
    </row>
    <row r="88" spans="1:80" s="2" customFormat="1" ht="24" x14ac:dyDescent="0.2">
      <c r="A88" s="1">
        <f t="shared" si="29"/>
        <v>7</v>
      </c>
      <c r="B88" s="5" t="s">
        <v>46</v>
      </c>
      <c r="C88" s="6"/>
      <c r="D88" s="6">
        <f t="shared" si="434"/>
        <v>0</v>
      </c>
      <c r="E88" s="6"/>
      <c r="F88" s="33"/>
      <c r="G88" s="6"/>
      <c r="H88" s="6">
        <f t="shared" si="397"/>
        <v>0</v>
      </c>
      <c r="I88" s="6"/>
      <c r="J88" s="6"/>
      <c r="K88" s="6"/>
      <c r="L88" s="33"/>
      <c r="M88" s="6"/>
      <c r="N88" s="6">
        <f t="shared" si="398"/>
        <v>0</v>
      </c>
      <c r="O88" s="6"/>
      <c r="P88" s="6"/>
      <c r="Q88" s="6"/>
      <c r="R88" s="33"/>
      <c r="S88" s="6"/>
      <c r="T88" s="6">
        <f t="shared" si="399"/>
        <v>0</v>
      </c>
      <c r="U88" s="6"/>
      <c r="V88" s="6"/>
      <c r="W88" s="6"/>
      <c r="X88" s="33"/>
      <c r="Y88" s="6"/>
      <c r="Z88" s="6">
        <f t="shared" si="400"/>
        <v>0</v>
      </c>
      <c r="AA88" s="6"/>
      <c r="AB88" s="6"/>
      <c r="AC88" s="6"/>
      <c r="AD88" s="33"/>
      <c r="AE88" s="6"/>
      <c r="AF88" s="6">
        <f t="shared" si="401"/>
        <v>0</v>
      </c>
      <c r="AG88" s="6"/>
      <c r="AH88" s="6"/>
      <c r="AI88" s="6"/>
      <c r="AJ88" s="33"/>
      <c r="AK88" s="6"/>
      <c r="AL88" s="6"/>
      <c r="AM88" s="6">
        <v>600000</v>
      </c>
      <c r="AN88" s="6">
        <f t="shared" si="416"/>
        <v>72000</v>
      </c>
      <c r="AO88" s="6">
        <f t="shared" si="436"/>
        <v>71400</v>
      </c>
      <c r="AP88" s="33"/>
      <c r="AQ88" s="6">
        <f t="shared" si="435"/>
        <v>600</v>
      </c>
      <c r="AR88" s="6">
        <f t="shared" si="403"/>
        <v>72000</v>
      </c>
      <c r="AS88" s="6">
        <v>660000</v>
      </c>
      <c r="AT88" s="6">
        <f t="shared" si="417"/>
        <v>79200</v>
      </c>
      <c r="AU88" s="6">
        <f t="shared" si="424"/>
        <v>78540</v>
      </c>
      <c r="AV88" s="33"/>
      <c r="AW88" s="6">
        <f t="shared" si="425"/>
        <v>660</v>
      </c>
      <c r="AX88" s="6">
        <f t="shared" si="404"/>
        <v>79200</v>
      </c>
      <c r="AY88" s="6">
        <v>660000</v>
      </c>
      <c r="AZ88" s="6">
        <f t="shared" si="418"/>
        <v>79200</v>
      </c>
      <c r="BA88" s="6">
        <f t="shared" si="426"/>
        <v>78540</v>
      </c>
      <c r="BB88" s="33"/>
      <c r="BC88" s="6">
        <f t="shared" si="427"/>
        <v>660</v>
      </c>
      <c r="BD88" s="6">
        <f t="shared" si="405"/>
        <v>79200</v>
      </c>
      <c r="BE88" s="6">
        <v>660000</v>
      </c>
      <c r="BF88" s="6">
        <f t="shared" si="419"/>
        <v>79200</v>
      </c>
      <c r="BG88" s="6">
        <f t="shared" si="428"/>
        <v>78540</v>
      </c>
      <c r="BH88" s="33"/>
      <c r="BI88" s="6">
        <f t="shared" si="429"/>
        <v>660</v>
      </c>
      <c r="BJ88" s="6">
        <f t="shared" si="406"/>
        <v>79200</v>
      </c>
      <c r="BK88" s="6">
        <v>660000</v>
      </c>
      <c r="BL88" s="6">
        <f t="shared" si="420"/>
        <v>79200</v>
      </c>
      <c r="BM88" s="6">
        <f t="shared" si="430"/>
        <v>78540</v>
      </c>
      <c r="BN88" s="33"/>
      <c r="BO88" s="6">
        <f t="shared" si="431"/>
        <v>660</v>
      </c>
      <c r="BP88" s="6">
        <f t="shared" si="407"/>
        <v>79200</v>
      </c>
      <c r="BQ88" s="6">
        <v>660000</v>
      </c>
      <c r="BR88" s="6">
        <f t="shared" si="421"/>
        <v>79200</v>
      </c>
      <c r="BS88" s="6">
        <f t="shared" si="432"/>
        <v>78540</v>
      </c>
      <c r="BT88" s="33"/>
      <c r="BU88" s="6">
        <f t="shared" si="433"/>
        <v>660</v>
      </c>
      <c r="BV88" s="6">
        <f t="shared" si="408"/>
        <v>79200</v>
      </c>
      <c r="BW88" s="7">
        <f t="shared" si="409"/>
        <v>3900000</v>
      </c>
      <c r="BX88" s="7">
        <f t="shared" si="409"/>
        <v>468000</v>
      </c>
      <c r="BY88" s="7">
        <f t="shared" si="410"/>
        <v>464100</v>
      </c>
      <c r="BZ88" s="7">
        <f t="shared" si="411"/>
        <v>0</v>
      </c>
      <c r="CA88" s="7">
        <f t="shared" si="412"/>
        <v>3900</v>
      </c>
      <c r="CB88" s="7">
        <f t="shared" si="413"/>
        <v>468000</v>
      </c>
    </row>
    <row r="89" spans="1:80" s="2" customFormat="1" ht="12.75" x14ac:dyDescent="0.2">
      <c r="A89" s="1">
        <f t="shared" si="29"/>
        <v>8</v>
      </c>
      <c r="B89" s="5" t="s">
        <v>33</v>
      </c>
      <c r="C89" s="6"/>
      <c r="D89" s="6">
        <f t="shared" si="434"/>
        <v>0</v>
      </c>
      <c r="E89" s="6"/>
      <c r="F89" s="33"/>
      <c r="G89" s="6"/>
      <c r="H89" s="6">
        <f t="shared" si="397"/>
        <v>0</v>
      </c>
      <c r="I89" s="6"/>
      <c r="J89" s="6"/>
      <c r="K89" s="6"/>
      <c r="L89" s="33"/>
      <c r="M89" s="6"/>
      <c r="N89" s="6">
        <f t="shared" si="398"/>
        <v>0</v>
      </c>
      <c r="O89" s="6"/>
      <c r="P89" s="6"/>
      <c r="Q89" s="6"/>
      <c r="R89" s="33"/>
      <c r="S89" s="6"/>
      <c r="T89" s="6">
        <f t="shared" si="399"/>
        <v>0</v>
      </c>
      <c r="U89" s="6"/>
      <c r="V89" s="6"/>
      <c r="W89" s="6"/>
      <c r="X89" s="33"/>
      <c r="Y89" s="6"/>
      <c r="Z89" s="6">
        <f t="shared" si="400"/>
        <v>0</v>
      </c>
      <c r="AA89" s="6"/>
      <c r="AB89" s="6"/>
      <c r="AC89" s="6"/>
      <c r="AD89" s="33"/>
      <c r="AE89" s="6"/>
      <c r="AF89" s="6">
        <f t="shared" si="401"/>
        <v>0</v>
      </c>
      <c r="AG89" s="6"/>
      <c r="AH89" s="6"/>
      <c r="AI89" s="6"/>
      <c r="AJ89" s="33"/>
      <c r="AK89" s="6"/>
      <c r="AL89" s="6"/>
      <c r="AM89" s="6"/>
      <c r="AN89" s="6"/>
      <c r="AO89" s="6"/>
      <c r="AP89" s="33"/>
      <c r="AQ89" s="6"/>
      <c r="AR89" s="6"/>
      <c r="AS89" s="6"/>
      <c r="AT89" s="6"/>
      <c r="AU89" s="6"/>
      <c r="AV89" s="33"/>
      <c r="AW89" s="6"/>
      <c r="AX89" s="6"/>
      <c r="AY89" s="6"/>
      <c r="AZ89" s="6"/>
      <c r="BA89" s="6"/>
      <c r="BB89" s="33"/>
      <c r="BC89" s="6"/>
      <c r="BD89" s="6"/>
      <c r="BE89" s="6">
        <v>660000</v>
      </c>
      <c r="BF89" s="6">
        <f t="shared" si="419"/>
        <v>79200</v>
      </c>
      <c r="BG89" s="6">
        <f t="shared" ref="BG89:BG94" si="437">+BE89*0.12</f>
        <v>79200</v>
      </c>
      <c r="BH89" s="33"/>
      <c r="BI89" s="6">
        <v>0</v>
      </c>
      <c r="BJ89" s="6">
        <f t="shared" si="406"/>
        <v>79200</v>
      </c>
      <c r="BK89" s="6">
        <v>660000</v>
      </c>
      <c r="BL89" s="6">
        <f t="shared" si="420"/>
        <v>79200</v>
      </c>
      <c r="BM89" s="6">
        <f t="shared" ref="BM89:BM94" si="438">+BK89*0.12</f>
        <v>79200</v>
      </c>
      <c r="BN89" s="33"/>
      <c r="BO89" s="6">
        <v>0</v>
      </c>
      <c r="BP89" s="6">
        <f t="shared" si="407"/>
        <v>79200</v>
      </c>
      <c r="BQ89" s="6">
        <v>660000</v>
      </c>
      <c r="BR89" s="6">
        <f t="shared" si="421"/>
        <v>79200</v>
      </c>
      <c r="BS89" s="6">
        <f t="shared" ref="BS89:BS94" si="439">+BQ89*0.12</f>
        <v>79200</v>
      </c>
      <c r="BT89" s="33"/>
      <c r="BU89" s="6"/>
      <c r="BV89" s="6">
        <f t="shared" si="408"/>
        <v>79200</v>
      </c>
      <c r="BW89" s="7">
        <f t="shared" si="409"/>
        <v>1980000</v>
      </c>
      <c r="BX89" s="7">
        <f t="shared" si="409"/>
        <v>237600</v>
      </c>
      <c r="BY89" s="7">
        <f t="shared" si="410"/>
        <v>237600</v>
      </c>
      <c r="BZ89" s="7">
        <f t="shared" si="411"/>
        <v>0</v>
      </c>
      <c r="CA89" s="7">
        <f t="shared" si="412"/>
        <v>0</v>
      </c>
      <c r="CB89" s="7">
        <f t="shared" si="413"/>
        <v>237600</v>
      </c>
    </row>
    <row r="90" spans="1:80" s="2" customFormat="1" ht="12.75" x14ac:dyDescent="0.2">
      <c r="A90" s="1">
        <f t="shared" si="29"/>
        <v>9</v>
      </c>
      <c r="B90" s="5" t="s">
        <v>47</v>
      </c>
      <c r="C90" s="6"/>
      <c r="D90" s="6">
        <f t="shared" si="434"/>
        <v>0</v>
      </c>
      <c r="E90" s="6"/>
      <c r="F90" s="33"/>
      <c r="G90" s="6"/>
      <c r="H90" s="6">
        <f t="shared" si="397"/>
        <v>0</v>
      </c>
      <c r="I90" s="6"/>
      <c r="J90" s="6"/>
      <c r="K90" s="6"/>
      <c r="L90" s="33"/>
      <c r="M90" s="6"/>
      <c r="N90" s="6">
        <f t="shared" si="398"/>
        <v>0</v>
      </c>
      <c r="O90" s="6"/>
      <c r="P90" s="6"/>
      <c r="Q90" s="6"/>
      <c r="R90" s="33"/>
      <c r="S90" s="6"/>
      <c r="T90" s="6">
        <f t="shared" si="399"/>
        <v>0</v>
      </c>
      <c r="U90" s="6"/>
      <c r="V90" s="6"/>
      <c r="W90" s="6"/>
      <c r="X90" s="33"/>
      <c r="Y90" s="6"/>
      <c r="Z90" s="6">
        <f t="shared" si="400"/>
        <v>0</v>
      </c>
      <c r="AA90" s="6"/>
      <c r="AB90" s="6"/>
      <c r="AC90" s="6"/>
      <c r="AD90" s="33"/>
      <c r="AE90" s="6"/>
      <c r="AF90" s="6">
        <f t="shared" si="401"/>
        <v>0</v>
      </c>
      <c r="AG90" s="6"/>
      <c r="AH90" s="6"/>
      <c r="AI90" s="6"/>
      <c r="AJ90" s="33"/>
      <c r="AK90" s="6"/>
      <c r="AL90" s="6"/>
      <c r="AM90" s="6"/>
      <c r="AN90" s="6"/>
      <c r="AO90" s="6"/>
      <c r="AP90" s="33"/>
      <c r="AQ90" s="6"/>
      <c r="AR90" s="6"/>
      <c r="AS90" s="6"/>
      <c r="AT90" s="6"/>
      <c r="AU90" s="6"/>
      <c r="AV90" s="33"/>
      <c r="AW90" s="6"/>
      <c r="AX90" s="6"/>
      <c r="AY90" s="6"/>
      <c r="AZ90" s="6"/>
      <c r="BA90" s="6"/>
      <c r="BB90" s="33"/>
      <c r="BC90" s="6"/>
      <c r="BD90" s="6"/>
      <c r="BE90" s="6">
        <v>660000</v>
      </c>
      <c r="BF90" s="6">
        <f t="shared" si="419"/>
        <v>79200</v>
      </c>
      <c r="BG90" s="6">
        <f t="shared" si="437"/>
        <v>79200</v>
      </c>
      <c r="BH90" s="33"/>
      <c r="BI90" s="6">
        <v>0</v>
      </c>
      <c r="BJ90" s="6">
        <f t="shared" si="406"/>
        <v>79200</v>
      </c>
      <c r="BK90" s="6">
        <v>660000</v>
      </c>
      <c r="BL90" s="6">
        <f t="shared" si="420"/>
        <v>79200</v>
      </c>
      <c r="BM90" s="6">
        <f t="shared" si="438"/>
        <v>79200</v>
      </c>
      <c r="BN90" s="33"/>
      <c r="BO90" s="6">
        <v>0</v>
      </c>
      <c r="BP90" s="6">
        <f t="shared" si="407"/>
        <v>79200</v>
      </c>
      <c r="BQ90" s="6">
        <v>660000</v>
      </c>
      <c r="BR90" s="6">
        <f t="shared" si="421"/>
        <v>79200</v>
      </c>
      <c r="BS90" s="6">
        <f t="shared" si="439"/>
        <v>79200</v>
      </c>
      <c r="BT90" s="33"/>
      <c r="BU90" s="6"/>
      <c r="BV90" s="6">
        <f t="shared" si="408"/>
        <v>79200</v>
      </c>
      <c r="BW90" s="7">
        <f t="shared" si="409"/>
        <v>1980000</v>
      </c>
      <c r="BX90" s="7">
        <f t="shared" si="409"/>
        <v>237600</v>
      </c>
      <c r="BY90" s="7">
        <f t="shared" si="410"/>
        <v>237600</v>
      </c>
      <c r="BZ90" s="7">
        <f t="shared" si="411"/>
        <v>0</v>
      </c>
      <c r="CA90" s="7">
        <f t="shared" si="412"/>
        <v>0</v>
      </c>
      <c r="CB90" s="7">
        <f t="shared" si="413"/>
        <v>237600</v>
      </c>
    </row>
    <row r="91" spans="1:80" s="2" customFormat="1" ht="12.75" x14ac:dyDescent="0.2">
      <c r="A91" s="1">
        <f t="shared" si="29"/>
        <v>10</v>
      </c>
      <c r="B91" s="5" t="s">
        <v>65</v>
      </c>
      <c r="C91" s="6"/>
      <c r="D91" s="6">
        <f t="shared" si="434"/>
        <v>0</v>
      </c>
      <c r="E91" s="6"/>
      <c r="F91" s="33"/>
      <c r="G91" s="6"/>
      <c r="H91" s="6">
        <f t="shared" si="397"/>
        <v>0</v>
      </c>
      <c r="I91" s="6"/>
      <c r="J91" s="6"/>
      <c r="K91" s="6"/>
      <c r="L91" s="33"/>
      <c r="M91" s="6"/>
      <c r="N91" s="6">
        <f t="shared" si="398"/>
        <v>0</v>
      </c>
      <c r="O91" s="6"/>
      <c r="P91" s="6"/>
      <c r="Q91" s="6"/>
      <c r="R91" s="33"/>
      <c r="S91" s="6"/>
      <c r="T91" s="6">
        <f t="shared" si="399"/>
        <v>0</v>
      </c>
      <c r="U91" s="6"/>
      <c r="V91" s="6"/>
      <c r="W91" s="6"/>
      <c r="X91" s="33"/>
      <c r="Y91" s="6"/>
      <c r="Z91" s="6">
        <f t="shared" si="400"/>
        <v>0</v>
      </c>
      <c r="AA91" s="6"/>
      <c r="AB91" s="6"/>
      <c r="AC91" s="6"/>
      <c r="AD91" s="33"/>
      <c r="AE91" s="6"/>
      <c r="AF91" s="6">
        <f t="shared" si="401"/>
        <v>0</v>
      </c>
      <c r="AG91" s="6"/>
      <c r="AH91" s="6"/>
      <c r="AI91" s="6"/>
      <c r="AJ91" s="33"/>
      <c r="AK91" s="6"/>
      <c r="AL91" s="6"/>
      <c r="AM91" s="6"/>
      <c r="AN91" s="6"/>
      <c r="AO91" s="6"/>
      <c r="AP91" s="33"/>
      <c r="AQ91" s="6"/>
      <c r="AR91" s="6"/>
      <c r="AS91" s="6"/>
      <c r="AT91" s="6"/>
      <c r="AU91" s="6"/>
      <c r="AV91" s="33"/>
      <c r="AW91" s="6"/>
      <c r="AX91" s="6"/>
      <c r="AY91" s="6"/>
      <c r="AZ91" s="6"/>
      <c r="BA91" s="6"/>
      <c r="BB91" s="33"/>
      <c r="BC91" s="6"/>
      <c r="BD91" s="6"/>
      <c r="BE91" s="6">
        <v>660000</v>
      </c>
      <c r="BF91" s="6">
        <f t="shared" si="419"/>
        <v>79200</v>
      </c>
      <c r="BG91" s="6">
        <f t="shared" si="437"/>
        <v>79200</v>
      </c>
      <c r="BH91" s="33"/>
      <c r="BI91" s="6">
        <v>0</v>
      </c>
      <c r="BJ91" s="6">
        <f t="shared" si="406"/>
        <v>79200</v>
      </c>
      <c r="BK91" s="6">
        <v>660000</v>
      </c>
      <c r="BL91" s="6">
        <f t="shared" si="420"/>
        <v>79200</v>
      </c>
      <c r="BM91" s="6">
        <f t="shared" si="438"/>
        <v>79200</v>
      </c>
      <c r="BN91" s="33"/>
      <c r="BO91" s="6">
        <v>0</v>
      </c>
      <c r="BP91" s="6">
        <f t="shared" si="407"/>
        <v>79200</v>
      </c>
      <c r="BQ91" s="6">
        <v>660000</v>
      </c>
      <c r="BR91" s="6">
        <f t="shared" si="421"/>
        <v>79200</v>
      </c>
      <c r="BS91" s="6">
        <f t="shared" si="439"/>
        <v>79200</v>
      </c>
      <c r="BT91" s="33"/>
      <c r="BU91" s="6"/>
      <c r="BV91" s="6">
        <f t="shared" si="408"/>
        <v>79200</v>
      </c>
      <c r="BW91" s="7">
        <f t="shared" si="409"/>
        <v>1980000</v>
      </c>
      <c r="BX91" s="7">
        <f t="shared" si="409"/>
        <v>237600</v>
      </c>
      <c r="BY91" s="7">
        <f t="shared" si="410"/>
        <v>237600</v>
      </c>
      <c r="BZ91" s="7">
        <f t="shared" si="411"/>
        <v>0</v>
      </c>
      <c r="CA91" s="7">
        <f t="shared" si="412"/>
        <v>0</v>
      </c>
      <c r="CB91" s="7">
        <f t="shared" si="413"/>
        <v>237600</v>
      </c>
    </row>
    <row r="92" spans="1:80" s="2" customFormat="1" ht="12.75" x14ac:dyDescent="0.2">
      <c r="A92" s="1">
        <f t="shared" ref="A92:A94" si="440">A91+1</f>
        <v>11</v>
      </c>
      <c r="B92" s="5" t="s">
        <v>48</v>
      </c>
      <c r="C92" s="6"/>
      <c r="D92" s="6">
        <f t="shared" si="434"/>
        <v>0</v>
      </c>
      <c r="E92" s="6"/>
      <c r="F92" s="33"/>
      <c r="G92" s="6"/>
      <c r="H92" s="6">
        <f t="shared" si="397"/>
        <v>0</v>
      </c>
      <c r="I92" s="6"/>
      <c r="J92" s="6"/>
      <c r="K92" s="6"/>
      <c r="L92" s="33"/>
      <c r="M92" s="6"/>
      <c r="N92" s="6">
        <f t="shared" si="398"/>
        <v>0</v>
      </c>
      <c r="O92" s="6"/>
      <c r="P92" s="6"/>
      <c r="Q92" s="6"/>
      <c r="R92" s="33"/>
      <c r="S92" s="6"/>
      <c r="T92" s="6">
        <f t="shared" si="399"/>
        <v>0</v>
      </c>
      <c r="U92" s="6"/>
      <c r="V92" s="6"/>
      <c r="W92" s="6"/>
      <c r="X92" s="33"/>
      <c r="Y92" s="6"/>
      <c r="Z92" s="6">
        <f t="shared" si="400"/>
        <v>0</v>
      </c>
      <c r="AA92" s="6"/>
      <c r="AB92" s="6"/>
      <c r="AC92" s="6"/>
      <c r="AD92" s="33"/>
      <c r="AE92" s="6"/>
      <c r="AF92" s="6">
        <f t="shared" si="401"/>
        <v>0</v>
      </c>
      <c r="AG92" s="6"/>
      <c r="AH92" s="6"/>
      <c r="AI92" s="6"/>
      <c r="AJ92" s="33"/>
      <c r="AK92" s="6"/>
      <c r="AL92" s="6"/>
      <c r="AM92" s="6"/>
      <c r="AN92" s="6"/>
      <c r="AO92" s="6"/>
      <c r="AP92" s="33"/>
      <c r="AQ92" s="6"/>
      <c r="AR92" s="6"/>
      <c r="AS92" s="6"/>
      <c r="AT92" s="6"/>
      <c r="AU92" s="6"/>
      <c r="AV92" s="33"/>
      <c r="AW92" s="6"/>
      <c r="AX92" s="6"/>
      <c r="AY92" s="6"/>
      <c r="AZ92" s="6"/>
      <c r="BA92" s="6"/>
      <c r="BB92" s="33"/>
      <c r="BC92" s="6"/>
      <c r="BD92" s="6"/>
      <c r="BE92" s="6">
        <v>660000</v>
      </c>
      <c r="BF92" s="6">
        <f t="shared" si="419"/>
        <v>79200</v>
      </c>
      <c r="BG92" s="6">
        <f t="shared" si="437"/>
        <v>79200</v>
      </c>
      <c r="BH92" s="33"/>
      <c r="BI92" s="6">
        <v>0</v>
      </c>
      <c r="BJ92" s="6">
        <f t="shared" si="406"/>
        <v>79200</v>
      </c>
      <c r="BK92" s="6">
        <v>660000</v>
      </c>
      <c r="BL92" s="6">
        <f t="shared" si="420"/>
        <v>79200</v>
      </c>
      <c r="BM92" s="6">
        <f t="shared" si="438"/>
        <v>79200</v>
      </c>
      <c r="BN92" s="33"/>
      <c r="BO92" s="6">
        <v>0</v>
      </c>
      <c r="BP92" s="6">
        <f t="shared" si="407"/>
        <v>79200</v>
      </c>
      <c r="BQ92" s="6">
        <v>660000</v>
      </c>
      <c r="BR92" s="6">
        <f t="shared" si="421"/>
        <v>79200</v>
      </c>
      <c r="BS92" s="6">
        <f t="shared" si="439"/>
        <v>79200</v>
      </c>
      <c r="BT92" s="33"/>
      <c r="BU92" s="6"/>
      <c r="BV92" s="6">
        <f t="shared" si="408"/>
        <v>79200</v>
      </c>
      <c r="BW92" s="7">
        <f t="shared" si="409"/>
        <v>1980000</v>
      </c>
      <c r="BX92" s="7">
        <f t="shared" si="409"/>
        <v>237600</v>
      </c>
      <c r="BY92" s="7">
        <f t="shared" si="410"/>
        <v>237600</v>
      </c>
      <c r="BZ92" s="7">
        <f t="shared" si="411"/>
        <v>0</v>
      </c>
      <c r="CA92" s="7">
        <f t="shared" si="412"/>
        <v>0</v>
      </c>
      <c r="CB92" s="7">
        <f t="shared" si="413"/>
        <v>237600</v>
      </c>
    </row>
    <row r="93" spans="1:80" s="2" customFormat="1" ht="12.75" x14ac:dyDescent="0.2">
      <c r="A93" s="32">
        <f t="shared" si="440"/>
        <v>12</v>
      </c>
      <c r="B93" s="5" t="s">
        <v>64</v>
      </c>
      <c r="C93" s="6"/>
      <c r="D93" s="6"/>
      <c r="E93" s="6"/>
      <c r="F93" s="33"/>
      <c r="G93" s="6"/>
      <c r="H93" s="6"/>
      <c r="I93" s="6"/>
      <c r="J93" s="6"/>
      <c r="K93" s="6"/>
      <c r="L93" s="33"/>
      <c r="M93" s="6"/>
      <c r="N93" s="6"/>
      <c r="O93" s="6"/>
      <c r="P93" s="6"/>
      <c r="Q93" s="6"/>
      <c r="R93" s="33"/>
      <c r="S93" s="6"/>
      <c r="T93" s="6"/>
      <c r="U93" s="6"/>
      <c r="V93" s="6"/>
      <c r="W93" s="6"/>
      <c r="X93" s="33"/>
      <c r="Y93" s="6"/>
      <c r="Z93" s="6"/>
      <c r="AA93" s="6"/>
      <c r="AB93" s="6"/>
      <c r="AC93" s="6"/>
      <c r="AD93" s="33"/>
      <c r="AE93" s="6"/>
      <c r="AF93" s="6">
        <f t="shared" si="401"/>
        <v>0</v>
      </c>
      <c r="AG93" s="6"/>
      <c r="AH93" s="6"/>
      <c r="AI93" s="6"/>
      <c r="AJ93" s="33"/>
      <c r="AK93" s="6"/>
      <c r="AL93" s="6"/>
      <c r="AM93" s="6"/>
      <c r="AN93" s="6"/>
      <c r="AO93" s="6"/>
      <c r="AP93" s="33"/>
      <c r="AQ93" s="6"/>
      <c r="AR93" s="6"/>
      <c r="AS93" s="6"/>
      <c r="AT93" s="6"/>
      <c r="AU93" s="6"/>
      <c r="AV93" s="33"/>
      <c r="AW93" s="6"/>
      <c r="AX93" s="6"/>
      <c r="AY93" s="6"/>
      <c r="AZ93" s="6"/>
      <c r="BA93" s="6"/>
      <c r="BB93" s="33"/>
      <c r="BC93" s="6"/>
      <c r="BD93" s="6"/>
      <c r="BE93" s="6">
        <v>660000</v>
      </c>
      <c r="BF93" s="6">
        <f t="shared" si="419"/>
        <v>79200</v>
      </c>
      <c r="BG93" s="6">
        <f t="shared" si="437"/>
        <v>79200</v>
      </c>
      <c r="BH93" s="33"/>
      <c r="BI93" s="6">
        <v>0</v>
      </c>
      <c r="BJ93" s="6"/>
      <c r="BK93" s="6">
        <v>660000</v>
      </c>
      <c r="BL93" s="6">
        <f t="shared" si="420"/>
        <v>79200</v>
      </c>
      <c r="BM93" s="6">
        <f t="shared" si="438"/>
        <v>79200</v>
      </c>
      <c r="BN93" s="33"/>
      <c r="BO93" s="6">
        <v>0</v>
      </c>
      <c r="BP93" s="6">
        <f t="shared" si="407"/>
        <v>79200</v>
      </c>
      <c r="BQ93" s="6">
        <v>660000</v>
      </c>
      <c r="BR93" s="6">
        <f t="shared" si="421"/>
        <v>79200</v>
      </c>
      <c r="BS93" s="6">
        <f t="shared" si="439"/>
        <v>79200</v>
      </c>
      <c r="BT93" s="33"/>
      <c r="BU93" s="6"/>
      <c r="BV93" s="6">
        <f t="shared" si="408"/>
        <v>79200</v>
      </c>
      <c r="BW93" s="7">
        <f t="shared" ref="BW93" si="441">C93+I93+O93+U93+AA93+AG93+AM93+AS93+AY93+BE93+BK93+BQ93</f>
        <v>1980000</v>
      </c>
      <c r="BX93" s="7">
        <f t="shared" ref="BX93" si="442">D93+J93+P93+V93+AB93+AH93+AN93+AT93+AZ93+BF93+BL93+BR93</f>
        <v>237600</v>
      </c>
      <c r="BY93" s="7">
        <f t="shared" ref="BY93" si="443">E93+K93+Q93+W93+AC93+AI93+AO93+AU93+BA93+BG93+BM93+BS93</f>
        <v>237600</v>
      </c>
      <c r="BZ93" s="7">
        <f t="shared" ref="BZ93" si="444">F93+L93+R93+X93+AD93+AJ93+AP93+AV93+BB93+BH93+BN93+BT93</f>
        <v>0</v>
      </c>
      <c r="CA93" s="7">
        <f t="shared" ref="CA93" si="445">G93+M93+S93+Y93+AE93+AK93+AQ93+AW93+BC93+BI93+BO93+BU93</f>
        <v>0</v>
      </c>
      <c r="CB93" s="7">
        <f t="shared" ref="CB93" si="446">H93+N93+T93+Z93+AF93+AL93+AR93+AX93+BD93+BJ93+BP93+BV93</f>
        <v>158400</v>
      </c>
    </row>
    <row r="94" spans="1:80" s="2" customFormat="1" ht="12.75" x14ac:dyDescent="0.2">
      <c r="A94" s="32">
        <f t="shared" si="440"/>
        <v>13</v>
      </c>
      <c r="B94" s="5" t="s">
        <v>49</v>
      </c>
      <c r="C94" s="6"/>
      <c r="D94" s="6">
        <f t="shared" si="434"/>
        <v>0</v>
      </c>
      <c r="E94" s="6"/>
      <c r="F94" s="33"/>
      <c r="G94" s="6"/>
      <c r="H94" s="6">
        <f t="shared" si="397"/>
        <v>0</v>
      </c>
      <c r="I94" s="6"/>
      <c r="J94" s="6"/>
      <c r="K94" s="6"/>
      <c r="L94" s="33"/>
      <c r="M94" s="6"/>
      <c r="N94" s="6">
        <f t="shared" si="398"/>
        <v>0</v>
      </c>
      <c r="O94" s="6"/>
      <c r="P94" s="6"/>
      <c r="Q94" s="6"/>
      <c r="R94" s="33"/>
      <c r="S94" s="6"/>
      <c r="T94" s="6">
        <f t="shared" si="399"/>
        <v>0</v>
      </c>
      <c r="U94" s="6"/>
      <c r="V94" s="6"/>
      <c r="W94" s="6"/>
      <c r="X94" s="33"/>
      <c r="Y94" s="6"/>
      <c r="Z94" s="6">
        <f t="shared" si="400"/>
        <v>0</v>
      </c>
      <c r="AA94" s="6"/>
      <c r="AB94" s="6"/>
      <c r="AC94" s="6"/>
      <c r="AD94" s="33"/>
      <c r="AE94" s="6"/>
      <c r="AF94" s="6">
        <f t="shared" si="401"/>
        <v>0</v>
      </c>
      <c r="AG94" s="6"/>
      <c r="AH94" s="6"/>
      <c r="AI94" s="6"/>
      <c r="AJ94" s="33"/>
      <c r="AK94" s="6"/>
      <c r="AL94" s="6"/>
      <c r="AM94" s="6"/>
      <c r="AN94" s="6"/>
      <c r="AO94" s="6"/>
      <c r="AP94" s="33"/>
      <c r="AQ94" s="6"/>
      <c r="AR94" s="6"/>
      <c r="AS94" s="6"/>
      <c r="AT94" s="6"/>
      <c r="AU94" s="6"/>
      <c r="AV94" s="33"/>
      <c r="AW94" s="6"/>
      <c r="AX94" s="6"/>
      <c r="AY94" s="6"/>
      <c r="AZ94" s="6"/>
      <c r="BA94" s="6"/>
      <c r="BB94" s="33"/>
      <c r="BC94" s="6"/>
      <c r="BD94" s="6"/>
      <c r="BE94" s="6">
        <v>660000</v>
      </c>
      <c r="BF94" s="6">
        <f t="shared" si="419"/>
        <v>79200</v>
      </c>
      <c r="BG94" s="6">
        <f t="shared" si="437"/>
        <v>79200</v>
      </c>
      <c r="BH94" s="33"/>
      <c r="BI94" s="6">
        <v>0</v>
      </c>
      <c r="BJ94" s="6">
        <f t="shared" si="406"/>
        <v>79200</v>
      </c>
      <c r="BK94" s="6">
        <v>660000</v>
      </c>
      <c r="BL94" s="6">
        <f t="shared" si="420"/>
        <v>79200</v>
      </c>
      <c r="BM94" s="6">
        <f t="shared" si="438"/>
        <v>79200</v>
      </c>
      <c r="BN94" s="33"/>
      <c r="BO94" s="6">
        <v>0</v>
      </c>
      <c r="BP94" s="6">
        <f t="shared" si="407"/>
        <v>79200</v>
      </c>
      <c r="BQ94" s="6">
        <v>660000</v>
      </c>
      <c r="BR94" s="6">
        <f t="shared" si="421"/>
        <v>79200</v>
      </c>
      <c r="BS94" s="6">
        <f t="shared" si="439"/>
        <v>79200</v>
      </c>
      <c r="BT94" s="33"/>
      <c r="BU94" s="6"/>
      <c r="BV94" s="6">
        <f t="shared" si="408"/>
        <v>79200</v>
      </c>
      <c r="BW94" s="7">
        <f t="shared" si="409"/>
        <v>1980000</v>
      </c>
      <c r="BX94" s="7">
        <f t="shared" si="409"/>
        <v>237600</v>
      </c>
      <c r="BY94" s="7">
        <f t="shared" si="410"/>
        <v>237600</v>
      </c>
      <c r="BZ94" s="7">
        <f t="shared" si="411"/>
        <v>0</v>
      </c>
      <c r="CA94" s="7">
        <f t="shared" si="412"/>
        <v>0</v>
      </c>
      <c r="CB94" s="7">
        <f t="shared" si="413"/>
        <v>237600</v>
      </c>
    </row>
    <row r="95" spans="1:80" s="2" customFormat="1" ht="12.75" x14ac:dyDescent="0.2">
      <c r="A95" s="8"/>
      <c r="B95" s="9" t="s">
        <v>12</v>
      </c>
      <c r="C95" s="4">
        <f>SUM(C82:C94)</f>
        <v>1200000</v>
      </c>
      <c r="D95" s="4">
        <f t="shared" ref="D95:BO95" si="447">SUM(D82:D94)</f>
        <v>144000</v>
      </c>
      <c r="E95" s="4">
        <f t="shared" si="447"/>
        <v>143400</v>
      </c>
      <c r="F95" s="4">
        <f t="shared" si="447"/>
        <v>0</v>
      </c>
      <c r="G95" s="4">
        <f t="shared" si="447"/>
        <v>600</v>
      </c>
      <c r="H95" s="4">
        <f t="shared" si="447"/>
        <v>144000</v>
      </c>
      <c r="I95" s="4">
        <f t="shared" si="447"/>
        <v>1200000</v>
      </c>
      <c r="J95" s="4">
        <f t="shared" si="447"/>
        <v>144000</v>
      </c>
      <c r="K95" s="4">
        <f t="shared" si="447"/>
        <v>143400</v>
      </c>
      <c r="L95" s="4">
        <f t="shared" si="447"/>
        <v>0</v>
      </c>
      <c r="M95" s="4">
        <f t="shared" si="447"/>
        <v>600</v>
      </c>
      <c r="N95" s="4">
        <f t="shared" si="447"/>
        <v>144000</v>
      </c>
      <c r="O95" s="4">
        <f t="shared" si="447"/>
        <v>1200000</v>
      </c>
      <c r="P95" s="4">
        <f t="shared" si="447"/>
        <v>144000</v>
      </c>
      <c r="Q95" s="4">
        <f t="shared" si="447"/>
        <v>143400</v>
      </c>
      <c r="R95" s="4">
        <f t="shared" si="447"/>
        <v>0</v>
      </c>
      <c r="S95" s="4">
        <f t="shared" si="447"/>
        <v>600</v>
      </c>
      <c r="T95" s="4">
        <f t="shared" si="447"/>
        <v>144000</v>
      </c>
      <c r="U95" s="4">
        <f t="shared" si="447"/>
        <v>1200000</v>
      </c>
      <c r="V95" s="4">
        <f t="shared" si="447"/>
        <v>144000</v>
      </c>
      <c r="W95" s="4">
        <f t="shared" si="447"/>
        <v>143400</v>
      </c>
      <c r="X95" s="4">
        <f t="shared" si="447"/>
        <v>0</v>
      </c>
      <c r="Y95" s="4">
        <f t="shared" si="447"/>
        <v>600</v>
      </c>
      <c r="Z95" s="4">
        <f t="shared" si="447"/>
        <v>144000</v>
      </c>
      <c r="AA95" s="4">
        <f t="shared" si="447"/>
        <v>1800000</v>
      </c>
      <c r="AB95" s="4">
        <f t="shared" si="447"/>
        <v>216000</v>
      </c>
      <c r="AC95" s="4">
        <f t="shared" si="447"/>
        <v>214800</v>
      </c>
      <c r="AD95" s="4">
        <f t="shared" si="447"/>
        <v>0</v>
      </c>
      <c r="AE95" s="4">
        <f t="shared" si="447"/>
        <v>1200</v>
      </c>
      <c r="AF95" s="4">
        <f t="shared" si="447"/>
        <v>216000</v>
      </c>
      <c r="AG95" s="4">
        <f t="shared" si="447"/>
        <v>3000000</v>
      </c>
      <c r="AH95" s="4">
        <f t="shared" si="447"/>
        <v>360000</v>
      </c>
      <c r="AI95" s="4">
        <f t="shared" si="447"/>
        <v>357600</v>
      </c>
      <c r="AJ95" s="4">
        <f t="shared" si="447"/>
        <v>0</v>
      </c>
      <c r="AK95" s="4">
        <f t="shared" si="447"/>
        <v>2400</v>
      </c>
      <c r="AL95" s="4">
        <f t="shared" si="447"/>
        <v>360000</v>
      </c>
      <c r="AM95" s="4">
        <f t="shared" si="447"/>
        <v>4200000</v>
      </c>
      <c r="AN95" s="4">
        <f t="shared" si="447"/>
        <v>504000</v>
      </c>
      <c r="AO95" s="4">
        <f t="shared" si="447"/>
        <v>500400</v>
      </c>
      <c r="AP95" s="4">
        <f t="shared" si="447"/>
        <v>0</v>
      </c>
      <c r="AQ95" s="4">
        <f t="shared" si="447"/>
        <v>3600</v>
      </c>
      <c r="AR95" s="4">
        <f t="shared" si="447"/>
        <v>504000</v>
      </c>
      <c r="AS95" s="4">
        <f t="shared" si="447"/>
        <v>4620000</v>
      </c>
      <c r="AT95" s="4">
        <f t="shared" si="447"/>
        <v>554400</v>
      </c>
      <c r="AU95" s="4">
        <f t="shared" si="447"/>
        <v>550440</v>
      </c>
      <c r="AV95" s="4">
        <f t="shared" si="447"/>
        <v>0</v>
      </c>
      <c r="AW95" s="4">
        <f t="shared" si="447"/>
        <v>3960</v>
      </c>
      <c r="AX95" s="4">
        <f t="shared" si="447"/>
        <v>554400</v>
      </c>
      <c r="AY95" s="4">
        <f t="shared" si="447"/>
        <v>4620000</v>
      </c>
      <c r="AZ95" s="4">
        <f t="shared" si="447"/>
        <v>554400</v>
      </c>
      <c r="BA95" s="4">
        <f t="shared" si="447"/>
        <v>550440</v>
      </c>
      <c r="BB95" s="4">
        <f t="shared" si="447"/>
        <v>0</v>
      </c>
      <c r="BC95" s="4">
        <f t="shared" si="447"/>
        <v>3960</v>
      </c>
      <c r="BD95" s="4">
        <f t="shared" si="447"/>
        <v>554400</v>
      </c>
      <c r="BE95" s="4">
        <f>SUM(BE82:BE94)</f>
        <v>8580000</v>
      </c>
      <c r="BF95" s="4">
        <f t="shared" si="447"/>
        <v>1029600</v>
      </c>
      <c r="BG95" s="4">
        <f t="shared" si="447"/>
        <v>1025640</v>
      </c>
      <c r="BH95" s="4">
        <f t="shared" si="447"/>
        <v>0</v>
      </c>
      <c r="BI95" s="4">
        <f t="shared" si="447"/>
        <v>3960</v>
      </c>
      <c r="BJ95" s="4">
        <f t="shared" si="447"/>
        <v>950400</v>
      </c>
      <c r="BK95" s="4">
        <f t="shared" si="447"/>
        <v>8580000</v>
      </c>
      <c r="BL95" s="4">
        <f t="shared" si="447"/>
        <v>1029600</v>
      </c>
      <c r="BM95" s="4">
        <f t="shared" si="447"/>
        <v>1025640</v>
      </c>
      <c r="BN95" s="4">
        <f t="shared" si="447"/>
        <v>0</v>
      </c>
      <c r="BO95" s="4">
        <f t="shared" si="447"/>
        <v>3960</v>
      </c>
      <c r="BP95" s="4">
        <f t="shared" ref="BP95:BV95" si="448">SUM(BP82:BP94)</f>
        <v>1029600</v>
      </c>
      <c r="BQ95" s="4">
        <f t="shared" si="448"/>
        <v>8580000</v>
      </c>
      <c r="BR95" s="4">
        <f t="shared" si="448"/>
        <v>1029600</v>
      </c>
      <c r="BS95" s="4">
        <f t="shared" si="448"/>
        <v>1025640</v>
      </c>
      <c r="BT95" s="4">
        <f t="shared" si="448"/>
        <v>0</v>
      </c>
      <c r="BU95" s="4">
        <f t="shared" si="448"/>
        <v>3960</v>
      </c>
      <c r="BV95" s="4">
        <f t="shared" si="448"/>
        <v>1029600</v>
      </c>
      <c r="BW95" s="4">
        <f>SUM(BW82:BW94)</f>
        <v>48780000</v>
      </c>
      <c r="BX95" s="4">
        <f t="shared" ref="BX95:CB95" si="449">SUM(BX82:BX94)</f>
        <v>5853600</v>
      </c>
      <c r="BY95" s="4">
        <f t="shared" si="449"/>
        <v>5824200</v>
      </c>
      <c r="BZ95" s="4">
        <f t="shared" si="449"/>
        <v>0</v>
      </c>
      <c r="CA95" s="4">
        <f t="shared" si="449"/>
        <v>29400</v>
      </c>
      <c r="CB95" s="4">
        <f t="shared" si="449"/>
        <v>5774400</v>
      </c>
    </row>
    <row r="96" spans="1:80" s="2" customFormat="1" ht="12.75" x14ac:dyDescent="0.2">
      <c r="A96" s="30"/>
      <c r="B96" s="27" t="s">
        <v>59</v>
      </c>
      <c r="C96" s="31">
        <v>0</v>
      </c>
      <c r="D96" s="31">
        <v>0</v>
      </c>
      <c r="E96" s="31">
        <v>0</v>
      </c>
      <c r="F96" s="31">
        <v>0</v>
      </c>
      <c r="G96" s="31">
        <v>0</v>
      </c>
      <c r="H96" s="31">
        <f>E96+F96+G96</f>
        <v>0</v>
      </c>
      <c r="I96" s="31">
        <v>0</v>
      </c>
      <c r="J96" s="31">
        <v>144000</v>
      </c>
      <c r="K96" s="31">
        <v>143400</v>
      </c>
      <c r="L96" s="31"/>
      <c r="M96" s="31">
        <v>600</v>
      </c>
      <c r="N96" s="31">
        <f>+K96+L96+M96</f>
        <v>144000</v>
      </c>
      <c r="O96" s="31">
        <v>0</v>
      </c>
      <c r="P96" s="31">
        <v>144000</v>
      </c>
      <c r="Q96" s="31">
        <v>2003331.54</v>
      </c>
      <c r="R96" s="31">
        <v>0</v>
      </c>
      <c r="S96" s="31">
        <v>1200</v>
      </c>
      <c r="T96" s="31">
        <f>+Q96+R96+S96</f>
        <v>2004531.54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f>+W96+X96+Y96</f>
        <v>0</v>
      </c>
      <c r="AA96" s="31"/>
      <c r="AB96" s="31">
        <v>288000</v>
      </c>
      <c r="AC96" s="31">
        <f>286641.01-1041.01</f>
        <v>285600</v>
      </c>
      <c r="AD96" s="31">
        <v>0</v>
      </c>
      <c r="AE96" s="31">
        <v>2400</v>
      </c>
      <c r="AF96" s="31">
        <f>+AC96+AD96+AE96</f>
        <v>288000</v>
      </c>
      <c r="AG96" s="31">
        <v>0</v>
      </c>
      <c r="AH96" s="31">
        <v>0</v>
      </c>
      <c r="AI96" s="31">
        <f>214334.94-134.94</f>
        <v>214200</v>
      </c>
      <c r="AJ96" s="31">
        <v>0</v>
      </c>
      <c r="AK96" s="31">
        <v>0</v>
      </c>
      <c r="AL96" s="31">
        <f>+AI96+AJ96+AK96</f>
        <v>214200</v>
      </c>
      <c r="AM96" s="31">
        <v>0</v>
      </c>
      <c r="AN96" s="31">
        <v>0</v>
      </c>
      <c r="AO96" s="31">
        <v>357000</v>
      </c>
      <c r="AP96" s="31">
        <v>0</v>
      </c>
      <c r="AQ96" s="31">
        <v>0</v>
      </c>
      <c r="AR96" s="31">
        <f>+AO96+AP96+AQ96</f>
        <v>357000</v>
      </c>
      <c r="AS96" s="31">
        <v>0</v>
      </c>
      <c r="AT96" s="31">
        <v>488476.83</v>
      </c>
      <c r="AU96" s="31">
        <v>500069.89</v>
      </c>
      <c r="AV96" s="31">
        <v>0</v>
      </c>
      <c r="AW96" s="31">
        <v>0</v>
      </c>
      <c r="AX96" s="31">
        <f>+AU96+AV96+AW96</f>
        <v>500069.89</v>
      </c>
      <c r="AY96" s="31">
        <v>0</v>
      </c>
      <c r="AZ96" s="31">
        <v>0</v>
      </c>
      <c r="BA96" s="31">
        <v>0</v>
      </c>
      <c r="BB96" s="31">
        <v>0</v>
      </c>
      <c r="BC96" s="31">
        <v>0</v>
      </c>
      <c r="BD96" s="31">
        <f>+BA96+BB96+BC96</f>
        <v>0</v>
      </c>
      <c r="BE96" s="31">
        <v>0</v>
      </c>
      <c r="BF96" s="31">
        <v>554400</v>
      </c>
      <c r="BG96" s="31">
        <v>549780</v>
      </c>
      <c r="BH96" s="31">
        <v>0</v>
      </c>
      <c r="BI96" s="31">
        <v>0</v>
      </c>
      <c r="BJ96" s="31">
        <f>+BG96+BH96+BI96</f>
        <v>549780</v>
      </c>
      <c r="BK96" s="31">
        <v>0</v>
      </c>
      <c r="BL96" s="31">
        <v>0</v>
      </c>
      <c r="BM96" s="31">
        <v>0</v>
      </c>
      <c r="BN96" s="31">
        <v>0</v>
      </c>
      <c r="BO96" s="31">
        <v>0</v>
      </c>
      <c r="BP96" s="31">
        <f>+BM96+BN96+BO96</f>
        <v>0</v>
      </c>
      <c r="BQ96" s="31">
        <f t="shared" ref="BQ96:BU96" si="450">+BN96+BO96+BP96</f>
        <v>0</v>
      </c>
      <c r="BR96" s="31">
        <f t="shared" si="450"/>
        <v>0</v>
      </c>
      <c r="BS96" s="31">
        <f t="shared" si="450"/>
        <v>0</v>
      </c>
      <c r="BT96" s="31">
        <f t="shared" si="450"/>
        <v>0</v>
      </c>
      <c r="BU96" s="31">
        <f t="shared" si="450"/>
        <v>0</v>
      </c>
      <c r="BV96" s="31">
        <f>+BS96+BT96+BU96</f>
        <v>0</v>
      </c>
      <c r="BW96" s="28">
        <f>C96+I96+O96+U96+AA96+AG96+AM96+AS96+AY96+BE96+BK96+BQ96</f>
        <v>0</v>
      </c>
      <c r="BX96" s="28">
        <f>D96+J96+P96+V96+AB96+AH96+AN96+AT96+AZ96+BF96+BL96+BR96</f>
        <v>1618876.83</v>
      </c>
      <c r="BY96" s="28">
        <f>E96+K96+Q96+W96+AC96+AI96+AO96+AU96+BA96+BG96+BM96+BS96</f>
        <v>4053381.43</v>
      </c>
      <c r="BZ96" s="28">
        <f>F96+L96+R96+X96+AD96+AJ96+AP96+AV96+BB96+BH96+BN96+BT96</f>
        <v>0</v>
      </c>
      <c r="CA96" s="28">
        <f>G96+M96+S96+Y96+AE96+AK96+AQ96+AW96+BC96+BI96+BO96+BU96</f>
        <v>4200</v>
      </c>
      <c r="CB96" s="28">
        <f>BY96+BZ96+CA96</f>
        <v>4057581.43</v>
      </c>
    </row>
    <row r="97" spans="1:80" s="2" customFormat="1" ht="12.75" x14ac:dyDescent="0.2">
      <c r="A97" s="21"/>
      <c r="B97" s="22" t="s">
        <v>60</v>
      </c>
      <c r="C97" s="23">
        <f t="shared" ref="C97:H97" si="451">+BQ80+C95-C96</f>
        <v>78976536.36999999</v>
      </c>
      <c r="D97" s="23">
        <f t="shared" si="451"/>
        <v>-410130.11249999981</v>
      </c>
      <c r="E97" s="23">
        <f t="shared" si="451"/>
        <v>421522.47955042368</v>
      </c>
      <c r="F97" s="23">
        <f t="shared" si="451"/>
        <v>669.29364692931995</v>
      </c>
      <c r="G97" s="23">
        <f t="shared" si="451"/>
        <v>-112073.58032865831</v>
      </c>
      <c r="H97" s="23">
        <f t="shared" si="451"/>
        <v>553518.52356747864</v>
      </c>
      <c r="I97" s="23">
        <f t="shared" ref="I97:AN97" si="452">+C97+I95-I96</f>
        <v>80176536.36999999</v>
      </c>
      <c r="J97" s="23">
        <f t="shared" si="452"/>
        <v>-410130.11249999981</v>
      </c>
      <c r="K97" s="23">
        <f t="shared" si="452"/>
        <v>421522.47955042368</v>
      </c>
      <c r="L97" s="23">
        <f t="shared" si="452"/>
        <v>669.29364692931995</v>
      </c>
      <c r="M97" s="23">
        <f t="shared" si="452"/>
        <v>-112073.58032865831</v>
      </c>
      <c r="N97" s="23">
        <f t="shared" si="452"/>
        <v>553518.52356747864</v>
      </c>
      <c r="O97" s="23">
        <f t="shared" si="452"/>
        <v>81376536.36999999</v>
      </c>
      <c r="P97" s="23">
        <f t="shared" si="452"/>
        <v>-410130.11249999981</v>
      </c>
      <c r="Q97" s="23">
        <f t="shared" si="452"/>
        <v>-1438409.0604495765</v>
      </c>
      <c r="R97" s="23">
        <f t="shared" si="452"/>
        <v>669.29364692931995</v>
      </c>
      <c r="S97" s="23">
        <f t="shared" si="452"/>
        <v>-112673.58032865831</v>
      </c>
      <c r="T97" s="23">
        <f t="shared" si="452"/>
        <v>-1307013.0164325214</v>
      </c>
      <c r="U97" s="23">
        <f t="shared" si="452"/>
        <v>82576536.36999999</v>
      </c>
      <c r="V97" s="23">
        <f t="shared" si="452"/>
        <v>-266130.11249999981</v>
      </c>
      <c r="W97" s="23">
        <f t="shared" si="452"/>
        <v>-1295009.0604495765</v>
      </c>
      <c r="X97" s="23">
        <f t="shared" si="452"/>
        <v>669.29364692931995</v>
      </c>
      <c r="Y97" s="23">
        <f t="shared" si="452"/>
        <v>-112073.58032865831</v>
      </c>
      <c r="Z97" s="23">
        <f t="shared" si="452"/>
        <v>-1163013.0164325214</v>
      </c>
      <c r="AA97" s="23">
        <f t="shared" si="452"/>
        <v>84376536.36999999</v>
      </c>
      <c r="AB97" s="23">
        <f t="shared" si="452"/>
        <v>-338130.11249999981</v>
      </c>
      <c r="AC97" s="23">
        <f t="shared" si="452"/>
        <v>-1365809.0604495765</v>
      </c>
      <c r="AD97" s="23">
        <f t="shared" si="452"/>
        <v>669.29364692931995</v>
      </c>
      <c r="AE97" s="23">
        <f t="shared" si="452"/>
        <v>-113273.58032865831</v>
      </c>
      <c r="AF97" s="23">
        <f t="shared" si="452"/>
        <v>-1235013.0164325214</v>
      </c>
      <c r="AG97" s="23">
        <f t="shared" si="452"/>
        <v>87376536.36999999</v>
      </c>
      <c r="AH97" s="23">
        <f t="shared" si="452"/>
        <v>21869.887500000186</v>
      </c>
      <c r="AI97" s="23">
        <f t="shared" si="452"/>
        <v>-1222409.0604495765</v>
      </c>
      <c r="AJ97" s="23">
        <f t="shared" si="452"/>
        <v>669.29364692931995</v>
      </c>
      <c r="AK97" s="23">
        <f t="shared" si="452"/>
        <v>-110873.58032865831</v>
      </c>
      <c r="AL97" s="23">
        <f t="shared" si="452"/>
        <v>-1089213.0164325214</v>
      </c>
      <c r="AM97" s="23">
        <f t="shared" si="452"/>
        <v>91576536.36999999</v>
      </c>
      <c r="AN97" s="23">
        <f t="shared" si="452"/>
        <v>525869.88750000019</v>
      </c>
      <c r="AO97" s="23">
        <f t="shared" ref="AO97:BT97" si="453">+AI97+AO95-AO96</f>
        <v>-1079009.0604495765</v>
      </c>
      <c r="AP97" s="23">
        <f t="shared" si="453"/>
        <v>669.29364692931995</v>
      </c>
      <c r="AQ97" s="23">
        <f t="shared" si="453"/>
        <v>-107273.58032865831</v>
      </c>
      <c r="AR97" s="23">
        <f t="shared" si="453"/>
        <v>-942213.0164325214</v>
      </c>
      <c r="AS97" s="23">
        <f t="shared" si="453"/>
        <v>96196536.36999999</v>
      </c>
      <c r="AT97" s="23">
        <f t="shared" si="453"/>
        <v>591793.05750000011</v>
      </c>
      <c r="AU97" s="23">
        <f t="shared" si="453"/>
        <v>-1028638.9504495765</v>
      </c>
      <c r="AV97" s="23">
        <f t="shared" si="453"/>
        <v>669.29364692931995</v>
      </c>
      <c r="AW97" s="23">
        <f t="shared" si="453"/>
        <v>-103313.58032865831</v>
      </c>
      <c r="AX97" s="23">
        <f t="shared" si="453"/>
        <v>-887882.90643252141</v>
      </c>
      <c r="AY97" s="23">
        <f t="shared" si="453"/>
        <v>100816536.36999999</v>
      </c>
      <c r="AZ97" s="23">
        <f t="shared" si="453"/>
        <v>1146193.0575000001</v>
      </c>
      <c r="BA97" s="23">
        <f t="shared" si="453"/>
        <v>-478198.95044957648</v>
      </c>
      <c r="BB97" s="23">
        <f t="shared" si="453"/>
        <v>669.29364692931995</v>
      </c>
      <c r="BC97" s="23">
        <f t="shared" si="453"/>
        <v>-99353.58032865831</v>
      </c>
      <c r="BD97" s="23">
        <f t="shared" si="453"/>
        <v>-333482.90643252141</v>
      </c>
      <c r="BE97" s="23">
        <f t="shared" si="453"/>
        <v>109396536.36999999</v>
      </c>
      <c r="BF97" s="23">
        <f t="shared" si="453"/>
        <v>1621393.0575000001</v>
      </c>
      <c r="BG97" s="23">
        <f t="shared" si="453"/>
        <v>-2338.950449576485</v>
      </c>
      <c r="BH97" s="23">
        <f t="shared" si="453"/>
        <v>669.29364692931995</v>
      </c>
      <c r="BI97" s="23">
        <f t="shared" si="453"/>
        <v>-95393.58032865831</v>
      </c>
      <c r="BJ97" s="23">
        <f t="shared" si="453"/>
        <v>67137.093567478587</v>
      </c>
      <c r="BK97" s="23">
        <f t="shared" si="453"/>
        <v>117976536.36999999</v>
      </c>
      <c r="BL97" s="23">
        <f t="shared" si="453"/>
        <v>2650993.0575000001</v>
      </c>
      <c r="BM97" s="23">
        <f t="shared" si="453"/>
        <v>1023301.0495504235</v>
      </c>
      <c r="BN97" s="23">
        <f t="shared" si="453"/>
        <v>669.29364692931995</v>
      </c>
      <c r="BO97" s="23">
        <f t="shared" si="453"/>
        <v>-91433.58032865831</v>
      </c>
      <c r="BP97" s="23">
        <f t="shared" si="453"/>
        <v>1096737.0935674785</v>
      </c>
      <c r="BQ97" s="23">
        <f t="shared" si="453"/>
        <v>126556536.36999999</v>
      </c>
      <c r="BR97" s="23">
        <f t="shared" si="453"/>
        <v>3680593.0575000001</v>
      </c>
      <c r="BS97" s="23">
        <f t="shared" si="453"/>
        <v>2048941.0495504234</v>
      </c>
      <c r="BT97" s="23">
        <f t="shared" si="453"/>
        <v>669.29364692931995</v>
      </c>
      <c r="BU97" s="23">
        <f t="shared" ref="BU97:BV97" si="454">+BO97+BU95-BU96</f>
        <v>-87473.58032865831</v>
      </c>
      <c r="BV97" s="23">
        <f t="shared" si="454"/>
        <v>2126337.0935674785</v>
      </c>
      <c r="BW97" s="23">
        <f t="shared" ref="BW97:CB97" si="455">+BW80+BW95-BW96</f>
        <v>126556536.36999999</v>
      </c>
      <c r="BX97" s="23">
        <f t="shared" si="455"/>
        <v>3680593.0574999992</v>
      </c>
      <c r="BY97" s="23">
        <f t="shared" si="455"/>
        <v>2499253.0495040654</v>
      </c>
      <c r="BZ97" s="23">
        <f t="shared" si="455"/>
        <v>669.29364692885429</v>
      </c>
      <c r="CA97" s="23">
        <f t="shared" si="455"/>
        <v>-87473.58032865834</v>
      </c>
      <c r="CB97" s="23">
        <f t="shared" si="455"/>
        <v>2126337.0935674808</v>
      </c>
    </row>
    <row r="98" spans="1:80" s="2" customFormat="1" ht="12.75" x14ac:dyDescent="0.2">
      <c r="A98" s="15"/>
      <c r="B98" s="14" t="s">
        <v>50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</row>
    <row r="99" spans="1:80" s="2" customFormat="1" ht="12.75" x14ac:dyDescent="0.2">
      <c r="A99" s="1">
        <v>1</v>
      </c>
      <c r="B99" s="5" t="s">
        <v>15</v>
      </c>
      <c r="C99" s="6">
        <v>660000</v>
      </c>
      <c r="D99" s="6">
        <f>C99*0.12</f>
        <v>79200</v>
      </c>
      <c r="E99" s="6">
        <f>+C99*0.12</f>
        <v>79200</v>
      </c>
      <c r="F99" s="33"/>
      <c r="G99" s="6">
        <v>0</v>
      </c>
      <c r="H99" s="6">
        <f t="shared" ref="H99:H108" si="456">+E99+F99+G99</f>
        <v>79200</v>
      </c>
      <c r="I99" s="6">
        <v>680000</v>
      </c>
      <c r="J99" s="6">
        <f>I99*0.12</f>
        <v>81600</v>
      </c>
      <c r="K99" s="6">
        <f>+I99*0.12</f>
        <v>81600</v>
      </c>
      <c r="L99" s="33"/>
      <c r="M99" s="6">
        <v>0</v>
      </c>
      <c r="N99" s="6">
        <f t="shared" ref="N99:N108" si="457">K99+L99+M99</f>
        <v>81600</v>
      </c>
      <c r="O99" s="6">
        <v>680000</v>
      </c>
      <c r="P99" s="6">
        <f>+O99*0.12</f>
        <v>81600</v>
      </c>
      <c r="Q99" s="6">
        <f>+O99*0.12</f>
        <v>81600</v>
      </c>
      <c r="R99" s="33"/>
      <c r="S99" s="6">
        <v>0</v>
      </c>
      <c r="T99" s="6">
        <f t="shared" ref="T99:T108" si="458">Q99+R99+S99</f>
        <v>81600</v>
      </c>
      <c r="U99" s="6">
        <v>680000</v>
      </c>
      <c r="V99" s="6">
        <f>U99*0.12</f>
        <v>81600</v>
      </c>
      <c r="W99" s="6">
        <f>+U99*0.12</f>
        <v>81600</v>
      </c>
      <c r="X99" s="33"/>
      <c r="Y99" s="6">
        <v>0</v>
      </c>
      <c r="Z99" s="6">
        <f t="shared" ref="Z99:Z108" si="459">W99+X99+Y99</f>
        <v>81600</v>
      </c>
      <c r="AA99" s="6">
        <v>680000</v>
      </c>
      <c r="AB99" s="6">
        <f>+AA99*0.12</f>
        <v>81600</v>
      </c>
      <c r="AC99" s="6">
        <f>+AA99*0.12</f>
        <v>81600</v>
      </c>
      <c r="AD99" s="33"/>
      <c r="AE99" s="6">
        <v>0</v>
      </c>
      <c r="AF99" s="6">
        <f t="shared" ref="AF99:AF108" si="460">AC99+AD99+AE99</f>
        <v>81600</v>
      </c>
      <c r="AG99" s="6"/>
      <c r="AH99" s="6"/>
      <c r="AI99" s="6"/>
      <c r="AJ99" s="33"/>
      <c r="AK99" s="6"/>
      <c r="AL99" s="6">
        <f t="shared" ref="AL99:AL108" si="461">AI99+AJ99+AK99</f>
        <v>0</v>
      </c>
      <c r="AM99" s="6"/>
      <c r="AN99" s="6"/>
      <c r="AO99" s="6"/>
      <c r="AP99" s="33"/>
      <c r="AQ99" s="6"/>
      <c r="AR99" s="6"/>
      <c r="AS99" s="6"/>
      <c r="AT99" s="6"/>
      <c r="AU99" s="6"/>
      <c r="AV99" s="33"/>
      <c r="AW99" s="6"/>
      <c r="AX99" s="6"/>
      <c r="AY99" s="6"/>
      <c r="AZ99" s="6"/>
      <c r="BA99" s="6"/>
      <c r="BB99" s="33"/>
      <c r="BC99" s="6"/>
      <c r="BD99" s="6"/>
      <c r="BE99" s="6"/>
      <c r="BF99" s="6"/>
      <c r="BG99" s="6"/>
      <c r="BH99" s="33"/>
      <c r="BI99" s="6"/>
      <c r="BJ99" s="6"/>
      <c r="BK99" s="6"/>
      <c r="BL99" s="6"/>
      <c r="BM99" s="6"/>
      <c r="BN99" s="33"/>
      <c r="BO99" s="6"/>
      <c r="BP99" s="6"/>
      <c r="BQ99" s="6"/>
      <c r="BR99" s="6"/>
      <c r="BS99" s="6"/>
      <c r="BT99" s="33"/>
      <c r="BU99" s="6"/>
      <c r="BV99" s="6"/>
      <c r="BW99" s="7">
        <f t="shared" ref="BW99:BW108" si="462">C99+I99+O99+U99+AA99+AG99+AM99+AS99+AY99+BE99+BK99+BQ99</f>
        <v>3380000</v>
      </c>
      <c r="BX99" s="7">
        <f t="shared" ref="BX99:BX108" si="463">D99+J99+P99+V99+AB99+AH99+AN99+AT99+AZ99+BF99+BL99+BR99</f>
        <v>405600</v>
      </c>
      <c r="BY99" s="7">
        <f t="shared" ref="BY99:BY108" si="464">E99+K99+Q99+W99+AC99+AI99+AO99+AU99+BA99+BG99+BM99+BS99</f>
        <v>405600</v>
      </c>
      <c r="BZ99" s="7">
        <f t="shared" ref="BZ99:BZ108" si="465">F99+L99+R99+X99+AD99+AJ99+AP99+AV99+BB99+BH99+BN99+BT99</f>
        <v>0</v>
      </c>
      <c r="CA99" s="7">
        <f t="shared" ref="CA99:CA108" si="466">G99+M99+S99+Y99+AE99+AK99+AQ99+AW99+BC99+BI99+BO99+BU99</f>
        <v>0</v>
      </c>
      <c r="CB99" s="7">
        <f t="shared" ref="CB99:CB108" si="467">H99+N99+T99+Z99+AF99+AL99+AR99+AX99+BD99+BJ99+BP99+BV99</f>
        <v>405600</v>
      </c>
    </row>
    <row r="100" spans="1:80" s="2" customFormat="1" ht="12.75" x14ac:dyDescent="0.2">
      <c r="A100" s="1">
        <f t="shared" ref="A100:A108" si="468">A99+1</f>
        <v>2</v>
      </c>
      <c r="B100" s="5" t="s">
        <v>26</v>
      </c>
      <c r="C100" s="6">
        <v>660000</v>
      </c>
      <c r="D100" s="6">
        <f t="shared" ref="D100:D108" si="469">C100*0.12</f>
        <v>79200</v>
      </c>
      <c r="E100" s="6">
        <f>+C100*0.119</f>
        <v>78540</v>
      </c>
      <c r="F100" s="33"/>
      <c r="G100" s="6">
        <f>+C100*0.001</f>
        <v>660</v>
      </c>
      <c r="H100" s="6">
        <f t="shared" si="456"/>
        <v>79200</v>
      </c>
      <c r="I100" s="6">
        <v>680000</v>
      </c>
      <c r="J100" s="6">
        <f t="shared" ref="J100:J108" si="470">I100*0.12</f>
        <v>81600</v>
      </c>
      <c r="K100" s="6">
        <f>+I100*0.119</f>
        <v>80920</v>
      </c>
      <c r="L100" s="33"/>
      <c r="M100" s="6">
        <f>+I100*0.001</f>
        <v>680</v>
      </c>
      <c r="N100" s="6">
        <f t="shared" si="457"/>
        <v>81600</v>
      </c>
      <c r="O100" s="6">
        <v>680000</v>
      </c>
      <c r="P100" s="6">
        <f t="shared" ref="P100:P108" si="471">+O100*0.12</f>
        <v>81600</v>
      </c>
      <c r="Q100" s="6">
        <f>+O100*0.119</f>
        <v>80920</v>
      </c>
      <c r="R100" s="33"/>
      <c r="S100" s="6">
        <f>+O100*0.001</f>
        <v>680</v>
      </c>
      <c r="T100" s="6">
        <f t="shared" si="458"/>
        <v>81600</v>
      </c>
      <c r="U100" s="6">
        <v>680000</v>
      </c>
      <c r="V100" s="6">
        <f t="shared" ref="V100:V108" si="472">U100*0.12</f>
        <v>81600</v>
      </c>
      <c r="W100" s="6">
        <f>+U100*0.119</f>
        <v>80920</v>
      </c>
      <c r="X100" s="33"/>
      <c r="Y100" s="6">
        <f>+U100*0.001</f>
        <v>680</v>
      </c>
      <c r="Z100" s="6">
        <f t="shared" si="459"/>
        <v>81600</v>
      </c>
      <c r="AA100" s="6">
        <v>680000</v>
      </c>
      <c r="AB100" s="6">
        <f t="shared" ref="AB100:AB108" si="473">+AA100*0.12</f>
        <v>81600</v>
      </c>
      <c r="AC100" s="6">
        <f>+AA100*0.119</f>
        <v>80920</v>
      </c>
      <c r="AD100" s="33"/>
      <c r="AE100" s="6">
        <f>+AA100*0.001</f>
        <v>680</v>
      </c>
      <c r="AF100" s="6">
        <f t="shared" si="460"/>
        <v>81600</v>
      </c>
      <c r="AG100" s="6"/>
      <c r="AH100" s="6"/>
      <c r="AI100" s="6"/>
      <c r="AJ100" s="33"/>
      <c r="AK100" s="6"/>
      <c r="AL100" s="6">
        <f t="shared" si="461"/>
        <v>0</v>
      </c>
      <c r="AM100" s="6"/>
      <c r="AN100" s="6"/>
      <c r="AO100" s="6"/>
      <c r="AP100" s="33"/>
      <c r="AQ100" s="6"/>
      <c r="AR100" s="6"/>
      <c r="AS100" s="6"/>
      <c r="AT100" s="6"/>
      <c r="AU100" s="6"/>
      <c r="AV100" s="33"/>
      <c r="AW100" s="6"/>
      <c r="AX100" s="6"/>
      <c r="AY100" s="6"/>
      <c r="AZ100" s="6"/>
      <c r="BA100" s="6"/>
      <c r="BB100" s="33"/>
      <c r="BC100" s="6"/>
      <c r="BD100" s="6"/>
      <c r="BE100" s="6"/>
      <c r="BF100" s="6"/>
      <c r="BG100" s="6"/>
      <c r="BH100" s="33"/>
      <c r="BI100" s="6"/>
      <c r="BJ100" s="6"/>
      <c r="BK100" s="6"/>
      <c r="BL100" s="6"/>
      <c r="BM100" s="6"/>
      <c r="BN100" s="33"/>
      <c r="BO100" s="6"/>
      <c r="BP100" s="6"/>
      <c r="BQ100" s="6"/>
      <c r="BR100" s="6"/>
      <c r="BS100" s="6"/>
      <c r="BT100" s="33"/>
      <c r="BU100" s="6"/>
      <c r="BV100" s="6"/>
      <c r="BW100" s="7">
        <f t="shared" si="462"/>
        <v>3380000</v>
      </c>
      <c r="BX100" s="7">
        <f t="shared" si="463"/>
        <v>405600</v>
      </c>
      <c r="BY100" s="7">
        <f t="shared" si="464"/>
        <v>402220</v>
      </c>
      <c r="BZ100" s="7">
        <f t="shared" si="465"/>
        <v>0</v>
      </c>
      <c r="CA100" s="7">
        <f t="shared" si="466"/>
        <v>3380</v>
      </c>
      <c r="CB100" s="7">
        <f t="shared" si="467"/>
        <v>405600</v>
      </c>
    </row>
    <row r="101" spans="1:80" s="2" customFormat="1" ht="24" x14ac:dyDescent="0.2">
      <c r="A101" s="32">
        <f t="shared" si="468"/>
        <v>3</v>
      </c>
      <c r="B101" s="5" t="s">
        <v>43</v>
      </c>
      <c r="C101" s="6">
        <v>660000</v>
      </c>
      <c r="D101" s="6">
        <f t="shared" si="469"/>
        <v>79200</v>
      </c>
      <c r="E101" s="6">
        <f t="shared" ref="E101:E104" si="474">+C101*0.119</f>
        <v>78540</v>
      </c>
      <c r="F101" s="33"/>
      <c r="G101" s="6">
        <f t="shared" ref="G101:G104" si="475">+C101*0.001</f>
        <v>660</v>
      </c>
      <c r="H101" s="6">
        <f t="shared" si="456"/>
        <v>79200</v>
      </c>
      <c r="I101" s="6">
        <v>680000</v>
      </c>
      <c r="J101" s="6">
        <f t="shared" si="470"/>
        <v>81600</v>
      </c>
      <c r="K101" s="6">
        <f t="shared" ref="K101:K104" si="476">+I101*0.119</f>
        <v>80920</v>
      </c>
      <c r="L101" s="33"/>
      <c r="M101" s="6">
        <f t="shared" ref="M101:M104" si="477">+I101*0.001</f>
        <v>680</v>
      </c>
      <c r="N101" s="6">
        <f t="shared" si="457"/>
        <v>81600</v>
      </c>
      <c r="O101" s="6">
        <v>680000</v>
      </c>
      <c r="P101" s="6">
        <f t="shared" si="471"/>
        <v>81600</v>
      </c>
      <c r="Q101" s="6">
        <f t="shared" ref="Q101:Q104" si="478">+O101*0.119</f>
        <v>80920</v>
      </c>
      <c r="R101" s="33"/>
      <c r="S101" s="6">
        <f t="shared" ref="S101:S104" si="479">+O101*0.001</f>
        <v>680</v>
      </c>
      <c r="T101" s="6">
        <f t="shared" si="458"/>
        <v>81600</v>
      </c>
      <c r="U101" s="6">
        <v>680000</v>
      </c>
      <c r="V101" s="6">
        <f t="shared" si="472"/>
        <v>81600</v>
      </c>
      <c r="W101" s="6">
        <f t="shared" ref="W101:W104" si="480">+U101*0.119</f>
        <v>80920</v>
      </c>
      <c r="X101" s="33"/>
      <c r="Y101" s="6">
        <f t="shared" ref="Y101:Y104" si="481">+U101*0.001</f>
        <v>680</v>
      </c>
      <c r="Z101" s="6">
        <f t="shared" si="459"/>
        <v>81600</v>
      </c>
      <c r="AA101" s="6">
        <v>680000</v>
      </c>
      <c r="AB101" s="6">
        <f t="shared" si="473"/>
        <v>81600</v>
      </c>
      <c r="AC101" s="6">
        <f t="shared" ref="AC101:AC104" si="482">+AA101*0.119</f>
        <v>80920</v>
      </c>
      <c r="AD101" s="33"/>
      <c r="AE101" s="6">
        <f t="shared" ref="AE101:AE104" si="483">+AA101*0.001</f>
        <v>680</v>
      </c>
      <c r="AF101" s="6">
        <f t="shared" si="460"/>
        <v>81600</v>
      </c>
      <c r="AG101" s="6"/>
      <c r="AH101" s="6"/>
      <c r="AI101" s="6"/>
      <c r="AJ101" s="33"/>
      <c r="AK101" s="6"/>
      <c r="AL101" s="6">
        <f t="shared" si="461"/>
        <v>0</v>
      </c>
      <c r="AM101" s="6"/>
      <c r="AN101" s="6"/>
      <c r="AO101" s="6"/>
      <c r="AP101" s="33"/>
      <c r="AQ101" s="6"/>
      <c r="AR101" s="6"/>
      <c r="AS101" s="6"/>
      <c r="AT101" s="6"/>
      <c r="AU101" s="6"/>
      <c r="AV101" s="33"/>
      <c r="AW101" s="6"/>
      <c r="AX101" s="6"/>
      <c r="AY101" s="6"/>
      <c r="AZ101" s="6"/>
      <c r="BA101" s="6"/>
      <c r="BB101" s="33"/>
      <c r="BC101" s="6"/>
      <c r="BD101" s="6"/>
      <c r="BE101" s="6"/>
      <c r="BF101" s="6"/>
      <c r="BG101" s="6"/>
      <c r="BH101" s="33"/>
      <c r="BI101" s="6"/>
      <c r="BJ101" s="6"/>
      <c r="BK101" s="6"/>
      <c r="BL101" s="6"/>
      <c r="BM101" s="6"/>
      <c r="BN101" s="33"/>
      <c r="BO101" s="6"/>
      <c r="BP101" s="6"/>
      <c r="BQ101" s="6"/>
      <c r="BR101" s="6"/>
      <c r="BS101" s="6"/>
      <c r="BT101" s="33"/>
      <c r="BU101" s="6"/>
      <c r="BV101" s="6"/>
      <c r="BW101" s="7">
        <f t="shared" si="462"/>
        <v>3380000</v>
      </c>
      <c r="BX101" s="7">
        <f t="shared" si="463"/>
        <v>405600</v>
      </c>
      <c r="BY101" s="7">
        <f t="shared" si="464"/>
        <v>402220</v>
      </c>
      <c r="BZ101" s="7">
        <f t="shared" si="465"/>
        <v>0</v>
      </c>
      <c r="CA101" s="7">
        <f t="shared" si="466"/>
        <v>3380</v>
      </c>
      <c r="CB101" s="7">
        <f t="shared" si="467"/>
        <v>405600</v>
      </c>
    </row>
    <row r="102" spans="1:80" s="2" customFormat="1" ht="24" x14ac:dyDescent="0.2">
      <c r="A102" s="32">
        <f t="shared" si="468"/>
        <v>4</v>
      </c>
      <c r="B102" s="5" t="s">
        <v>44</v>
      </c>
      <c r="C102" s="6">
        <v>660000</v>
      </c>
      <c r="D102" s="6">
        <f t="shared" si="469"/>
        <v>79200</v>
      </c>
      <c r="E102" s="6">
        <f t="shared" si="474"/>
        <v>78540</v>
      </c>
      <c r="F102" s="33"/>
      <c r="G102" s="6">
        <f t="shared" si="475"/>
        <v>660</v>
      </c>
      <c r="H102" s="6">
        <f t="shared" si="456"/>
        <v>79200</v>
      </c>
      <c r="I102" s="6">
        <v>680000</v>
      </c>
      <c r="J102" s="6">
        <f t="shared" si="470"/>
        <v>81600</v>
      </c>
      <c r="K102" s="6">
        <f t="shared" si="476"/>
        <v>80920</v>
      </c>
      <c r="L102" s="33"/>
      <c r="M102" s="6">
        <f t="shared" si="477"/>
        <v>680</v>
      </c>
      <c r="N102" s="6">
        <f t="shared" si="457"/>
        <v>81600</v>
      </c>
      <c r="O102" s="6">
        <v>680000</v>
      </c>
      <c r="P102" s="6">
        <f t="shared" si="471"/>
        <v>81600</v>
      </c>
      <c r="Q102" s="6">
        <f t="shared" si="478"/>
        <v>80920</v>
      </c>
      <c r="R102" s="33"/>
      <c r="S102" s="6">
        <f t="shared" si="479"/>
        <v>680</v>
      </c>
      <c r="T102" s="6">
        <f t="shared" si="458"/>
        <v>81600</v>
      </c>
      <c r="U102" s="6">
        <v>680000</v>
      </c>
      <c r="V102" s="6">
        <f t="shared" si="472"/>
        <v>81600</v>
      </c>
      <c r="W102" s="6">
        <f t="shared" si="480"/>
        <v>80920</v>
      </c>
      <c r="X102" s="33"/>
      <c r="Y102" s="6">
        <f t="shared" si="481"/>
        <v>680</v>
      </c>
      <c r="Z102" s="6">
        <f t="shared" si="459"/>
        <v>81600</v>
      </c>
      <c r="AA102" s="6">
        <v>680000</v>
      </c>
      <c r="AB102" s="6">
        <f t="shared" si="473"/>
        <v>81600</v>
      </c>
      <c r="AC102" s="6">
        <f t="shared" si="482"/>
        <v>80920</v>
      </c>
      <c r="AD102" s="33"/>
      <c r="AE102" s="6">
        <f t="shared" si="483"/>
        <v>680</v>
      </c>
      <c r="AF102" s="6">
        <f t="shared" si="460"/>
        <v>81600</v>
      </c>
      <c r="AG102" s="6"/>
      <c r="AH102" s="6"/>
      <c r="AI102" s="6"/>
      <c r="AJ102" s="33"/>
      <c r="AK102" s="6"/>
      <c r="AL102" s="6">
        <f t="shared" si="461"/>
        <v>0</v>
      </c>
      <c r="AM102" s="6"/>
      <c r="AN102" s="6"/>
      <c r="AO102" s="6"/>
      <c r="AP102" s="33"/>
      <c r="AQ102" s="6"/>
      <c r="AR102" s="6"/>
      <c r="AS102" s="6"/>
      <c r="AT102" s="6"/>
      <c r="AU102" s="6"/>
      <c r="AV102" s="33"/>
      <c r="AW102" s="6"/>
      <c r="AX102" s="6"/>
      <c r="AY102" s="6"/>
      <c r="AZ102" s="6"/>
      <c r="BA102" s="6"/>
      <c r="BB102" s="33"/>
      <c r="BC102" s="6"/>
      <c r="BD102" s="6"/>
      <c r="BE102" s="6"/>
      <c r="BF102" s="6"/>
      <c r="BG102" s="6"/>
      <c r="BH102" s="33"/>
      <c r="BI102" s="6"/>
      <c r="BJ102" s="6"/>
      <c r="BK102" s="6"/>
      <c r="BL102" s="6"/>
      <c r="BM102" s="6"/>
      <c r="BN102" s="33"/>
      <c r="BO102" s="6"/>
      <c r="BP102" s="6"/>
      <c r="BQ102" s="6"/>
      <c r="BR102" s="6"/>
      <c r="BS102" s="6"/>
      <c r="BT102" s="33"/>
      <c r="BU102" s="6"/>
      <c r="BV102" s="6"/>
      <c r="BW102" s="7">
        <f t="shared" si="462"/>
        <v>3380000</v>
      </c>
      <c r="BX102" s="7">
        <f t="shared" si="463"/>
        <v>405600</v>
      </c>
      <c r="BY102" s="7">
        <f t="shared" si="464"/>
        <v>402220</v>
      </c>
      <c r="BZ102" s="7">
        <f t="shared" si="465"/>
        <v>0</v>
      </c>
      <c r="CA102" s="7">
        <f t="shared" si="466"/>
        <v>3380</v>
      </c>
      <c r="CB102" s="7">
        <f t="shared" si="467"/>
        <v>405600</v>
      </c>
    </row>
    <row r="103" spans="1:80" s="2" customFormat="1" ht="24" x14ac:dyDescent="0.2">
      <c r="A103" s="32">
        <f t="shared" si="468"/>
        <v>5</v>
      </c>
      <c r="B103" s="5" t="s">
        <v>27</v>
      </c>
      <c r="C103" s="6">
        <v>660000</v>
      </c>
      <c r="D103" s="6">
        <f t="shared" si="469"/>
        <v>79200</v>
      </c>
      <c r="E103" s="6">
        <f t="shared" si="474"/>
        <v>78540</v>
      </c>
      <c r="F103" s="33"/>
      <c r="G103" s="6">
        <f t="shared" si="475"/>
        <v>660</v>
      </c>
      <c r="H103" s="6">
        <f t="shared" si="456"/>
        <v>79200</v>
      </c>
      <c r="I103" s="6">
        <v>680000</v>
      </c>
      <c r="J103" s="6">
        <f t="shared" si="470"/>
        <v>81600</v>
      </c>
      <c r="K103" s="6">
        <f t="shared" si="476"/>
        <v>80920</v>
      </c>
      <c r="L103" s="33"/>
      <c r="M103" s="6">
        <f t="shared" si="477"/>
        <v>680</v>
      </c>
      <c r="N103" s="6">
        <f t="shared" si="457"/>
        <v>81600</v>
      </c>
      <c r="O103" s="6">
        <v>680000</v>
      </c>
      <c r="P103" s="6">
        <f t="shared" si="471"/>
        <v>81600</v>
      </c>
      <c r="Q103" s="6">
        <f t="shared" si="478"/>
        <v>80920</v>
      </c>
      <c r="R103" s="33"/>
      <c r="S103" s="6">
        <f t="shared" si="479"/>
        <v>680</v>
      </c>
      <c r="T103" s="6">
        <f t="shared" si="458"/>
        <v>81600</v>
      </c>
      <c r="U103" s="6">
        <v>680000</v>
      </c>
      <c r="V103" s="6">
        <f t="shared" si="472"/>
        <v>81600</v>
      </c>
      <c r="W103" s="6">
        <f t="shared" si="480"/>
        <v>80920</v>
      </c>
      <c r="X103" s="33"/>
      <c r="Y103" s="6">
        <f t="shared" si="481"/>
        <v>680</v>
      </c>
      <c r="Z103" s="6">
        <f t="shared" si="459"/>
        <v>81600</v>
      </c>
      <c r="AA103" s="6">
        <v>680000</v>
      </c>
      <c r="AB103" s="6">
        <f t="shared" si="473"/>
        <v>81600</v>
      </c>
      <c r="AC103" s="6">
        <f t="shared" si="482"/>
        <v>80920</v>
      </c>
      <c r="AD103" s="33"/>
      <c r="AE103" s="6">
        <f t="shared" si="483"/>
        <v>680</v>
      </c>
      <c r="AF103" s="6">
        <f t="shared" si="460"/>
        <v>81600</v>
      </c>
      <c r="AG103" s="6"/>
      <c r="AH103" s="6"/>
      <c r="AI103" s="6"/>
      <c r="AJ103" s="33"/>
      <c r="AK103" s="6"/>
      <c r="AL103" s="6">
        <f t="shared" si="461"/>
        <v>0</v>
      </c>
      <c r="AM103" s="6"/>
      <c r="AN103" s="6"/>
      <c r="AO103" s="6"/>
      <c r="AP103" s="33"/>
      <c r="AQ103" s="6"/>
      <c r="AR103" s="6"/>
      <c r="AS103" s="6"/>
      <c r="AT103" s="6"/>
      <c r="AU103" s="6"/>
      <c r="AV103" s="33"/>
      <c r="AW103" s="6"/>
      <c r="AX103" s="6"/>
      <c r="AY103" s="6"/>
      <c r="AZ103" s="6"/>
      <c r="BA103" s="6"/>
      <c r="BB103" s="33"/>
      <c r="BC103" s="6"/>
      <c r="BD103" s="6"/>
      <c r="BE103" s="6"/>
      <c r="BF103" s="6"/>
      <c r="BG103" s="6"/>
      <c r="BH103" s="33"/>
      <c r="BI103" s="6"/>
      <c r="BJ103" s="6"/>
      <c r="BK103" s="6"/>
      <c r="BL103" s="6"/>
      <c r="BM103" s="6"/>
      <c r="BN103" s="33"/>
      <c r="BO103" s="6"/>
      <c r="BP103" s="6"/>
      <c r="BQ103" s="6"/>
      <c r="BR103" s="6"/>
      <c r="BS103" s="6"/>
      <c r="BT103" s="33"/>
      <c r="BU103" s="6"/>
      <c r="BV103" s="6"/>
      <c r="BW103" s="7">
        <f t="shared" si="462"/>
        <v>3380000</v>
      </c>
      <c r="BX103" s="7">
        <f t="shared" si="463"/>
        <v>405600</v>
      </c>
      <c r="BY103" s="7">
        <f t="shared" si="464"/>
        <v>402220</v>
      </c>
      <c r="BZ103" s="7">
        <f t="shared" si="465"/>
        <v>0</v>
      </c>
      <c r="CA103" s="7">
        <f t="shared" si="466"/>
        <v>3380</v>
      </c>
      <c r="CB103" s="7">
        <f t="shared" si="467"/>
        <v>405600</v>
      </c>
    </row>
    <row r="104" spans="1:80" s="2" customFormat="1" ht="24" x14ac:dyDescent="0.2">
      <c r="A104" s="32">
        <f t="shared" si="468"/>
        <v>6</v>
      </c>
      <c r="B104" s="5" t="s">
        <v>46</v>
      </c>
      <c r="C104" s="6">
        <v>660000</v>
      </c>
      <c r="D104" s="6">
        <f t="shared" si="469"/>
        <v>79200</v>
      </c>
      <c r="E104" s="6">
        <f t="shared" si="474"/>
        <v>78540</v>
      </c>
      <c r="F104" s="33"/>
      <c r="G104" s="6">
        <f t="shared" si="475"/>
        <v>660</v>
      </c>
      <c r="H104" s="6">
        <f t="shared" si="456"/>
        <v>79200</v>
      </c>
      <c r="I104" s="6">
        <v>680000</v>
      </c>
      <c r="J104" s="6">
        <f t="shared" si="470"/>
        <v>81600</v>
      </c>
      <c r="K104" s="6">
        <f t="shared" si="476"/>
        <v>80920</v>
      </c>
      <c r="L104" s="33"/>
      <c r="M104" s="6">
        <f t="shared" si="477"/>
        <v>680</v>
      </c>
      <c r="N104" s="6">
        <f t="shared" si="457"/>
        <v>81600</v>
      </c>
      <c r="O104" s="6">
        <v>680000</v>
      </c>
      <c r="P104" s="6">
        <f t="shared" si="471"/>
        <v>81600</v>
      </c>
      <c r="Q104" s="6">
        <f t="shared" si="478"/>
        <v>80920</v>
      </c>
      <c r="R104" s="33"/>
      <c r="S104" s="6">
        <f t="shared" si="479"/>
        <v>680</v>
      </c>
      <c r="T104" s="6">
        <f t="shared" si="458"/>
        <v>81600</v>
      </c>
      <c r="U104" s="6">
        <v>680000</v>
      </c>
      <c r="V104" s="6">
        <f t="shared" si="472"/>
        <v>81600</v>
      </c>
      <c r="W104" s="6">
        <f t="shared" si="480"/>
        <v>80920</v>
      </c>
      <c r="X104" s="33"/>
      <c r="Y104" s="6">
        <f t="shared" si="481"/>
        <v>680</v>
      </c>
      <c r="Z104" s="6">
        <f t="shared" si="459"/>
        <v>81600</v>
      </c>
      <c r="AA104" s="6">
        <v>680000</v>
      </c>
      <c r="AB104" s="6">
        <f t="shared" si="473"/>
        <v>81600</v>
      </c>
      <c r="AC104" s="6">
        <f t="shared" si="482"/>
        <v>80920</v>
      </c>
      <c r="AD104" s="33"/>
      <c r="AE104" s="6">
        <f t="shared" si="483"/>
        <v>680</v>
      </c>
      <c r="AF104" s="6">
        <f t="shared" si="460"/>
        <v>81600</v>
      </c>
      <c r="AG104" s="6"/>
      <c r="AH104" s="6"/>
      <c r="AI104" s="6"/>
      <c r="AJ104" s="33"/>
      <c r="AK104" s="6"/>
      <c r="AL104" s="6">
        <f t="shared" si="461"/>
        <v>0</v>
      </c>
      <c r="AM104" s="6"/>
      <c r="AN104" s="6"/>
      <c r="AO104" s="6"/>
      <c r="AP104" s="33"/>
      <c r="AQ104" s="6"/>
      <c r="AR104" s="6"/>
      <c r="AS104" s="6"/>
      <c r="AT104" s="6"/>
      <c r="AU104" s="6"/>
      <c r="AV104" s="33"/>
      <c r="AW104" s="6"/>
      <c r="AX104" s="6"/>
      <c r="AY104" s="6"/>
      <c r="AZ104" s="6"/>
      <c r="BA104" s="6"/>
      <c r="BB104" s="33"/>
      <c r="BC104" s="6"/>
      <c r="BD104" s="6"/>
      <c r="BE104" s="6"/>
      <c r="BF104" s="6"/>
      <c r="BG104" s="6"/>
      <c r="BH104" s="33"/>
      <c r="BI104" s="6"/>
      <c r="BJ104" s="6"/>
      <c r="BK104" s="6"/>
      <c r="BL104" s="6"/>
      <c r="BM104" s="6"/>
      <c r="BN104" s="33"/>
      <c r="BO104" s="6"/>
      <c r="BP104" s="6"/>
      <c r="BQ104" s="6"/>
      <c r="BR104" s="6"/>
      <c r="BS104" s="6"/>
      <c r="BT104" s="33"/>
      <c r="BU104" s="6"/>
      <c r="BV104" s="6"/>
      <c r="BW104" s="7">
        <f t="shared" si="462"/>
        <v>3380000</v>
      </c>
      <c r="BX104" s="7">
        <f t="shared" si="463"/>
        <v>405600</v>
      </c>
      <c r="BY104" s="7">
        <f t="shared" si="464"/>
        <v>402220</v>
      </c>
      <c r="BZ104" s="7">
        <f t="shared" si="465"/>
        <v>0</v>
      </c>
      <c r="CA104" s="7">
        <f t="shared" si="466"/>
        <v>3380</v>
      </c>
      <c r="CB104" s="7">
        <f t="shared" si="467"/>
        <v>405600</v>
      </c>
    </row>
    <row r="105" spans="1:80" s="2" customFormat="1" ht="12.75" x14ac:dyDescent="0.2">
      <c r="A105" s="32">
        <f t="shared" si="468"/>
        <v>7</v>
      </c>
      <c r="B105" s="5" t="s">
        <v>65</v>
      </c>
      <c r="C105" s="6">
        <v>660000</v>
      </c>
      <c r="D105" s="6">
        <f t="shared" si="469"/>
        <v>79200</v>
      </c>
      <c r="E105" s="6">
        <f t="shared" ref="E105:E108" si="484">+C105*0.12</f>
        <v>79200</v>
      </c>
      <c r="F105" s="33"/>
      <c r="G105" s="6">
        <v>0</v>
      </c>
      <c r="H105" s="6">
        <f t="shared" si="456"/>
        <v>79200</v>
      </c>
      <c r="I105" s="6">
        <v>680000</v>
      </c>
      <c r="J105" s="6">
        <f t="shared" si="470"/>
        <v>81600</v>
      </c>
      <c r="K105" s="6">
        <f t="shared" ref="K105:K108" si="485">+I105*0.12</f>
        <v>81600</v>
      </c>
      <c r="L105" s="33"/>
      <c r="M105" s="6">
        <v>0</v>
      </c>
      <c r="N105" s="6">
        <f t="shared" si="457"/>
        <v>81600</v>
      </c>
      <c r="O105" s="6">
        <v>680000</v>
      </c>
      <c r="P105" s="6">
        <f t="shared" si="471"/>
        <v>81600</v>
      </c>
      <c r="Q105" s="6">
        <f t="shared" ref="Q105:Q108" si="486">+O105*0.12</f>
        <v>81600</v>
      </c>
      <c r="R105" s="33"/>
      <c r="S105" s="6">
        <v>0</v>
      </c>
      <c r="T105" s="6">
        <f t="shared" si="458"/>
        <v>81600</v>
      </c>
      <c r="U105" s="6">
        <v>680000</v>
      </c>
      <c r="V105" s="6">
        <f t="shared" si="472"/>
        <v>81600</v>
      </c>
      <c r="W105" s="6">
        <f t="shared" ref="W105:W108" si="487">+U105*0.12</f>
        <v>81600</v>
      </c>
      <c r="X105" s="33"/>
      <c r="Y105" s="6">
        <v>0</v>
      </c>
      <c r="Z105" s="6">
        <f t="shared" si="459"/>
        <v>81600</v>
      </c>
      <c r="AA105" s="6">
        <v>680000</v>
      </c>
      <c r="AB105" s="6">
        <f t="shared" si="473"/>
        <v>81600</v>
      </c>
      <c r="AC105" s="6">
        <f t="shared" ref="AC105:AC108" si="488">+AA105*0.12</f>
        <v>81600</v>
      </c>
      <c r="AD105" s="33"/>
      <c r="AE105" s="6">
        <v>0</v>
      </c>
      <c r="AF105" s="6">
        <f t="shared" si="460"/>
        <v>81600</v>
      </c>
      <c r="AG105" s="6"/>
      <c r="AH105" s="6"/>
      <c r="AI105" s="6"/>
      <c r="AJ105" s="33"/>
      <c r="AK105" s="6"/>
      <c r="AL105" s="6">
        <f t="shared" si="461"/>
        <v>0</v>
      </c>
      <c r="AM105" s="6"/>
      <c r="AN105" s="6"/>
      <c r="AO105" s="6"/>
      <c r="AP105" s="33"/>
      <c r="AQ105" s="6"/>
      <c r="AR105" s="6"/>
      <c r="AS105" s="6"/>
      <c r="AT105" s="6"/>
      <c r="AU105" s="6"/>
      <c r="AV105" s="33"/>
      <c r="AW105" s="6"/>
      <c r="AX105" s="6"/>
      <c r="AY105" s="6"/>
      <c r="AZ105" s="6"/>
      <c r="BA105" s="6"/>
      <c r="BB105" s="33"/>
      <c r="BC105" s="6"/>
      <c r="BD105" s="6"/>
      <c r="BE105" s="6"/>
      <c r="BF105" s="6"/>
      <c r="BG105" s="6"/>
      <c r="BH105" s="33"/>
      <c r="BI105" s="6"/>
      <c r="BJ105" s="6"/>
      <c r="BK105" s="6"/>
      <c r="BL105" s="6"/>
      <c r="BM105" s="6"/>
      <c r="BN105" s="33"/>
      <c r="BO105" s="6"/>
      <c r="BP105" s="6"/>
      <c r="BQ105" s="6"/>
      <c r="BR105" s="6"/>
      <c r="BS105" s="6"/>
      <c r="BT105" s="33"/>
      <c r="BU105" s="6"/>
      <c r="BV105" s="6"/>
      <c r="BW105" s="7">
        <f t="shared" si="462"/>
        <v>3380000</v>
      </c>
      <c r="BX105" s="7">
        <f t="shared" si="463"/>
        <v>405600</v>
      </c>
      <c r="BY105" s="7">
        <f t="shared" si="464"/>
        <v>405600</v>
      </c>
      <c r="BZ105" s="7">
        <f t="shared" si="465"/>
        <v>0</v>
      </c>
      <c r="CA105" s="7">
        <f t="shared" si="466"/>
        <v>0</v>
      </c>
      <c r="CB105" s="7">
        <f t="shared" si="467"/>
        <v>405600</v>
      </c>
    </row>
    <row r="106" spans="1:80" s="2" customFormat="1" ht="12.75" x14ac:dyDescent="0.2">
      <c r="A106" s="32">
        <f t="shared" si="468"/>
        <v>8</v>
      </c>
      <c r="B106" s="5" t="s">
        <v>49</v>
      </c>
      <c r="C106" s="6">
        <v>660000</v>
      </c>
      <c r="D106" s="6">
        <f t="shared" si="469"/>
        <v>79200</v>
      </c>
      <c r="E106" s="6">
        <f t="shared" si="484"/>
        <v>79200</v>
      </c>
      <c r="F106" s="33"/>
      <c r="G106" s="6">
        <v>0</v>
      </c>
      <c r="H106" s="6">
        <f t="shared" si="456"/>
        <v>79200</v>
      </c>
      <c r="I106" s="6">
        <v>680000</v>
      </c>
      <c r="J106" s="6">
        <f t="shared" si="470"/>
        <v>81600</v>
      </c>
      <c r="K106" s="6">
        <f t="shared" si="485"/>
        <v>81600</v>
      </c>
      <c r="L106" s="33"/>
      <c r="M106" s="6">
        <v>0</v>
      </c>
      <c r="N106" s="6">
        <f t="shared" si="457"/>
        <v>81600</v>
      </c>
      <c r="O106" s="6">
        <v>680000</v>
      </c>
      <c r="P106" s="6">
        <f t="shared" si="471"/>
        <v>81600</v>
      </c>
      <c r="Q106" s="6">
        <f t="shared" si="486"/>
        <v>81600</v>
      </c>
      <c r="R106" s="33"/>
      <c r="S106" s="6">
        <v>0</v>
      </c>
      <c r="T106" s="6">
        <f t="shared" si="458"/>
        <v>81600</v>
      </c>
      <c r="U106" s="6">
        <v>680000</v>
      </c>
      <c r="V106" s="6">
        <f t="shared" si="472"/>
        <v>81600</v>
      </c>
      <c r="W106" s="6">
        <f t="shared" si="487"/>
        <v>81600</v>
      </c>
      <c r="X106" s="33"/>
      <c r="Y106" s="6">
        <v>0</v>
      </c>
      <c r="Z106" s="6">
        <f t="shared" si="459"/>
        <v>81600</v>
      </c>
      <c r="AA106" s="6">
        <v>680000</v>
      </c>
      <c r="AB106" s="6">
        <f t="shared" si="473"/>
        <v>81600</v>
      </c>
      <c r="AC106" s="6">
        <f t="shared" si="488"/>
        <v>81600</v>
      </c>
      <c r="AD106" s="33"/>
      <c r="AE106" s="6">
        <v>0</v>
      </c>
      <c r="AF106" s="6">
        <f t="shared" si="460"/>
        <v>81600</v>
      </c>
      <c r="AG106" s="6"/>
      <c r="AH106" s="6"/>
      <c r="AI106" s="6"/>
      <c r="AJ106" s="33"/>
      <c r="AK106" s="6"/>
      <c r="AL106" s="6">
        <f t="shared" si="461"/>
        <v>0</v>
      </c>
      <c r="AM106" s="6"/>
      <c r="AN106" s="6"/>
      <c r="AO106" s="6"/>
      <c r="AP106" s="33"/>
      <c r="AQ106" s="6"/>
      <c r="AR106" s="6"/>
      <c r="AS106" s="6"/>
      <c r="AT106" s="6"/>
      <c r="AU106" s="6"/>
      <c r="AV106" s="33"/>
      <c r="AW106" s="6"/>
      <c r="AX106" s="6"/>
      <c r="AY106" s="6"/>
      <c r="AZ106" s="6"/>
      <c r="BA106" s="6"/>
      <c r="BB106" s="33"/>
      <c r="BC106" s="6"/>
      <c r="BD106" s="6"/>
      <c r="BE106" s="6"/>
      <c r="BF106" s="6"/>
      <c r="BG106" s="6"/>
      <c r="BH106" s="33"/>
      <c r="BI106" s="6"/>
      <c r="BJ106" s="6"/>
      <c r="BK106" s="6"/>
      <c r="BL106" s="6"/>
      <c r="BM106" s="6"/>
      <c r="BN106" s="33"/>
      <c r="BO106" s="6"/>
      <c r="BP106" s="6"/>
      <c r="BQ106" s="6"/>
      <c r="BR106" s="6"/>
      <c r="BS106" s="6"/>
      <c r="BT106" s="33"/>
      <c r="BU106" s="6"/>
      <c r="BV106" s="6"/>
      <c r="BW106" s="7">
        <f t="shared" si="462"/>
        <v>3380000</v>
      </c>
      <c r="BX106" s="7">
        <f t="shared" si="463"/>
        <v>405600</v>
      </c>
      <c r="BY106" s="7">
        <f t="shared" si="464"/>
        <v>405600</v>
      </c>
      <c r="BZ106" s="7">
        <f t="shared" si="465"/>
        <v>0</v>
      </c>
      <c r="CA106" s="7">
        <f t="shared" si="466"/>
        <v>0</v>
      </c>
      <c r="CB106" s="7">
        <f t="shared" si="467"/>
        <v>405600</v>
      </c>
    </row>
    <row r="107" spans="1:80" s="2" customFormat="1" ht="12.75" x14ac:dyDescent="0.2">
      <c r="A107" s="32">
        <f t="shared" si="468"/>
        <v>9</v>
      </c>
      <c r="B107" s="5" t="s">
        <v>47</v>
      </c>
      <c r="C107" s="6">
        <v>660000</v>
      </c>
      <c r="D107" s="6">
        <f t="shared" si="469"/>
        <v>79200</v>
      </c>
      <c r="E107" s="6">
        <f t="shared" si="484"/>
        <v>79200</v>
      </c>
      <c r="F107" s="33"/>
      <c r="G107" s="6">
        <v>0</v>
      </c>
      <c r="H107" s="6">
        <f t="shared" si="456"/>
        <v>79200</v>
      </c>
      <c r="I107" s="6">
        <v>680000</v>
      </c>
      <c r="J107" s="6">
        <f t="shared" si="470"/>
        <v>81600</v>
      </c>
      <c r="K107" s="6">
        <f t="shared" si="485"/>
        <v>81600</v>
      </c>
      <c r="L107" s="33"/>
      <c r="M107" s="6">
        <v>0</v>
      </c>
      <c r="N107" s="6">
        <f t="shared" si="457"/>
        <v>81600</v>
      </c>
      <c r="O107" s="6">
        <v>680000</v>
      </c>
      <c r="P107" s="6">
        <f t="shared" si="471"/>
        <v>81600</v>
      </c>
      <c r="Q107" s="6">
        <f t="shared" si="486"/>
        <v>81600</v>
      </c>
      <c r="R107" s="33"/>
      <c r="S107" s="6">
        <v>0</v>
      </c>
      <c r="T107" s="6">
        <f t="shared" si="458"/>
        <v>81600</v>
      </c>
      <c r="U107" s="6">
        <v>680000</v>
      </c>
      <c r="V107" s="6">
        <f t="shared" si="472"/>
        <v>81600</v>
      </c>
      <c r="W107" s="6">
        <f t="shared" si="487"/>
        <v>81600</v>
      </c>
      <c r="X107" s="33"/>
      <c r="Y107" s="6">
        <v>0</v>
      </c>
      <c r="Z107" s="6">
        <f t="shared" si="459"/>
        <v>81600</v>
      </c>
      <c r="AA107" s="6">
        <v>680000</v>
      </c>
      <c r="AB107" s="6">
        <f t="shared" si="473"/>
        <v>81600</v>
      </c>
      <c r="AC107" s="6">
        <f t="shared" si="488"/>
        <v>81600</v>
      </c>
      <c r="AD107" s="33"/>
      <c r="AE107" s="6">
        <v>0</v>
      </c>
      <c r="AF107" s="6">
        <f t="shared" si="460"/>
        <v>81600</v>
      </c>
      <c r="AG107" s="6"/>
      <c r="AH107" s="6"/>
      <c r="AI107" s="6"/>
      <c r="AJ107" s="33"/>
      <c r="AK107" s="6"/>
      <c r="AL107" s="6">
        <f t="shared" si="461"/>
        <v>0</v>
      </c>
      <c r="AM107" s="6"/>
      <c r="AN107" s="6"/>
      <c r="AO107" s="6"/>
      <c r="AP107" s="33"/>
      <c r="AQ107" s="6"/>
      <c r="AR107" s="6"/>
      <c r="AS107" s="6"/>
      <c r="AT107" s="6"/>
      <c r="AU107" s="6"/>
      <c r="AV107" s="33"/>
      <c r="AW107" s="6"/>
      <c r="AX107" s="6"/>
      <c r="AY107" s="6"/>
      <c r="AZ107" s="6"/>
      <c r="BA107" s="6"/>
      <c r="BB107" s="33"/>
      <c r="BC107" s="6"/>
      <c r="BD107" s="6"/>
      <c r="BE107" s="6"/>
      <c r="BF107" s="6"/>
      <c r="BG107" s="6"/>
      <c r="BH107" s="33"/>
      <c r="BI107" s="6"/>
      <c r="BJ107" s="6"/>
      <c r="BK107" s="6"/>
      <c r="BL107" s="6"/>
      <c r="BM107" s="6"/>
      <c r="BN107" s="33"/>
      <c r="BO107" s="6"/>
      <c r="BP107" s="6"/>
      <c r="BQ107" s="6"/>
      <c r="BR107" s="6"/>
      <c r="BS107" s="6"/>
      <c r="BT107" s="33"/>
      <c r="BU107" s="6"/>
      <c r="BV107" s="6"/>
      <c r="BW107" s="7">
        <f t="shared" si="462"/>
        <v>3380000</v>
      </c>
      <c r="BX107" s="7">
        <f t="shared" si="463"/>
        <v>405600</v>
      </c>
      <c r="BY107" s="7">
        <f t="shared" si="464"/>
        <v>405600</v>
      </c>
      <c r="BZ107" s="7">
        <f t="shared" si="465"/>
        <v>0</v>
      </c>
      <c r="CA107" s="7">
        <f t="shared" si="466"/>
        <v>0</v>
      </c>
      <c r="CB107" s="7">
        <f t="shared" si="467"/>
        <v>405600</v>
      </c>
    </row>
    <row r="108" spans="1:80" s="2" customFormat="1" ht="12.75" x14ac:dyDescent="0.2">
      <c r="A108" s="32">
        <f t="shared" si="468"/>
        <v>10</v>
      </c>
      <c r="B108" s="5" t="s">
        <v>33</v>
      </c>
      <c r="C108" s="6">
        <v>660000</v>
      </c>
      <c r="D108" s="6">
        <f t="shared" si="469"/>
        <v>79200</v>
      </c>
      <c r="E108" s="6">
        <f t="shared" si="484"/>
        <v>79200</v>
      </c>
      <c r="F108" s="33"/>
      <c r="G108" s="6">
        <v>0</v>
      </c>
      <c r="H108" s="6">
        <f t="shared" si="456"/>
        <v>79200</v>
      </c>
      <c r="I108" s="6">
        <v>680000</v>
      </c>
      <c r="J108" s="6">
        <f t="shared" si="470"/>
        <v>81600</v>
      </c>
      <c r="K108" s="6">
        <f t="shared" si="485"/>
        <v>81600</v>
      </c>
      <c r="L108" s="33"/>
      <c r="M108" s="6">
        <v>0</v>
      </c>
      <c r="N108" s="6">
        <f t="shared" si="457"/>
        <v>81600</v>
      </c>
      <c r="O108" s="6">
        <v>680000</v>
      </c>
      <c r="P108" s="6">
        <f t="shared" si="471"/>
        <v>81600</v>
      </c>
      <c r="Q108" s="6">
        <f t="shared" si="486"/>
        <v>81600</v>
      </c>
      <c r="R108" s="33"/>
      <c r="S108" s="6">
        <v>0</v>
      </c>
      <c r="T108" s="6">
        <f t="shared" si="458"/>
        <v>81600</v>
      </c>
      <c r="U108" s="6">
        <v>680000</v>
      </c>
      <c r="V108" s="6">
        <f t="shared" si="472"/>
        <v>81600</v>
      </c>
      <c r="W108" s="6">
        <f t="shared" si="487"/>
        <v>81600</v>
      </c>
      <c r="X108" s="33"/>
      <c r="Y108" s="6">
        <v>0</v>
      </c>
      <c r="Z108" s="6">
        <f t="shared" si="459"/>
        <v>81600</v>
      </c>
      <c r="AA108" s="6">
        <v>680000</v>
      </c>
      <c r="AB108" s="6">
        <f t="shared" si="473"/>
        <v>81600</v>
      </c>
      <c r="AC108" s="6">
        <f t="shared" si="488"/>
        <v>81600</v>
      </c>
      <c r="AD108" s="33"/>
      <c r="AE108" s="6">
        <v>0</v>
      </c>
      <c r="AF108" s="6">
        <f t="shared" si="460"/>
        <v>81600</v>
      </c>
      <c r="AG108" s="6"/>
      <c r="AH108" s="6"/>
      <c r="AI108" s="6"/>
      <c r="AJ108" s="33"/>
      <c r="AK108" s="6"/>
      <c r="AL108" s="6">
        <f t="shared" si="461"/>
        <v>0</v>
      </c>
      <c r="AM108" s="6"/>
      <c r="AN108" s="6"/>
      <c r="AO108" s="6"/>
      <c r="AP108" s="33"/>
      <c r="AQ108" s="6"/>
      <c r="AR108" s="6"/>
      <c r="AS108" s="6"/>
      <c r="AT108" s="6"/>
      <c r="AU108" s="6"/>
      <c r="AV108" s="33"/>
      <c r="AW108" s="6"/>
      <c r="AX108" s="6"/>
      <c r="AY108" s="6"/>
      <c r="AZ108" s="6"/>
      <c r="BA108" s="6"/>
      <c r="BB108" s="33"/>
      <c r="BC108" s="6"/>
      <c r="BD108" s="6"/>
      <c r="BE108" s="6"/>
      <c r="BF108" s="6"/>
      <c r="BG108" s="6"/>
      <c r="BH108" s="33"/>
      <c r="BI108" s="6"/>
      <c r="BJ108" s="6"/>
      <c r="BK108" s="6"/>
      <c r="BL108" s="6"/>
      <c r="BM108" s="6"/>
      <c r="BN108" s="33"/>
      <c r="BO108" s="6"/>
      <c r="BP108" s="6"/>
      <c r="BQ108" s="6"/>
      <c r="BR108" s="6"/>
      <c r="BS108" s="6"/>
      <c r="BT108" s="33"/>
      <c r="BU108" s="6"/>
      <c r="BV108" s="6"/>
      <c r="BW108" s="7">
        <f t="shared" si="462"/>
        <v>3380000</v>
      </c>
      <c r="BX108" s="7">
        <f t="shared" si="463"/>
        <v>405600</v>
      </c>
      <c r="BY108" s="7">
        <f t="shared" si="464"/>
        <v>405600</v>
      </c>
      <c r="BZ108" s="7">
        <f t="shared" si="465"/>
        <v>0</v>
      </c>
      <c r="CA108" s="7">
        <f t="shared" si="466"/>
        <v>0</v>
      </c>
      <c r="CB108" s="7">
        <f t="shared" si="467"/>
        <v>405600</v>
      </c>
    </row>
    <row r="109" spans="1:80" s="2" customFormat="1" ht="12.75" x14ac:dyDescent="0.2">
      <c r="A109" s="8"/>
      <c r="B109" s="9" t="s">
        <v>12</v>
      </c>
      <c r="C109" s="4">
        <f>SUM(C99:C108)</f>
        <v>6600000</v>
      </c>
      <c r="D109" s="4">
        <f t="shared" ref="D109:BO109" si="489">SUM(D99:D108)</f>
        <v>792000</v>
      </c>
      <c r="E109" s="4">
        <f t="shared" si="489"/>
        <v>788700</v>
      </c>
      <c r="F109" s="4">
        <f t="shared" si="489"/>
        <v>0</v>
      </c>
      <c r="G109" s="4">
        <f t="shared" si="489"/>
        <v>3300</v>
      </c>
      <c r="H109" s="4">
        <f t="shared" si="489"/>
        <v>792000</v>
      </c>
      <c r="I109" s="4">
        <f t="shared" si="489"/>
        <v>6800000</v>
      </c>
      <c r="J109" s="4">
        <f t="shared" si="489"/>
        <v>816000</v>
      </c>
      <c r="K109" s="4">
        <f t="shared" si="489"/>
        <v>812600</v>
      </c>
      <c r="L109" s="4">
        <f t="shared" si="489"/>
        <v>0</v>
      </c>
      <c r="M109" s="4">
        <f t="shared" si="489"/>
        <v>3400</v>
      </c>
      <c r="N109" s="4">
        <f t="shared" si="489"/>
        <v>816000</v>
      </c>
      <c r="O109" s="4">
        <f t="shared" si="489"/>
        <v>6800000</v>
      </c>
      <c r="P109" s="4">
        <f t="shared" si="489"/>
        <v>816000</v>
      </c>
      <c r="Q109" s="4">
        <f t="shared" si="489"/>
        <v>812600</v>
      </c>
      <c r="R109" s="4">
        <f t="shared" si="489"/>
        <v>0</v>
      </c>
      <c r="S109" s="4">
        <f t="shared" si="489"/>
        <v>3400</v>
      </c>
      <c r="T109" s="4">
        <f t="shared" si="489"/>
        <v>816000</v>
      </c>
      <c r="U109" s="4">
        <f t="shared" si="489"/>
        <v>6800000</v>
      </c>
      <c r="V109" s="4">
        <f t="shared" si="489"/>
        <v>816000</v>
      </c>
      <c r="W109" s="4">
        <f t="shared" si="489"/>
        <v>812600</v>
      </c>
      <c r="X109" s="4">
        <f t="shared" si="489"/>
        <v>0</v>
      </c>
      <c r="Y109" s="4">
        <f t="shared" si="489"/>
        <v>3400</v>
      </c>
      <c r="Z109" s="4">
        <f t="shared" si="489"/>
        <v>816000</v>
      </c>
      <c r="AA109" s="4">
        <f t="shared" si="489"/>
        <v>6800000</v>
      </c>
      <c r="AB109" s="4">
        <f t="shared" si="489"/>
        <v>816000</v>
      </c>
      <c r="AC109" s="4">
        <f t="shared" si="489"/>
        <v>812600</v>
      </c>
      <c r="AD109" s="4">
        <f t="shared" si="489"/>
        <v>0</v>
      </c>
      <c r="AE109" s="4">
        <f t="shared" si="489"/>
        <v>3400</v>
      </c>
      <c r="AF109" s="4">
        <f t="shared" si="489"/>
        <v>816000</v>
      </c>
      <c r="AG109" s="4">
        <f t="shared" si="489"/>
        <v>0</v>
      </c>
      <c r="AH109" s="4">
        <f t="shared" si="489"/>
        <v>0</v>
      </c>
      <c r="AI109" s="4">
        <f t="shared" si="489"/>
        <v>0</v>
      </c>
      <c r="AJ109" s="4">
        <f t="shared" si="489"/>
        <v>0</v>
      </c>
      <c r="AK109" s="4">
        <f t="shared" si="489"/>
        <v>0</v>
      </c>
      <c r="AL109" s="4">
        <f t="shared" si="489"/>
        <v>0</v>
      </c>
      <c r="AM109" s="4">
        <f t="shared" si="489"/>
        <v>0</v>
      </c>
      <c r="AN109" s="4">
        <f t="shared" si="489"/>
        <v>0</v>
      </c>
      <c r="AO109" s="4">
        <f t="shared" si="489"/>
        <v>0</v>
      </c>
      <c r="AP109" s="4">
        <f t="shared" si="489"/>
        <v>0</v>
      </c>
      <c r="AQ109" s="4">
        <f t="shared" si="489"/>
        <v>0</v>
      </c>
      <c r="AR109" s="4">
        <f t="shared" si="489"/>
        <v>0</v>
      </c>
      <c r="AS109" s="4">
        <f t="shared" si="489"/>
        <v>0</v>
      </c>
      <c r="AT109" s="4">
        <f t="shared" si="489"/>
        <v>0</v>
      </c>
      <c r="AU109" s="4">
        <f t="shared" si="489"/>
        <v>0</v>
      </c>
      <c r="AV109" s="4">
        <f t="shared" si="489"/>
        <v>0</v>
      </c>
      <c r="AW109" s="4">
        <f t="shared" si="489"/>
        <v>0</v>
      </c>
      <c r="AX109" s="4">
        <f t="shared" si="489"/>
        <v>0</v>
      </c>
      <c r="AY109" s="4">
        <f t="shared" si="489"/>
        <v>0</v>
      </c>
      <c r="AZ109" s="4">
        <f t="shared" si="489"/>
        <v>0</v>
      </c>
      <c r="BA109" s="4">
        <f t="shared" si="489"/>
        <v>0</v>
      </c>
      <c r="BB109" s="4">
        <f t="shared" si="489"/>
        <v>0</v>
      </c>
      <c r="BC109" s="4">
        <f t="shared" si="489"/>
        <v>0</v>
      </c>
      <c r="BD109" s="4">
        <f t="shared" si="489"/>
        <v>0</v>
      </c>
      <c r="BE109" s="4">
        <f t="shared" si="489"/>
        <v>0</v>
      </c>
      <c r="BF109" s="4">
        <f t="shared" si="489"/>
        <v>0</v>
      </c>
      <c r="BG109" s="4">
        <f t="shared" si="489"/>
        <v>0</v>
      </c>
      <c r="BH109" s="4">
        <f t="shared" si="489"/>
        <v>0</v>
      </c>
      <c r="BI109" s="4">
        <f t="shared" si="489"/>
        <v>0</v>
      </c>
      <c r="BJ109" s="4">
        <f t="shared" si="489"/>
        <v>0</v>
      </c>
      <c r="BK109" s="4">
        <f t="shared" si="489"/>
        <v>0</v>
      </c>
      <c r="BL109" s="4">
        <f t="shared" si="489"/>
        <v>0</v>
      </c>
      <c r="BM109" s="4">
        <f t="shared" si="489"/>
        <v>0</v>
      </c>
      <c r="BN109" s="4">
        <f t="shared" si="489"/>
        <v>0</v>
      </c>
      <c r="BO109" s="4">
        <f t="shared" si="489"/>
        <v>0</v>
      </c>
      <c r="BP109" s="4">
        <f t="shared" ref="BP109:CB109" si="490">SUM(BP99:BP108)</f>
        <v>0</v>
      </c>
      <c r="BQ109" s="4">
        <f t="shared" si="490"/>
        <v>0</v>
      </c>
      <c r="BR109" s="4">
        <f t="shared" si="490"/>
        <v>0</v>
      </c>
      <c r="BS109" s="4">
        <f t="shared" si="490"/>
        <v>0</v>
      </c>
      <c r="BT109" s="4">
        <f t="shared" si="490"/>
        <v>0</v>
      </c>
      <c r="BU109" s="4">
        <f t="shared" si="490"/>
        <v>0</v>
      </c>
      <c r="BV109" s="4">
        <f t="shared" si="490"/>
        <v>0</v>
      </c>
      <c r="BW109" s="4">
        <f t="shared" si="490"/>
        <v>33800000</v>
      </c>
      <c r="BX109" s="4">
        <f t="shared" si="490"/>
        <v>4056000</v>
      </c>
      <c r="BY109" s="4">
        <f t="shared" si="490"/>
        <v>4039100</v>
      </c>
      <c r="BZ109" s="4">
        <f t="shared" si="490"/>
        <v>0</v>
      </c>
      <c r="CA109" s="4">
        <f t="shared" si="490"/>
        <v>16900</v>
      </c>
      <c r="CB109" s="4">
        <f t="shared" si="490"/>
        <v>4056000</v>
      </c>
    </row>
    <row r="110" spans="1:80" s="2" customFormat="1" ht="12.75" x14ac:dyDescent="0.2">
      <c r="A110" s="30"/>
      <c r="B110" s="27" t="s">
        <v>59</v>
      </c>
      <c r="C110" s="31">
        <v>0</v>
      </c>
      <c r="D110" s="31">
        <v>1638600</v>
      </c>
      <c r="E110" s="31">
        <v>1578220</v>
      </c>
      <c r="F110" s="31">
        <v>0</v>
      </c>
      <c r="G110" s="31">
        <v>0</v>
      </c>
      <c r="H110" s="31">
        <f>E110+F110+G110</f>
        <v>1578220</v>
      </c>
      <c r="I110" s="31">
        <v>0</v>
      </c>
      <c r="J110" s="31">
        <v>822600</v>
      </c>
      <c r="K110" s="31">
        <v>769020</v>
      </c>
      <c r="L110" s="31">
        <v>0</v>
      </c>
      <c r="M110" s="31">
        <v>0</v>
      </c>
      <c r="N110" s="31">
        <f>+K110+L110+M110</f>
        <v>769020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T110" s="31">
        <f>+Q110+R110+S110</f>
        <v>0</v>
      </c>
      <c r="U110" s="31">
        <v>0</v>
      </c>
      <c r="V110" s="31">
        <v>0</v>
      </c>
      <c r="W110" s="31">
        <v>0</v>
      </c>
      <c r="X110" s="31">
        <v>0</v>
      </c>
      <c r="Y110" s="31">
        <v>0</v>
      </c>
      <c r="Z110" s="31">
        <f>+W110+X110+Y110</f>
        <v>0</v>
      </c>
      <c r="AA110" s="31">
        <v>0</v>
      </c>
      <c r="AB110" s="31">
        <v>0</v>
      </c>
      <c r="AC110" s="31">
        <v>0</v>
      </c>
      <c r="AD110" s="31">
        <v>0</v>
      </c>
      <c r="AE110" s="31">
        <v>0</v>
      </c>
      <c r="AF110" s="31">
        <f>+AC110+AD110+AE110</f>
        <v>0</v>
      </c>
      <c r="AG110" s="31">
        <v>0</v>
      </c>
      <c r="AH110" s="31">
        <v>816000</v>
      </c>
      <c r="AI110" s="31">
        <v>0</v>
      </c>
      <c r="AJ110" s="31">
        <v>0</v>
      </c>
      <c r="AK110" s="31">
        <v>0</v>
      </c>
      <c r="AL110" s="31">
        <f>+AI110+AJ110+AK110</f>
        <v>0</v>
      </c>
      <c r="AM110" s="31"/>
      <c r="AN110" s="31"/>
      <c r="AO110" s="31"/>
      <c r="AP110" s="31"/>
      <c r="AQ110" s="31"/>
      <c r="AR110" s="31">
        <f>+AO110+AP110+AQ110</f>
        <v>0</v>
      </c>
      <c r="AS110" s="31"/>
      <c r="AT110" s="31"/>
      <c r="AU110" s="31"/>
      <c r="AV110" s="31"/>
      <c r="AW110" s="31"/>
      <c r="AX110" s="31">
        <f>+AU110+AV110+AW110</f>
        <v>0</v>
      </c>
      <c r="AY110" s="31"/>
      <c r="AZ110" s="31"/>
      <c r="BA110" s="31"/>
      <c r="BB110" s="31"/>
      <c r="BC110" s="31"/>
      <c r="BD110" s="31">
        <f>+BA110+BB110+BC110</f>
        <v>0</v>
      </c>
      <c r="BE110" s="31"/>
      <c r="BF110" s="31"/>
      <c r="BG110" s="31"/>
      <c r="BH110" s="31"/>
      <c r="BI110" s="31"/>
      <c r="BJ110" s="31">
        <f>+BG110+BH110+BI110</f>
        <v>0</v>
      </c>
      <c r="BK110" s="31"/>
      <c r="BL110" s="31"/>
      <c r="BM110" s="31"/>
      <c r="BN110" s="31"/>
      <c r="BO110" s="31"/>
      <c r="BP110" s="31">
        <f>+BM110+BN110+BO110</f>
        <v>0</v>
      </c>
      <c r="BQ110" s="31"/>
      <c r="BR110" s="31"/>
      <c r="BS110" s="31"/>
      <c r="BT110" s="31"/>
      <c r="BU110" s="31"/>
      <c r="BV110" s="31">
        <f>+BS110+BT110+BU110</f>
        <v>0</v>
      </c>
      <c r="BW110" s="28">
        <f>C110+I110+O110+U110+AA110+AG110+AM110+AS110+AY110+BE110+BK110+BQ110</f>
        <v>0</v>
      </c>
      <c r="BX110" s="28">
        <f>D110+J110+P110+V110+AB110+AH110+AN110+AT110+AZ110+BF110+BL110+BR110</f>
        <v>3277200</v>
      </c>
      <c r="BY110" s="28">
        <f>E110+K110+Q110+W110+AC110+AI110+AO110+AU110+BA110+BG110+BM110+BS110</f>
        <v>2347240</v>
      </c>
      <c r="BZ110" s="28">
        <f>F110+L110+R110+X110+AD110+AJ110+AP110+AV110+BB110+BH110+BN110+BT110</f>
        <v>0</v>
      </c>
      <c r="CA110" s="28">
        <f>G110+M110+S110+Y110+AE110+AK110+AQ110+AW110+BC110+BI110+BO110+BU110</f>
        <v>0</v>
      </c>
      <c r="CB110" s="28">
        <f>BY110+BZ110+CA110</f>
        <v>2347240</v>
      </c>
    </row>
    <row r="111" spans="1:80" s="2" customFormat="1" ht="12.75" x14ac:dyDescent="0.2">
      <c r="A111" s="21"/>
      <c r="B111" s="22" t="s">
        <v>60</v>
      </c>
      <c r="C111" s="23">
        <f t="shared" ref="C111:H111" si="491">+BQ97+C109-C110</f>
        <v>133156536.36999999</v>
      </c>
      <c r="D111" s="23">
        <f t="shared" si="491"/>
        <v>2833993.0575000001</v>
      </c>
      <c r="E111" s="23">
        <f t="shared" si="491"/>
        <v>1259421.0495504234</v>
      </c>
      <c r="F111" s="23">
        <f t="shared" si="491"/>
        <v>669.29364692931995</v>
      </c>
      <c r="G111" s="23">
        <f t="shared" si="491"/>
        <v>-84173.58032865831</v>
      </c>
      <c r="H111" s="23">
        <f t="shared" si="491"/>
        <v>1340117.0935674785</v>
      </c>
      <c r="I111" s="23">
        <f t="shared" ref="I111:AN111" si="492">+C111+I109-I110</f>
        <v>139956536.37</v>
      </c>
      <c r="J111" s="23">
        <f t="shared" si="492"/>
        <v>2827393.0575000001</v>
      </c>
      <c r="K111" s="23">
        <f t="shared" si="492"/>
        <v>1303001.0495504234</v>
      </c>
      <c r="L111" s="23">
        <f t="shared" si="492"/>
        <v>669.29364692931995</v>
      </c>
      <c r="M111" s="23">
        <f t="shared" si="492"/>
        <v>-80773.58032865831</v>
      </c>
      <c r="N111" s="23">
        <f t="shared" si="492"/>
        <v>1387097.0935674785</v>
      </c>
      <c r="O111" s="23">
        <f t="shared" si="492"/>
        <v>146756536.37</v>
      </c>
      <c r="P111" s="23">
        <f t="shared" si="492"/>
        <v>3643393.0575000001</v>
      </c>
      <c r="Q111" s="23">
        <f t="shared" si="492"/>
        <v>2115601.0495504234</v>
      </c>
      <c r="R111" s="23">
        <f t="shared" si="492"/>
        <v>669.29364692931995</v>
      </c>
      <c r="S111" s="23">
        <f t="shared" si="492"/>
        <v>-77373.58032865831</v>
      </c>
      <c r="T111" s="23">
        <f t="shared" si="492"/>
        <v>2203097.0935674785</v>
      </c>
      <c r="U111" s="23">
        <f t="shared" si="492"/>
        <v>153556536.37</v>
      </c>
      <c r="V111" s="23">
        <f t="shared" si="492"/>
        <v>4459393.0575000001</v>
      </c>
      <c r="W111" s="23">
        <f t="shared" si="492"/>
        <v>2928201.0495504234</v>
      </c>
      <c r="X111" s="23">
        <f t="shared" si="492"/>
        <v>669.29364692931995</v>
      </c>
      <c r="Y111" s="23">
        <f t="shared" si="492"/>
        <v>-73973.58032865831</v>
      </c>
      <c r="Z111" s="23">
        <f t="shared" si="492"/>
        <v>3019097.0935674785</v>
      </c>
      <c r="AA111" s="23">
        <f t="shared" si="492"/>
        <v>160356536.37</v>
      </c>
      <c r="AB111" s="23">
        <f t="shared" si="492"/>
        <v>5275393.0575000001</v>
      </c>
      <c r="AC111" s="23">
        <f t="shared" si="492"/>
        <v>3740801.0495504234</v>
      </c>
      <c r="AD111" s="23">
        <f t="shared" si="492"/>
        <v>669.29364692931995</v>
      </c>
      <c r="AE111" s="23">
        <f t="shared" si="492"/>
        <v>-70573.58032865831</v>
      </c>
      <c r="AF111" s="23">
        <f t="shared" si="492"/>
        <v>3835097.0935674785</v>
      </c>
      <c r="AG111" s="23">
        <f t="shared" si="492"/>
        <v>160356536.37</v>
      </c>
      <c r="AH111" s="23">
        <f t="shared" si="492"/>
        <v>4459393.0575000001</v>
      </c>
      <c r="AI111" s="23">
        <f t="shared" si="492"/>
        <v>3740801.0495504234</v>
      </c>
      <c r="AJ111" s="23">
        <f t="shared" si="492"/>
        <v>669.29364692931995</v>
      </c>
      <c r="AK111" s="23">
        <f t="shared" si="492"/>
        <v>-70573.58032865831</v>
      </c>
      <c r="AL111" s="23">
        <f t="shared" si="492"/>
        <v>3835097.0935674785</v>
      </c>
      <c r="AM111" s="23">
        <f t="shared" si="492"/>
        <v>160356536.37</v>
      </c>
      <c r="AN111" s="23">
        <f t="shared" si="492"/>
        <v>4459393.0575000001</v>
      </c>
      <c r="AO111" s="23">
        <f t="shared" ref="AO111:BT111" si="493">+AI111+AO109-AO110</f>
        <v>3740801.0495504234</v>
      </c>
      <c r="AP111" s="23">
        <f t="shared" si="493"/>
        <v>669.29364692931995</v>
      </c>
      <c r="AQ111" s="23">
        <f t="shared" si="493"/>
        <v>-70573.58032865831</v>
      </c>
      <c r="AR111" s="23">
        <f t="shared" si="493"/>
        <v>3835097.0935674785</v>
      </c>
      <c r="AS111" s="23">
        <f t="shared" si="493"/>
        <v>160356536.37</v>
      </c>
      <c r="AT111" s="23">
        <f t="shared" si="493"/>
        <v>4459393.0575000001</v>
      </c>
      <c r="AU111" s="23">
        <f t="shared" si="493"/>
        <v>3740801.0495504234</v>
      </c>
      <c r="AV111" s="23">
        <f t="shared" si="493"/>
        <v>669.29364692931995</v>
      </c>
      <c r="AW111" s="23">
        <f t="shared" si="493"/>
        <v>-70573.58032865831</v>
      </c>
      <c r="AX111" s="23">
        <f t="shared" si="493"/>
        <v>3835097.0935674785</v>
      </c>
      <c r="AY111" s="23">
        <f t="shared" si="493"/>
        <v>160356536.37</v>
      </c>
      <c r="AZ111" s="23">
        <f t="shared" si="493"/>
        <v>4459393.0575000001</v>
      </c>
      <c r="BA111" s="23">
        <f t="shared" si="493"/>
        <v>3740801.0495504234</v>
      </c>
      <c r="BB111" s="23">
        <f t="shared" si="493"/>
        <v>669.29364692931995</v>
      </c>
      <c r="BC111" s="23">
        <f t="shared" si="493"/>
        <v>-70573.58032865831</v>
      </c>
      <c r="BD111" s="23">
        <f t="shared" si="493"/>
        <v>3835097.0935674785</v>
      </c>
      <c r="BE111" s="23">
        <f t="shared" si="493"/>
        <v>160356536.37</v>
      </c>
      <c r="BF111" s="23">
        <f t="shared" si="493"/>
        <v>4459393.0575000001</v>
      </c>
      <c r="BG111" s="23">
        <f t="shared" si="493"/>
        <v>3740801.0495504234</v>
      </c>
      <c r="BH111" s="23">
        <f t="shared" si="493"/>
        <v>669.29364692931995</v>
      </c>
      <c r="BI111" s="23">
        <f t="shared" si="493"/>
        <v>-70573.58032865831</v>
      </c>
      <c r="BJ111" s="23">
        <f t="shared" si="493"/>
        <v>3835097.0935674785</v>
      </c>
      <c r="BK111" s="23">
        <f t="shared" si="493"/>
        <v>160356536.37</v>
      </c>
      <c r="BL111" s="23">
        <f t="shared" si="493"/>
        <v>4459393.0575000001</v>
      </c>
      <c r="BM111" s="23">
        <f t="shared" si="493"/>
        <v>3740801.0495504234</v>
      </c>
      <c r="BN111" s="23">
        <f t="shared" si="493"/>
        <v>669.29364692931995</v>
      </c>
      <c r="BO111" s="23">
        <f t="shared" si="493"/>
        <v>-70573.58032865831</v>
      </c>
      <c r="BP111" s="23">
        <f t="shared" si="493"/>
        <v>3835097.0935674785</v>
      </c>
      <c r="BQ111" s="23">
        <f t="shared" si="493"/>
        <v>160356536.37</v>
      </c>
      <c r="BR111" s="23">
        <f t="shared" si="493"/>
        <v>4459393.0575000001</v>
      </c>
      <c r="BS111" s="23">
        <f t="shared" si="493"/>
        <v>3740801.0495504234</v>
      </c>
      <c r="BT111" s="23">
        <f t="shared" si="493"/>
        <v>669.29364692931995</v>
      </c>
      <c r="BU111" s="23">
        <f t="shared" ref="BU111:BV111" si="494">+BO111+BU109-BU110</f>
        <v>-70573.58032865831</v>
      </c>
      <c r="BV111" s="23">
        <f t="shared" si="494"/>
        <v>3835097.0935674785</v>
      </c>
      <c r="BW111" s="23">
        <f t="shared" ref="BW111:CB111" si="495">+BW97+BW109-BW110</f>
        <v>160356536.37</v>
      </c>
      <c r="BX111" s="23">
        <f t="shared" si="495"/>
        <v>4459393.0574999992</v>
      </c>
      <c r="BY111" s="23">
        <f t="shared" si="495"/>
        <v>4191113.0495040659</v>
      </c>
      <c r="BZ111" s="23">
        <f t="shared" si="495"/>
        <v>669.29364692885429</v>
      </c>
      <c r="CA111" s="23">
        <f t="shared" si="495"/>
        <v>-70573.58032865834</v>
      </c>
      <c r="CB111" s="23">
        <f t="shared" si="495"/>
        <v>3835097.0935674813</v>
      </c>
    </row>
    <row r="115" spans="2:75" x14ac:dyDescent="0.25">
      <c r="B115" s="36"/>
      <c r="BW115" s="34"/>
    </row>
    <row r="116" spans="2:75" x14ac:dyDescent="0.25">
      <c r="B116" s="36"/>
    </row>
    <row r="117" spans="2:75" x14ac:dyDescent="0.25">
      <c r="B117" s="36"/>
    </row>
    <row r="118" spans="2:75" x14ac:dyDescent="0.25">
      <c r="B118" s="36"/>
    </row>
    <row r="119" spans="2:75" x14ac:dyDescent="0.25">
      <c r="B119" s="36"/>
    </row>
    <row r="120" spans="2:75" x14ac:dyDescent="0.25">
      <c r="B120" s="36"/>
    </row>
    <row r="121" spans="2:75" x14ac:dyDescent="0.25">
      <c r="B121" s="36"/>
    </row>
    <row r="122" spans="2:75" x14ac:dyDescent="0.25">
      <c r="B122" s="36"/>
    </row>
    <row r="123" spans="2:75" x14ac:dyDescent="0.25">
      <c r="B123" s="36"/>
    </row>
    <row r="124" spans="2:75" x14ac:dyDescent="0.25">
      <c r="B124" s="36"/>
    </row>
    <row r="125" spans="2:75" x14ac:dyDescent="0.25">
      <c r="B125" s="36"/>
    </row>
  </sheetData>
  <mergeCells count="42">
    <mergeCell ref="A1:CB1"/>
    <mergeCell ref="AM2:AR2"/>
    <mergeCell ref="AS2:AX2"/>
    <mergeCell ref="AY2:BD2"/>
    <mergeCell ref="BE2:BJ2"/>
    <mergeCell ref="BK2:BP2"/>
    <mergeCell ref="BQ2:BV2"/>
    <mergeCell ref="C2:H2"/>
    <mergeCell ref="I2:N2"/>
    <mergeCell ref="O2:T2"/>
    <mergeCell ref="U2:Z2"/>
    <mergeCell ref="AA2:AF2"/>
    <mergeCell ref="A2:A4"/>
    <mergeCell ref="AS3:AS4"/>
    <mergeCell ref="AY3:AY4"/>
    <mergeCell ref="AA3:AA4"/>
    <mergeCell ref="P3:T3"/>
    <mergeCell ref="V3:Z3"/>
    <mergeCell ref="AB3:AF3"/>
    <mergeCell ref="AH3:AL3"/>
    <mergeCell ref="AN3:AR3"/>
    <mergeCell ref="B2:B4"/>
    <mergeCell ref="I3:I4"/>
    <mergeCell ref="C3:C4"/>
    <mergeCell ref="D3:H3"/>
    <mergeCell ref="J3:N3"/>
    <mergeCell ref="BW2:CB2"/>
    <mergeCell ref="AG2:AL2"/>
    <mergeCell ref="U3:U4"/>
    <mergeCell ref="O3:O4"/>
    <mergeCell ref="BQ3:BQ4"/>
    <mergeCell ref="BW3:BW4"/>
    <mergeCell ref="BE3:BE4"/>
    <mergeCell ref="BK3:BK4"/>
    <mergeCell ref="AM3:AM4"/>
    <mergeCell ref="AZ3:BD3"/>
    <mergeCell ref="BF3:BJ3"/>
    <mergeCell ref="BL3:BP3"/>
    <mergeCell ref="BR3:BV3"/>
    <mergeCell ref="BX3:CB3"/>
    <mergeCell ref="AG3:AG4"/>
    <mergeCell ref="AT3:AX3"/>
  </mergeCells>
  <pageMargins left="0.25" right="0.25" top="0.75" bottom="0.75" header="0.3" footer="0.3"/>
  <pageSetup paperSize="9" fitToWidth="0" fitToHeight="0" orientation="landscape" verticalDpi="0" r:id="rId1"/>
  <rowBreaks count="2" manualBreakCount="2">
    <brk id="43" max="79" man="1"/>
    <brk id="97" max="79" man="1"/>
  </rowBreaks>
  <colBreaks count="1" manualBreakCount="1">
    <brk id="80" max="106" man="1"/>
  </colBreaks>
  <ignoredErrors>
    <ignoredError sqref="BP6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3"/>
  <sheetViews>
    <sheetView view="pageBreakPreview" topLeftCell="AJ4" zoomScaleNormal="100" zoomScaleSheetLayoutView="100" workbookViewId="0">
      <selection activeCell="AU12" sqref="AU12"/>
    </sheetView>
  </sheetViews>
  <sheetFormatPr defaultColWidth="10.7109375" defaultRowHeight="15" x14ac:dyDescent="0.25"/>
  <cols>
    <col min="1" max="1" width="5.28515625" customWidth="1"/>
    <col min="2" max="2" width="34.5703125" customWidth="1"/>
    <col min="3" max="10" width="13" customWidth="1"/>
    <col min="11" max="11" width="17.42578125" style="51" customWidth="1"/>
    <col min="12" max="12" width="7.140625" style="51" customWidth="1"/>
    <col min="13" max="13" width="31.140625" style="51" customWidth="1"/>
    <col min="14" max="21" width="13" customWidth="1"/>
    <col min="22" max="22" width="17.85546875" style="51" customWidth="1"/>
    <col min="23" max="23" width="7" style="51" customWidth="1"/>
    <col min="24" max="24" width="32.42578125" style="51" customWidth="1"/>
    <col min="25" max="32" width="13" customWidth="1"/>
    <col min="33" max="33" width="16.85546875" style="51" customWidth="1"/>
    <col min="34" max="34" width="7.42578125" style="51" customWidth="1"/>
    <col min="35" max="35" width="32.85546875" style="51" customWidth="1"/>
    <col min="36" max="39" width="13" customWidth="1"/>
    <col min="40" max="40" width="14.5703125" customWidth="1"/>
    <col min="41" max="43" width="13" customWidth="1"/>
    <col min="44" max="44" width="14.85546875" style="51" customWidth="1"/>
    <col min="45" max="45" width="6.5703125" style="51" customWidth="1"/>
    <col min="46" max="46" width="32.42578125" style="51" customWidth="1"/>
    <col min="47" max="48" width="13" customWidth="1"/>
    <col min="49" max="49" width="14.5703125" customWidth="1"/>
    <col min="50" max="56" width="13" customWidth="1"/>
    <col min="57" max="62" width="14.28515625" customWidth="1"/>
  </cols>
  <sheetData>
    <row r="1" spans="1:54" ht="21" customHeight="1" x14ac:dyDescent="0.25">
      <c r="A1" s="72" t="s">
        <v>67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</row>
    <row r="2" spans="1:54" ht="15" customHeight="1" x14ac:dyDescent="0.2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</row>
    <row r="3" spans="1:54" s="35" customFormat="1" ht="12" customHeight="1" x14ac:dyDescent="0.25">
      <c r="A3" s="67" t="s">
        <v>14</v>
      </c>
      <c r="B3" s="67" t="s">
        <v>66</v>
      </c>
      <c r="C3" s="67" t="s">
        <v>38</v>
      </c>
      <c r="D3" s="67"/>
      <c r="E3" s="67"/>
      <c r="F3" s="67"/>
      <c r="G3" s="67"/>
      <c r="H3" s="67"/>
      <c r="I3" s="67"/>
      <c r="J3" s="67"/>
      <c r="K3" s="55"/>
      <c r="L3" s="67" t="s">
        <v>14</v>
      </c>
      <c r="M3" s="67" t="s">
        <v>66</v>
      </c>
      <c r="N3" s="67" t="s">
        <v>40</v>
      </c>
      <c r="O3" s="67"/>
      <c r="P3" s="67"/>
      <c r="Q3" s="67"/>
      <c r="R3" s="67"/>
      <c r="S3" s="67"/>
      <c r="T3" s="67"/>
      <c r="U3" s="67"/>
      <c r="V3" s="55"/>
      <c r="W3" s="67" t="s">
        <v>14</v>
      </c>
      <c r="X3" s="67" t="s">
        <v>66</v>
      </c>
      <c r="Y3" s="67" t="s">
        <v>41</v>
      </c>
      <c r="Z3" s="67"/>
      <c r="AA3" s="67"/>
      <c r="AB3" s="67"/>
      <c r="AC3" s="67"/>
      <c r="AD3" s="67"/>
      <c r="AE3" s="67"/>
      <c r="AF3" s="67"/>
      <c r="AG3" s="55"/>
      <c r="AH3" s="67" t="s">
        <v>14</v>
      </c>
      <c r="AI3" s="67" t="s">
        <v>66</v>
      </c>
      <c r="AJ3" s="67" t="s">
        <v>42</v>
      </c>
      <c r="AK3" s="67"/>
      <c r="AL3" s="67"/>
      <c r="AM3" s="67"/>
      <c r="AN3" s="67"/>
      <c r="AO3" s="67"/>
      <c r="AP3" s="67"/>
      <c r="AQ3" s="67"/>
      <c r="AR3" s="55"/>
      <c r="AS3" s="67" t="s">
        <v>14</v>
      </c>
      <c r="AT3" s="67" t="s">
        <v>66</v>
      </c>
      <c r="AU3" s="67" t="s">
        <v>50</v>
      </c>
      <c r="AV3" s="67"/>
      <c r="AW3" s="67"/>
      <c r="AX3" s="67"/>
      <c r="AY3" s="67"/>
      <c r="AZ3" s="67"/>
      <c r="BA3" s="67"/>
      <c r="BB3" s="67"/>
    </row>
    <row r="4" spans="1:54" s="35" customFormat="1" ht="32.25" customHeight="1" x14ac:dyDescent="0.25">
      <c r="A4" s="67"/>
      <c r="B4" s="67"/>
      <c r="C4" s="68" t="s">
        <v>80</v>
      </c>
      <c r="D4" s="68"/>
      <c r="E4" s="69" t="s">
        <v>91</v>
      </c>
      <c r="F4" s="70"/>
      <c r="G4" s="70"/>
      <c r="H4" s="71"/>
      <c r="I4" s="68" t="s">
        <v>82</v>
      </c>
      <c r="J4" s="68"/>
      <c r="K4" s="58"/>
      <c r="L4" s="67"/>
      <c r="M4" s="67"/>
      <c r="N4" s="68" t="s">
        <v>80</v>
      </c>
      <c r="O4" s="68"/>
      <c r="P4" s="69" t="s">
        <v>91</v>
      </c>
      <c r="Q4" s="70"/>
      <c r="R4" s="70"/>
      <c r="S4" s="71"/>
      <c r="T4" s="68" t="s">
        <v>82</v>
      </c>
      <c r="U4" s="68"/>
      <c r="V4" s="58"/>
      <c r="W4" s="67"/>
      <c r="X4" s="67"/>
      <c r="Y4" s="68" t="s">
        <v>80</v>
      </c>
      <c r="Z4" s="68"/>
      <c r="AA4" s="69" t="s">
        <v>91</v>
      </c>
      <c r="AB4" s="70"/>
      <c r="AC4" s="70"/>
      <c r="AD4" s="71"/>
      <c r="AE4" s="68" t="s">
        <v>82</v>
      </c>
      <c r="AF4" s="68"/>
      <c r="AG4" s="58"/>
      <c r="AH4" s="67"/>
      <c r="AI4" s="67"/>
      <c r="AJ4" s="68" t="s">
        <v>80</v>
      </c>
      <c r="AK4" s="68"/>
      <c r="AL4" s="69" t="s">
        <v>81</v>
      </c>
      <c r="AM4" s="70"/>
      <c r="AN4" s="70"/>
      <c r="AO4" s="71"/>
      <c r="AP4" s="68" t="s">
        <v>82</v>
      </c>
      <c r="AQ4" s="68"/>
      <c r="AR4" s="58"/>
      <c r="AS4" s="67"/>
      <c r="AT4" s="67"/>
      <c r="AU4" s="68" t="s">
        <v>80</v>
      </c>
      <c r="AV4" s="68"/>
      <c r="AW4" s="69" t="s">
        <v>91</v>
      </c>
      <c r="AX4" s="70"/>
      <c r="AY4" s="70"/>
      <c r="AZ4" s="71"/>
      <c r="BA4" s="68" t="s">
        <v>82</v>
      </c>
      <c r="BB4" s="68"/>
    </row>
    <row r="5" spans="1:54" s="35" customFormat="1" ht="63.75" x14ac:dyDescent="0.25">
      <c r="A5" s="67"/>
      <c r="B5" s="67"/>
      <c r="C5" s="58" t="s">
        <v>83</v>
      </c>
      <c r="D5" s="58" t="s">
        <v>84</v>
      </c>
      <c r="E5" s="58" t="s">
        <v>85</v>
      </c>
      <c r="F5" s="58" t="s">
        <v>86</v>
      </c>
      <c r="G5" s="58" t="s">
        <v>87</v>
      </c>
      <c r="H5" s="58" t="s">
        <v>88</v>
      </c>
      <c r="I5" s="58" t="s">
        <v>89</v>
      </c>
      <c r="J5" s="58" t="s">
        <v>90</v>
      </c>
      <c r="K5" s="58"/>
      <c r="L5" s="67"/>
      <c r="M5" s="67"/>
      <c r="N5" s="58" t="s">
        <v>83</v>
      </c>
      <c r="O5" s="58" t="s">
        <v>84</v>
      </c>
      <c r="P5" s="58" t="s">
        <v>85</v>
      </c>
      <c r="Q5" s="58" t="s">
        <v>86</v>
      </c>
      <c r="R5" s="58" t="s">
        <v>87</v>
      </c>
      <c r="S5" s="58" t="s">
        <v>88</v>
      </c>
      <c r="T5" s="58" t="s">
        <v>89</v>
      </c>
      <c r="U5" s="58" t="s">
        <v>90</v>
      </c>
      <c r="V5" s="58"/>
      <c r="W5" s="67"/>
      <c r="X5" s="67"/>
      <c r="Y5" s="58" t="s">
        <v>83</v>
      </c>
      <c r="Z5" s="58" t="s">
        <v>84</v>
      </c>
      <c r="AA5" s="58" t="s">
        <v>85</v>
      </c>
      <c r="AB5" s="58" t="s">
        <v>86</v>
      </c>
      <c r="AC5" s="58" t="s">
        <v>87</v>
      </c>
      <c r="AD5" s="58" t="s">
        <v>88</v>
      </c>
      <c r="AE5" s="58" t="s">
        <v>89</v>
      </c>
      <c r="AF5" s="58" t="s">
        <v>90</v>
      </c>
      <c r="AG5" s="58"/>
      <c r="AH5" s="67"/>
      <c r="AI5" s="67"/>
      <c r="AJ5" s="58" t="s">
        <v>83</v>
      </c>
      <c r="AK5" s="58" t="s">
        <v>84</v>
      </c>
      <c r="AL5" s="58" t="s">
        <v>85</v>
      </c>
      <c r="AM5" s="58" t="s">
        <v>86</v>
      </c>
      <c r="AN5" s="58" t="s">
        <v>87</v>
      </c>
      <c r="AO5" s="58" t="s">
        <v>88</v>
      </c>
      <c r="AP5" s="58" t="s">
        <v>89</v>
      </c>
      <c r="AQ5" s="58" t="s">
        <v>90</v>
      </c>
      <c r="AR5" s="58"/>
      <c r="AS5" s="67"/>
      <c r="AT5" s="67"/>
      <c r="AU5" s="58" t="s">
        <v>83</v>
      </c>
      <c r="AV5" s="58" t="s">
        <v>84</v>
      </c>
      <c r="AW5" s="58" t="s">
        <v>85</v>
      </c>
      <c r="AX5" s="58" t="s">
        <v>86</v>
      </c>
      <c r="AY5" s="58" t="s">
        <v>87</v>
      </c>
      <c r="AZ5" s="58" t="s">
        <v>88</v>
      </c>
      <c r="BA5" s="58" t="s">
        <v>89</v>
      </c>
      <c r="BB5" s="58" t="s">
        <v>90</v>
      </c>
    </row>
    <row r="6" spans="1:54" s="35" customFormat="1" x14ac:dyDescent="0.25">
      <c r="A6" s="46">
        <v>1</v>
      </c>
      <c r="B6" s="46">
        <f>A6+1</f>
        <v>2</v>
      </c>
      <c r="C6" s="46">
        <f t="shared" ref="C6:BB6" si="0">B6+1</f>
        <v>3</v>
      </c>
      <c r="D6" s="46">
        <f t="shared" si="0"/>
        <v>4</v>
      </c>
      <c r="E6" s="46">
        <f t="shared" si="0"/>
        <v>5</v>
      </c>
      <c r="F6" s="46">
        <f t="shared" si="0"/>
        <v>6</v>
      </c>
      <c r="G6" s="46">
        <f t="shared" si="0"/>
        <v>7</v>
      </c>
      <c r="H6" s="46">
        <f t="shared" si="0"/>
        <v>8</v>
      </c>
      <c r="I6" s="46">
        <f t="shared" si="0"/>
        <v>9</v>
      </c>
      <c r="J6" s="46">
        <f t="shared" si="0"/>
        <v>10</v>
      </c>
      <c r="K6" s="55"/>
      <c r="L6" s="55">
        <v>1</v>
      </c>
      <c r="M6" s="55">
        <f>L6+1</f>
        <v>2</v>
      </c>
      <c r="N6" s="46">
        <f>J6+1</f>
        <v>11</v>
      </c>
      <c r="O6" s="46">
        <f t="shared" si="0"/>
        <v>12</v>
      </c>
      <c r="P6" s="46">
        <f t="shared" si="0"/>
        <v>13</v>
      </c>
      <c r="Q6" s="46">
        <f t="shared" si="0"/>
        <v>14</v>
      </c>
      <c r="R6" s="46">
        <f t="shared" si="0"/>
        <v>15</v>
      </c>
      <c r="S6" s="46">
        <f t="shared" si="0"/>
        <v>16</v>
      </c>
      <c r="T6" s="46">
        <f t="shared" si="0"/>
        <v>17</v>
      </c>
      <c r="U6" s="46">
        <f t="shared" si="0"/>
        <v>18</v>
      </c>
      <c r="V6" s="55"/>
      <c r="W6" s="55">
        <v>1</v>
      </c>
      <c r="X6" s="55">
        <f>W6+1</f>
        <v>2</v>
      </c>
      <c r="Y6" s="46">
        <f>U6+1</f>
        <v>19</v>
      </c>
      <c r="Z6" s="46">
        <f t="shared" si="0"/>
        <v>20</v>
      </c>
      <c r="AA6" s="46">
        <f t="shared" si="0"/>
        <v>21</v>
      </c>
      <c r="AB6" s="46">
        <f t="shared" si="0"/>
        <v>22</v>
      </c>
      <c r="AC6" s="46">
        <f t="shared" si="0"/>
        <v>23</v>
      </c>
      <c r="AD6" s="46">
        <f t="shared" si="0"/>
        <v>24</v>
      </c>
      <c r="AE6" s="46">
        <f t="shared" si="0"/>
        <v>25</v>
      </c>
      <c r="AF6" s="46">
        <f t="shared" si="0"/>
        <v>26</v>
      </c>
      <c r="AG6" s="55"/>
      <c r="AH6" s="55">
        <v>1</v>
      </c>
      <c r="AI6" s="55">
        <f>AH6+1</f>
        <v>2</v>
      </c>
      <c r="AJ6" s="46">
        <f>AF6+1</f>
        <v>27</v>
      </c>
      <c r="AK6" s="46">
        <f t="shared" si="0"/>
        <v>28</v>
      </c>
      <c r="AL6" s="46">
        <f t="shared" si="0"/>
        <v>29</v>
      </c>
      <c r="AM6" s="46">
        <f t="shared" si="0"/>
        <v>30</v>
      </c>
      <c r="AN6" s="46">
        <f t="shared" si="0"/>
        <v>31</v>
      </c>
      <c r="AO6" s="46">
        <f t="shared" si="0"/>
        <v>32</v>
      </c>
      <c r="AP6" s="46">
        <f t="shared" si="0"/>
        <v>33</v>
      </c>
      <c r="AQ6" s="46">
        <f t="shared" si="0"/>
        <v>34</v>
      </c>
      <c r="AR6" s="55"/>
      <c r="AS6" s="55">
        <v>1</v>
      </c>
      <c r="AT6" s="55">
        <f>AS6+1</f>
        <v>2</v>
      </c>
      <c r="AU6" s="46">
        <f>AQ6+1</f>
        <v>35</v>
      </c>
      <c r="AV6" s="46">
        <f t="shared" si="0"/>
        <v>36</v>
      </c>
      <c r="AW6" s="46">
        <f t="shared" si="0"/>
        <v>37</v>
      </c>
      <c r="AX6" s="46">
        <f t="shared" si="0"/>
        <v>38</v>
      </c>
      <c r="AY6" s="46">
        <f t="shared" si="0"/>
        <v>39</v>
      </c>
      <c r="AZ6" s="46">
        <f t="shared" si="0"/>
        <v>40</v>
      </c>
      <c r="BA6" s="46">
        <f t="shared" si="0"/>
        <v>41</v>
      </c>
      <c r="BB6" s="46">
        <f t="shared" si="0"/>
        <v>42</v>
      </c>
    </row>
    <row r="7" spans="1:54" s="48" customFormat="1" ht="33.75" customHeight="1" x14ac:dyDescent="0.25">
      <c r="A7" s="47">
        <v>1</v>
      </c>
      <c r="B7" s="50" t="s">
        <v>68</v>
      </c>
      <c r="C7" s="42"/>
      <c r="D7" s="42">
        <v>0</v>
      </c>
      <c r="E7" s="42"/>
      <c r="F7" s="42"/>
      <c r="G7" s="42"/>
      <c r="H7" s="42"/>
      <c r="I7" s="42">
        <v>0</v>
      </c>
      <c r="J7" s="42">
        <v>0</v>
      </c>
      <c r="K7" s="53"/>
      <c r="L7" s="56">
        <v>1</v>
      </c>
      <c r="M7" s="57" t="s">
        <v>68</v>
      </c>
      <c r="N7" s="42">
        <v>0</v>
      </c>
      <c r="O7" s="42">
        <v>0</v>
      </c>
      <c r="P7" s="42"/>
      <c r="Q7" s="42"/>
      <c r="R7" s="42"/>
      <c r="S7" s="42"/>
      <c r="T7" s="42">
        <v>0</v>
      </c>
      <c r="U7" s="42">
        <v>0</v>
      </c>
      <c r="V7" s="53"/>
      <c r="W7" s="56">
        <v>1</v>
      </c>
      <c r="X7" s="57" t="s">
        <v>68</v>
      </c>
      <c r="Y7" s="42">
        <v>0</v>
      </c>
      <c r="Z7" s="42">
        <v>0</v>
      </c>
      <c r="AA7" s="42">
        <v>0</v>
      </c>
      <c r="AB7" s="42">
        <v>0</v>
      </c>
      <c r="AC7" s="42">
        <v>0</v>
      </c>
      <c r="AD7" s="42">
        <v>0</v>
      </c>
      <c r="AE7" s="42">
        <v>0</v>
      </c>
      <c r="AF7" s="42">
        <v>0</v>
      </c>
      <c r="AG7" s="53"/>
      <c r="AH7" s="56">
        <v>1</v>
      </c>
      <c r="AI7" s="57" t="s">
        <v>68</v>
      </c>
      <c r="AJ7" s="42">
        <v>0</v>
      </c>
      <c r="AK7" s="42">
        <v>0</v>
      </c>
      <c r="AL7" s="42">
        <v>17824432.030000001</v>
      </c>
      <c r="AM7" s="42">
        <v>11125559.140000001</v>
      </c>
      <c r="AN7" s="42">
        <v>122801.8</v>
      </c>
      <c r="AO7" s="42">
        <v>0</v>
      </c>
      <c r="AP7" s="42">
        <v>6698872.8900000006</v>
      </c>
      <c r="AQ7" s="42">
        <v>122801.8</v>
      </c>
      <c r="AR7" s="53"/>
      <c r="AS7" s="56">
        <v>1</v>
      </c>
      <c r="AT7" s="57" t="s">
        <v>68</v>
      </c>
      <c r="AU7" s="44">
        <v>6698872.8900000006</v>
      </c>
      <c r="AV7" s="44">
        <v>166139.29999999999</v>
      </c>
      <c r="AW7" s="44">
        <v>7011208.0099999998</v>
      </c>
      <c r="AX7" s="43">
        <v>13007062.74</v>
      </c>
      <c r="AY7" s="44">
        <v>1005792.39</v>
      </c>
      <c r="AZ7" s="44">
        <v>69449.039999999994</v>
      </c>
      <c r="BA7" s="49">
        <v>772467.20000000019</v>
      </c>
      <c r="BB7" s="49">
        <v>1102482.6499999999</v>
      </c>
    </row>
    <row r="8" spans="1:54" s="48" customFormat="1" ht="33.75" customHeight="1" x14ac:dyDescent="0.25">
      <c r="A8" s="47">
        <f>+A7+1</f>
        <v>2</v>
      </c>
      <c r="B8" s="50" t="s">
        <v>69</v>
      </c>
      <c r="C8" s="42">
        <v>1611877.36</v>
      </c>
      <c r="D8" s="42">
        <v>89522.92</v>
      </c>
      <c r="E8" s="42">
        <v>39507461.75</v>
      </c>
      <c r="F8" s="42">
        <v>43095436.600000001</v>
      </c>
      <c r="G8" s="42">
        <v>0</v>
      </c>
      <c r="H8" s="42">
        <v>0</v>
      </c>
      <c r="I8" s="42">
        <v>-1886574.5700000003</v>
      </c>
      <c r="J8" s="42">
        <v>89522.92</v>
      </c>
      <c r="K8" s="53"/>
      <c r="L8" s="56">
        <f>+L7+1</f>
        <v>2</v>
      </c>
      <c r="M8" s="57" t="s">
        <v>69</v>
      </c>
      <c r="N8" s="42">
        <v>-1886574.5700000003</v>
      </c>
      <c r="O8" s="42">
        <v>0</v>
      </c>
      <c r="P8" s="42">
        <v>3024267.98</v>
      </c>
      <c r="Q8" s="42">
        <v>1287693.4099999999</v>
      </c>
      <c r="R8" s="42">
        <v>0</v>
      </c>
      <c r="S8" s="42">
        <v>0</v>
      </c>
      <c r="T8" s="42">
        <v>-150000.00000000023</v>
      </c>
      <c r="U8" s="42">
        <v>0</v>
      </c>
      <c r="V8" s="53"/>
      <c r="W8" s="56">
        <f>+W7+1</f>
        <v>2</v>
      </c>
      <c r="X8" s="57" t="s">
        <v>69</v>
      </c>
      <c r="Y8" s="42">
        <v>-150000.00000000023</v>
      </c>
      <c r="Z8" s="42">
        <v>0</v>
      </c>
      <c r="AA8" s="42">
        <v>44225596.020000003</v>
      </c>
      <c r="AB8" s="42">
        <v>14974215</v>
      </c>
      <c r="AC8" s="42">
        <v>177489.13</v>
      </c>
      <c r="AD8" s="42">
        <v>0</v>
      </c>
      <c r="AE8" s="42">
        <v>29078708.830000002</v>
      </c>
      <c r="AF8" s="42">
        <v>200161.32</v>
      </c>
      <c r="AG8" s="53"/>
      <c r="AH8" s="56">
        <f>+AH7+1</f>
        <v>2</v>
      </c>
      <c r="AI8" s="57" t="s">
        <v>69</v>
      </c>
      <c r="AJ8" s="42">
        <v>29078708.830000002</v>
      </c>
      <c r="AK8" s="42">
        <v>200161.32</v>
      </c>
      <c r="AL8" s="42"/>
      <c r="AM8" s="42"/>
      <c r="AN8" s="42"/>
      <c r="AO8" s="42"/>
      <c r="AP8" s="42">
        <v>29078708.830000002</v>
      </c>
      <c r="AQ8" s="42">
        <v>200161.32</v>
      </c>
      <c r="AR8" s="53"/>
      <c r="AS8" s="56">
        <f>+AS7+1</f>
        <v>2</v>
      </c>
      <c r="AT8" s="57" t="s">
        <v>69</v>
      </c>
      <c r="AU8" s="44">
        <v>-14503935.349999998</v>
      </c>
      <c r="AV8" s="44">
        <v>0</v>
      </c>
      <c r="AW8" s="44">
        <v>4707630</v>
      </c>
      <c r="AX8" s="44">
        <v>1739079.32</v>
      </c>
      <c r="AY8" s="44">
        <v>2321115.85</v>
      </c>
      <c r="AZ8" s="44">
        <v>2318989.83</v>
      </c>
      <c r="BA8" s="43">
        <v>1181123.5400000028</v>
      </c>
      <c r="BB8" s="44">
        <v>2126.0200000000186</v>
      </c>
    </row>
    <row r="9" spans="1:54" s="48" customFormat="1" ht="33.75" customHeight="1" x14ac:dyDescent="0.25">
      <c r="A9" s="47">
        <f t="shared" ref="A9:A18" si="1">+A8+1</f>
        <v>3</v>
      </c>
      <c r="B9" s="50" t="s">
        <v>70</v>
      </c>
      <c r="C9" s="42">
        <v>-5185776.4000000004</v>
      </c>
      <c r="D9" s="42">
        <v>0</v>
      </c>
      <c r="E9" s="42">
        <v>35428167.149999999</v>
      </c>
      <c r="F9" s="42">
        <v>35043170</v>
      </c>
      <c r="G9" s="42">
        <v>2235.84</v>
      </c>
      <c r="H9" s="42">
        <v>2235.84</v>
      </c>
      <c r="I9" s="42">
        <v>-4798543.41</v>
      </c>
      <c r="J9" s="42">
        <v>0</v>
      </c>
      <c r="K9" s="53"/>
      <c r="L9" s="56">
        <f t="shared" ref="L9:L18" si="2">+L8+1</f>
        <v>3</v>
      </c>
      <c r="M9" s="57" t="s">
        <v>70</v>
      </c>
      <c r="N9" s="42">
        <v>-4798543.41</v>
      </c>
      <c r="O9" s="42">
        <v>0</v>
      </c>
      <c r="P9" s="42">
        <v>859999.9</v>
      </c>
      <c r="Q9" s="42">
        <v>0</v>
      </c>
      <c r="R9" s="42">
        <v>0</v>
      </c>
      <c r="S9" s="42">
        <v>0</v>
      </c>
      <c r="T9" s="42">
        <v>-3938543.5100000002</v>
      </c>
      <c r="U9" s="42">
        <v>0</v>
      </c>
      <c r="V9" s="53"/>
      <c r="W9" s="56">
        <f t="shared" ref="W9:W18" si="3">+W8+1</f>
        <v>3</v>
      </c>
      <c r="X9" s="57" t="s">
        <v>70</v>
      </c>
      <c r="Y9" s="42">
        <v>-3938543.5100000002</v>
      </c>
      <c r="Z9" s="42">
        <v>0</v>
      </c>
      <c r="AA9" s="42">
        <v>-3723876.97</v>
      </c>
      <c r="AB9" s="42">
        <v>0</v>
      </c>
      <c r="AC9" s="42">
        <v>-2315.96</v>
      </c>
      <c r="AD9" s="42">
        <v>0</v>
      </c>
      <c r="AE9" s="42">
        <v>-7664736.4400000004</v>
      </c>
      <c r="AF9" s="42">
        <v>0</v>
      </c>
      <c r="AG9" s="53"/>
      <c r="AH9" s="56">
        <f t="shared" ref="AH9:AH18" si="4">+AH8+1</f>
        <v>3</v>
      </c>
      <c r="AI9" s="57" t="s">
        <v>70</v>
      </c>
      <c r="AJ9" s="42">
        <v>-7664736.4400000004</v>
      </c>
      <c r="AK9" s="42">
        <v>0</v>
      </c>
      <c r="AL9" s="42">
        <v>16847425</v>
      </c>
      <c r="AM9" s="42">
        <v>10433558.82</v>
      </c>
      <c r="AN9" s="42">
        <v>95790.94</v>
      </c>
      <c r="AO9" s="42">
        <v>95790.94</v>
      </c>
      <c r="AP9" s="42">
        <v>-1155079.3200000017</v>
      </c>
      <c r="AQ9" s="42">
        <v>0</v>
      </c>
      <c r="AR9" s="53"/>
      <c r="AS9" s="56">
        <f t="shared" ref="AS9:AS18" si="5">+AS8+1</f>
        <v>3</v>
      </c>
      <c r="AT9" s="57" t="s">
        <v>70</v>
      </c>
      <c r="AU9" s="44">
        <v>1682222.5399999984</v>
      </c>
      <c r="AV9" s="44">
        <v>56205.04</v>
      </c>
      <c r="AW9" s="44">
        <v>23877599.449999999</v>
      </c>
      <c r="AX9" s="44">
        <v>23107327.469999999</v>
      </c>
      <c r="AY9" s="44">
        <v>3456279.25</v>
      </c>
      <c r="AZ9" s="44">
        <v>1117518.73</v>
      </c>
      <c r="BA9" s="44">
        <v>3570013.2499999995</v>
      </c>
      <c r="BB9" s="44">
        <v>2394965.56</v>
      </c>
    </row>
    <row r="10" spans="1:54" s="48" customFormat="1" ht="33.75" customHeight="1" x14ac:dyDescent="0.25">
      <c r="A10" s="47">
        <f t="shared" si="1"/>
        <v>4</v>
      </c>
      <c r="B10" s="50" t="s">
        <v>71</v>
      </c>
      <c r="C10" s="42">
        <v>97.93</v>
      </c>
      <c r="D10" s="42">
        <v>0</v>
      </c>
      <c r="E10" s="42"/>
      <c r="F10" s="42"/>
      <c r="G10" s="42"/>
      <c r="H10" s="42"/>
      <c r="I10" s="42">
        <v>97.93</v>
      </c>
      <c r="J10" s="42">
        <v>0</v>
      </c>
      <c r="K10" s="53"/>
      <c r="L10" s="56">
        <f t="shared" si="2"/>
        <v>4</v>
      </c>
      <c r="M10" s="57" t="s">
        <v>71</v>
      </c>
      <c r="N10" s="42">
        <v>97.93</v>
      </c>
      <c r="O10" s="42">
        <v>0</v>
      </c>
      <c r="P10" s="42"/>
      <c r="Q10" s="42"/>
      <c r="R10" s="42"/>
      <c r="S10" s="42"/>
      <c r="T10" s="42">
        <v>97.93</v>
      </c>
      <c r="U10" s="42">
        <v>0</v>
      </c>
      <c r="V10" s="53"/>
      <c r="W10" s="56">
        <f t="shared" si="3"/>
        <v>4</v>
      </c>
      <c r="X10" s="57" t="s">
        <v>71</v>
      </c>
      <c r="Y10" s="42">
        <v>97.93</v>
      </c>
      <c r="Z10" s="42">
        <v>0</v>
      </c>
      <c r="AA10" s="42">
        <v>0</v>
      </c>
      <c r="AB10" s="42">
        <v>0</v>
      </c>
      <c r="AC10" s="42">
        <v>0</v>
      </c>
      <c r="AD10" s="42">
        <v>0</v>
      </c>
      <c r="AE10" s="42">
        <v>97.93</v>
      </c>
      <c r="AF10" s="42">
        <v>0</v>
      </c>
      <c r="AG10" s="53"/>
      <c r="AH10" s="56">
        <f t="shared" si="4"/>
        <v>4</v>
      </c>
      <c r="AI10" s="57" t="s">
        <v>71</v>
      </c>
      <c r="AJ10" s="42">
        <v>97.93</v>
      </c>
      <c r="AK10" s="42">
        <v>0</v>
      </c>
      <c r="AL10" s="42">
        <v>3304000.08</v>
      </c>
      <c r="AM10" s="42">
        <v>2753431.33</v>
      </c>
      <c r="AN10" s="42">
        <v>7694.26</v>
      </c>
      <c r="AO10" s="42">
        <v>97.93</v>
      </c>
      <c r="AP10" s="42">
        <v>550666.68000000017</v>
      </c>
      <c r="AQ10" s="42">
        <v>7596.33</v>
      </c>
      <c r="AR10" s="53"/>
      <c r="AS10" s="56">
        <f t="shared" si="5"/>
        <v>4</v>
      </c>
      <c r="AT10" s="57" t="s">
        <v>71</v>
      </c>
      <c r="AU10" s="44">
        <v>550666.68000000017</v>
      </c>
      <c r="AV10" s="44">
        <v>3684.65</v>
      </c>
      <c r="AW10" s="44">
        <v>1569400</v>
      </c>
      <c r="AX10" s="44">
        <v>773495.15</v>
      </c>
      <c r="AY10" s="44">
        <v>44109.440000000002</v>
      </c>
      <c r="AZ10" s="44">
        <v>10881.87</v>
      </c>
      <c r="BA10" s="44">
        <v>1357453.4000000004</v>
      </c>
      <c r="BB10" s="43">
        <v>24348.89</v>
      </c>
    </row>
    <row r="11" spans="1:54" s="48" customFormat="1" ht="33.75" customHeight="1" x14ac:dyDescent="0.25">
      <c r="A11" s="47">
        <f t="shared" si="1"/>
        <v>5</v>
      </c>
      <c r="B11" s="50" t="s">
        <v>72</v>
      </c>
      <c r="C11" s="42">
        <v>-8724.81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42">
        <v>-8724.81</v>
      </c>
      <c r="J11" s="42">
        <v>0</v>
      </c>
      <c r="K11" s="53"/>
      <c r="L11" s="56">
        <f t="shared" si="2"/>
        <v>5</v>
      </c>
      <c r="M11" s="57" t="s">
        <v>72</v>
      </c>
      <c r="N11" s="42">
        <v>-8724.81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-8724.81</v>
      </c>
      <c r="U11" s="42">
        <v>0</v>
      </c>
      <c r="V11" s="53"/>
      <c r="W11" s="56">
        <f t="shared" si="3"/>
        <v>5</v>
      </c>
      <c r="X11" s="57" t="s">
        <v>72</v>
      </c>
      <c r="Y11" s="42">
        <v>-8724.81</v>
      </c>
      <c r="Z11" s="42">
        <v>0</v>
      </c>
      <c r="AA11" s="42">
        <v>2312929.08</v>
      </c>
      <c r="AB11" s="42">
        <v>2111460.1800000002</v>
      </c>
      <c r="AC11" s="42">
        <v>1398.11</v>
      </c>
      <c r="AD11" s="42">
        <v>0</v>
      </c>
      <c r="AE11" s="42">
        <v>192744.08999999985</v>
      </c>
      <c r="AF11" s="42">
        <v>1398.11</v>
      </c>
      <c r="AG11" s="53"/>
      <c r="AH11" s="56">
        <f t="shared" si="4"/>
        <v>5</v>
      </c>
      <c r="AI11" s="57" t="s">
        <v>72</v>
      </c>
      <c r="AJ11" s="42">
        <v>192744.08999999985</v>
      </c>
      <c r="AK11" s="42">
        <v>1398.11</v>
      </c>
      <c r="AL11" s="42"/>
      <c r="AM11" s="42"/>
      <c r="AN11" s="42"/>
      <c r="AO11" s="42"/>
      <c r="AP11" s="42">
        <v>192744.08999999985</v>
      </c>
      <c r="AQ11" s="42">
        <v>1398.11</v>
      </c>
      <c r="AR11" s="53"/>
      <c r="AS11" s="56">
        <f t="shared" si="5"/>
        <v>5</v>
      </c>
      <c r="AT11" s="57" t="s">
        <v>72</v>
      </c>
      <c r="AU11" s="44">
        <v>0</v>
      </c>
      <c r="AV11" s="44">
        <v>325.74</v>
      </c>
      <c r="AW11" s="44">
        <v>1822560</v>
      </c>
      <c r="AX11" s="44">
        <v>1223481.3799999999</v>
      </c>
      <c r="AY11" s="44">
        <v>24831.759999999998</v>
      </c>
      <c r="AZ11" s="44">
        <v>7122.77</v>
      </c>
      <c r="BA11" s="44">
        <v>606201.39000000013</v>
      </c>
      <c r="BB11" s="43">
        <v>15767.36</v>
      </c>
    </row>
    <row r="12" spans="1:54" s="48" customFormat="1" ht="33.75" customHeight="1" x14ac:dyDescent="0.25">
      <c r="A12" s="47">
        <f t="shared" si="1"/>
        <v>6</v>
      </c>
      <c r="B12" s="50" t="s">
        <v>73</v>
      </c>
      <c r="C12" s="42">
        <v>-461438</v>
      </c>
      <c r="D12" s="42">
        <v>0</v>
      </c>
      <c r="E12" s="42">
        <v>9318240</v>
      </c>
      <c r="F12" s="42">
        <v>9056250</v>
      </c>
      <c r="G12" s="42">
        <v>18.02</v>
      </c>
      <c r="H12" s="42">
        <v>18.02</v>
      </c>
      <c r="I12" s="42">
        <v>-199429.98</v>
      </c>
      <c r="J12" s="42">
        <v>0</v>
      </c>
      <c r="K12" s="53"/>
      <c r="L12" s="56">
        <f t="shared" si="2"/>
        <v>6</v>
      </c>
      <c r="M12" s="57" t="s">
        <v>73</v>
      </c>
      <c r="N12" s="42">
        <v>-199429.98</v>
      </c>
      <c r="O12" s="42">
        <v>0</v>
      </c>
      <c r="P12" s="42">
        <v>6616350</v>
      </c>
      <c r="Q12" s="42">
        <v>7271600</v>
      </c>
      <c r="R12" s="42">
        <v>0</v>
      </c>
      <c r="S12" s="42">
        <v>0</v>
      </c>
      <c r="T12" s="42">
        <v>-854679.98000000045</v>
      </c>
      <c r="U12" s="42">
        <v>0</v>
      </c>
      <c r="V12" s="53"/>
      <c r="W12" s="56">
        <f t="shared" si="3"/>
        <v>6</v>
      </c>
      <c r="X12" s="57" t="s">
        <v>73</v>
      </c>
      <c r="Y12" s="42">
        <v>-854679.98000000045</v>
      </c>
      <c r="Z12" s="42">
        <v>0</v>
      </c>
      <c r="AA12" s="42">
        <v>2883000</v>
      </c>
      <c r="AB12" s="42">
        <v>3054654</v>
      </c>
      <c r="AC12" s="42">
        <v>36110.82</v>
      </c>
      <c r="AD12" s="42">
        <v>36165.32</v>
      </c>
      <c r="AE12" s="42">
        <v>-990223.1600000005</v>
      </c>
      <c r="AF12" s="42">
        <v>0</v>
      </c>
      <c r="AG12" s="53"/>
      <c r="AH12" s="56">
        <f t="shared" si="4"/>
        <v>6</v>
      </c>
      <c r="AI12" s="57" t="s">
        <v>73</v>
      </c>
      <c r="AJ12" s="42">
        <v>-990223.1600000005</v>
      </c>
      <c r="AK12" s="42">
        <v>0</v>
      </c>
      <c r="AL12" s="42">
        <v>4956900</v>
      </c>
      <c r="AM12" s="42">
        <v>1619592.5</v>
      </c>
      <c r="AN12" s="42">
        <v>19619.419999999998</v>
      </c>
      <c r="AO12" s="42">
        <v>0</v>
      </c>
      <c r="AP12" s="44">
        <v>2347084.3399999994</v>
      </c>
      <c r="AQ12" s="42">
        <v>19619.419999999998</v>
      </c>
      <c r="AR12" s="53"/>
      <c r="AS12" s="56">
        <f t="shared" si="5"/>
        <v>6</v>
      </c>
      <c r="AT12" s="57" t="s">
        <v>73</v>
      </c>
      <c r="AU12" s="44">
        <v>2612884.3299999991</v>
      </c>
      <c r="AV12" s="44">
        <v>17539.899999999998</v>
      </c>
      <c r="AW12" s="44">
        <v>7231828</v>
      </c>
      <c r="AX12" s="44">
        <v>4276996.6500000004</v>
      </c>
      <c r="AY12" s="44">
        <v>648737.71</v>
      </c>
      <c r="AZ12" s="44">
        <v>54224.7</v>
      </c>
      <c r="BA12" s="44">
        <v>5621940.379999998</v>
      </c>
      <c r="BB12" s="44">
        <v>612052.91</v>
      </c>
    </row>
    <row r="13" spans="1:54" s="48" customFormat="1" ht="33.75" customHeight="1" x14ac:dyDescent="0.25">
      <c r="A13" s="47">
        <f t="shared" si="1"/>
        <v>7</v>
      </c>
      <c r="B13" s="50" t="s">
        <v>74</v>
      </c>
      <c r="C13" s="42">
        <v>-56471</v>
      </c>
      <c r="D13" s="42">
        <v>0</v>
      </c>
      <c r="E13" s="42">
        <v>3908242</v>
      </c>
      <c r="F13" s="42">
        <v>4514475</v>
      </c>
      <c r="G13" s="42">
        <v>45</v>
      </c>
      <c r="H13" s="42">
        <v>45</v>
      </c>
      <c r="I13" s="42">
        <v>-662659</v>
      </c>
      <c r="J13" s="42">
        <v>0</v>
      </c>
      <c r="K13" s="53"/>
      <c r="L13" s="56">
        <f t="shared" si="2"/>
        <v>7</v>
      </c>
      <c r="M13" s="57" t="s">
        <v>74</v>
      </c>
      <c r="N13" s="42">
        <v>-662659</v>
      </c>
      <c r="O13" s="42">
        <v>0</v>
      </c>
      <c r="P13" s="42">
        <v>3516570</v>
      </c>
      <c r="Q13" s="42">
        <v>3851800</v>
      </c>
      <c r="R13" s="42">
        <v>0</v>
      </c>
      <c r="S13" s="42">
        <v>0</v>
      </c>
      <c r="T13" s="42">
        <v>-997889</v>
      </c>
      <c r="U13" s="42">
        <v>0</v>
      </c>
      <c r="V13" s="53"/>
      <c r="W13" s="56">
        <f t="shared" si="3"/>
        <v>7</v>
      </c>
      <c r="X13" s="57" t="s">
        <v>74</v>
      </c>
      <c r="Y13" s="42">
        <v>-997889</v>
      </c>
      <c r="Z13" s="42">
        <v>0</v>
      </c>
      <c r="AA13" s="42">
        <v>1537600</v>
      </c>
      <c r="AB13" s="42">
        <v>2362076</v>
      </c>
      <c r="AC13" s="42">
        <v>53018</v>
      </c>
      <c r="AD13" s="42">
        <v>53018</v>
      </c>
      <c r="AE13" s="42">
        <v>-1769347</v>
      </c>
      <c r="AF13" s="42">
        <v>0</v>
      </c>
      <c r="AG13" s="53"/>
      <c r="AH13" s="56">
        <f t="shared" si="4"/>
        <v>7</v>
      </c>
      <c r="AI13" s="57" t="s">
        <v>74</v>
      </c>
      <c r="AJ13" s="42">
        <v>-1769347</v>
      </c>
      <c r="AK13" s="42">
        <v>0</v>
      </c>
      <c r="AL13" s="42">
        <v>70880</v>
      </c>
      <c r="AM13" s="42">
        <v>-1698467</v>
      </c>
      <c r="AN13" s="42">
        <v>0</v>
      </c>
      <c r="AO13" s="42">
        <v>0</v>
      </c>
      <c r="AP13" s="42">
        <v>0</v>
      </c>
      <c r="AQ13" s="42">
        <v>0</v>
      </c>
      <c r="AR13" s="53"/>
      <c r="AS13" s="56">
        <f t="shared" si="5"/>
        <v>7</v>
      </c>
      <c r="AT13" s="57" t="s">
        <v>74</v>
      </c>
      <c r="AU13" s="44">
        <v>0</v>
      </c>
      <c r="AV13" s="44">
        <v>7174.29</v>
      </c>
      <c r="AW13" s="44">
        <v>1507321.6</v>
      </c>
      <c r="AX13" s="44">
        <v>1507321.6</v>
      </c>
      <c r="AY13" s="44">
        <v>92240.63</v>
      </c>
      <c r="AZ13" s="44">
        <v>0</v>
      </c>
      <c r="BA13" s="44">
        <v>0</v>
      </c>
      <c r="BB13" s="44">
        <v>99414.92</v>
      </c>
    </row>
    <row r="14" spans="1:54" s="48" customFormat="1" ht="33.75" customHeight="1" x14ac:dyDescent="0.25">
      <c r="A14" s="47">
        <f t="shared" si="1"/>
        <v>8</v>
      </c>
      <c r="B14" s="50" t="s">
        <v>75</v>
      </c>
      <c r="C14" s="42">
        <v>-2292635.23</v>
      </c>
      <c r="D14" s="42">
        <v>0</v>
      </c>
      <c r="E14" s="42">
        <v>6456242.29</v>
      </c>
      <c r="F14" s="42">
        <v>4497160</v>
      </c>
      <c r="G14" s="42">
        <v>4119</v>
      </c>
      <c r="H14" s="42">
        <v>4119</v>
      </c>
      <c r="I14" s="42">
        <v>-329433.93999999994</v>
      </c>
      <c r="J14" s="42">
        <v>0</v>
      </c>
      <c r="K14" s="53"/>
      <c r="L14" s="56">
        <f t="shared" si="2"/>
        <v>8</v>
      </c>
      <c r="M14" s="57" t="s">
        <v>75</v>
      </c>
      <c r="N14" s="42">
        <v>-329433.93999999994</v>
      </c>
      <c r="O14" s="42">
        <v>0</v>
      </c>
      <c r="P14" s="42">
        <v>1049062.3999999999</v>
      </c>
      <c r="Q14" s="42">
        <v>3678000</v>
      </c>
      <c r="R14" s="42">
        <v>0</v>
      </c>
      <c r="S14" s="42">
        <v>0</v>
      </c>
      <c r="T14" s="42">
        <v>-2958371.54</v>
      </c>
      <c r="U14" s="42">
        <v>0</v>
      </c>
      <c r="V14" s="53"/>
      <c r="W14" s="56">
        <f t="shared" si="3"/>
        <v>8</v>
      </c>
      <c r="X14" s="57" t="s">
        <v>75</v>
      </c>
      <c r="Y14" s="42">
        <v>-2958371.54</v>
      </c>
      <c r="Z14" s="42">
        <v>0</v>
      </c>
      <c r="AA14" s="42">
        <v>2980443.32</v>
      </c>
      <c r="AB14" s="42">
        <v>854911</v>
      </c>
      <c r="AC14" s="42">
        <v>0</v>
      </c>
      <c r="AD14" s="42">
        <v>0</v>
      </c>
      <c r="AE14" s="42">
        <v>-832839.2200000002</v>
      </c>
      <c r="AF14" s="42">
        <v>0</v>
      </c>
      <c r="AG14" s="53"/>
      <c r="AH14" s="56">
        <f t="shared" si="4"/>
        <v>8</v>
      </c>
      <c r="AI14" s="57" t="s">
        <v>75</v>
      </c>
      <c r="AJ14" s="42">
        <v>-832839.2200000002</v>
      </c>
      <c r="AK14" s="42">
        <v>0</v>
      </c>
      <c r="AL14" s="42">
        <v>7436421</v>
      </c>
      <c r="AM14" s="42">
        <v>4055886.48</v>
      </c>
      <c r="AN14" s="42">
        <v>66605.62</v>
      </c>
      <c r="AO14" s="42">
        <v>43458.76</v>
      </c>
      <c r="AP14" s="42">
        <v>2591154.0599999991</v>
      </c>
      <c r="AQ14" s="42">
        <v>23146.859999999993</v>
      </c>
      <c r="AR14" s="53"/>
      <c r="AS14" s="56">
        <f t="shared" si="5"/>
        <v>8</v>
      </c>
      <c r="AT14" s="57" t="s">
        <v>75</v>
      </c>
      <c r="AU14" s="44">
        <v>2591154.0599999991</v>
      </c>
      <c r="AV14" s="44">
        <v>23146.859999999993</v>
      </c>
      <c r="AW14" s="44">
        <v>5852420</v>
      </c>
      <c r="AX14" s="44">
        <v>7817867.9699999997</v>
      </c>
      <c r="AY14" s="44">
        <v>135039.85999999999</v>
      </c>
      <c r="AZ14" s="44">
        <v>158186.72</v>
      </c>
      <c r="BA14" s="44">
        <v>783892.80999999889</v>
      </c>
      <c r="BB14" s="44">
        <v>0</v>
      </c>
    </row>
    <row r="15" spans="1:54" s="48" customFormat="1" ht="33.75" customHeight="1" x14ac:dyDescent="0.25">
      <c r="A15" s="47">
        <f t="shared" si="1"/>
        <v>9</v>
      </c>
      <c r="B15" s="50" t="s">
        <v>76</v>
      </c>
      <c r="C15" s="42">
        <v>-191975.27</v>
      </c>
      <c r="D15" s="42">
        <v>0</v>
      </c>
      <c r="E15" s="42">
        <v>437492.74</v>
      </c>
      <c r="F15" s="42">
        <v>452667.63</v>
      </c>
      <c r="G15" s="42"/>
      <c r="H15" s="42"/>
      <c r="I15" s="42">
        <v>-207150.16</v>
      </c>
      <c r="J15" s="42">
        <v>0</v>
      </c>
      <c r="K15" s="53"/>
      <c r="L15" s="56">
        <f t="shared" si="2"/>
        <v>9</v>
      </c>
      <c r="M15" s="57" t="s">
        <v>76</v>
      </c>
      <c r="N15" s="42">
        <v>-207150.16</v>
      </c>
      <c r="O15" s="42">
        <v>0</v>
      </c>
      <c r="P15" s="42">
        <v>79103.19</v>
      </c>
      <c r="Q15" s="42">
        <v>0</v>
      </c>
      <c r="R15" s="42">
        <v>0</v>
      </c>
      <c r="S15" s="42">
        <v>0</v>
      </c>
      <c r="T15" s="42">
        <v>-128046.97</v>
      </c>
      <c r="U15" s="42">
        <v>0</v>
      </c>
      <c r="V15" s="53"/>
      <c r="W15" s="56">
        <f t="shared" si="3"/>
        <v>9</v>
      </c>
      <c r="X15" s="57" t="s">
        <v>76</v>
      </c>
      <c r="Y15" s="42">
        <v>-128046.97</v>
      </c>
      <c r="Z15" s="42">
        <v>0</v>
      </c>
      <c r="AA15" s="42">
        <v>360222.25</v>
      </c>
      <c r="AB15" s="42">
        <v>842850</v>
      </c>
      <c r="AC15" s="42">
        <v>0</v>
      </c>
      <c r="AD15" s="42">
        <v>0</v>
      </c>
      <c r="AE15" s="42">
        <v>-610674.72</v>
      </c>
      <c r="AF15" s="42">
        <v>0</v>
      </c>
      <c r="AG15" s="53"/>
      <c r="AH15" s="56">
        <f t="shared" si="4"/>
        <v>9</v>
      </c>
      <c r="AI15" s="57" t="s">
        <v>76</v>
      </c>
      <c r="AJ15" s="42">
        <v>-610674.72</v>
      </c>
      <c r="AK15" s="42">
        <v>0</v>
      </c>
      <c r="AL15" s="42"/>
      <c r="AM15" s="42"/>
      <c r="AN15" s="42"/>
      <c r="AO15" s="42"/>
      <c r="AP15" s="42">
        <v>-610674.72</v>
      </c>
      <c r="AQ15" s="42">
        <v>0</v>
      </c>
      <c r="AR15" s="53"/>
      <c r="AS15" s="56">
        <f t="shared" si="5"/>
        <v>9</v>
      </c>
      <c r="AT15" s="57" t="s">
        <v>76</v>
      </c>
      <c r="AU15" s="44">
        <v>-574674.72</v>
      </c>
      <c r="AV15" s="44">
        <v>0</v>
      </c>
      <c r="AW15" s="44">
        <v>49180</v>
      </c>
      <c r="AX15" s="44">
        <v>6800</v>
      </c>
      <c r="AY15" s="44">
        <v>0</v>
      </c>
      <c r="AZ15" s="44">
        <v>0</v>
      </c>
      <c r="BA15" s="44">
        <v>-532294.72</v>
      </c>
      <c r="BB15" s="44">
        <v>0</v>
      </c>
    </row>
    <row r="16" spans="1:54" s="48" customFormat="1" ht="33.75" customHeight="1" x14ac:dyDescent="0.25">
      <c r="A16" s="47">
        <f t="shared" si="1"/>
        <v>10</v>
      </c>
      <c r="B16" s="50" t="s">
        <v>77</v>
      </c>
      <c r="C16" s="42">
        <v>0</v>
      </c>
      <c r="D16" s="42">
        <v>-55.98</v>
      </c>
      <c r="E16" s="42"/>
      <c r="F16" s="42"/>
      <c r="G16" s="42">
        <v>713.09</v>
      </c>
      <c r="H16" s="42">
        <v>199.48</v>
      </c>
      <c r="I16" s="42">
        <v>0</v>
      </c>
      <c r="J16" s="42">
        <v>457.63</v>
      </c>
      <c r="K16" s="53"/>
      <c r="L16" s="56">
        <f t="shared" si="2"/>
        <v>10</v>
      </c>
      <c r="M16" s="57" t="s">
        <v>77</v>
      </c>
      <c r="N16" s="42">
        <v>0</v>
      </c>
      <c r="O16" s="42">
        <v>457.63</v>
      </c>
      <c r="P16" s="42"/>
      <c r="Q16" s="42">
        <v>600</v>
      </c>
      <c r="R16" s="42">
        <v>458</v>
      </c>
      <c r="S16" s="42"/>
      <c r="T16" s="42">
        <v>-142.37</v>
      </c>
      <c r="U16" s="42">
        <v>915.63</v>
      </c>
      <c r="V16" s="53"/>
      <c r="W16" s="56">
        <f t="shared" si="3"/>
        <v>10</v>
      </c>
      <c r="X16" s="57" t="s">
        <v>77</v>
      </c>
      <c r="Y16" s="42">
        <v>-142.37</v>
      </c>
      <c r="Z16" s="42">
        <v>915.63</v>
      </c>
      <c r="AA16" s="42">
        <v>0</v>
      </c>
      <c r="AB16" s="42">
        <v>0</v>
      </c>
      <c r="AC16" s="42">
        <v>127884.07</v>
      </c>
      <c r="AD16" s="42">
        <v>1132.94</v>
      </c>
      <c r="AE16" s="42">
        <v>126608.76000000001</v>
      </c>
      <c r="AF16" s="42">
        <v>0</v>
      </c>
      <c r="AG16" s="53"/>
      <c r="AH16" s="56">
        <f t="shared" si="4"/>
        <v>10</v>
      </c>
      <c r="AI16" s="57" t="s">
        <v>77</v>
      </c>
      <c r="AJ16" s="42">
        <v>126608.76000000001</v>
      </c>
      <c r="AK16" s="42">
        <v>0</v>
      </c>
      <c r="AL16" s="42"/>
      <c r="AM16" s="42"/>
      <c r="AN16" s="42"/>
      <c r="AO16" s="42"/>
      <c r="AP16" s="42">
        <v>126608.76000000001</v>
      </c>
      <c r="AQ16" s="42">
        <v>0</v>
      </c>
      <c r="AR16" s="53"/>
      <c r="AS16" s="56">
        <f t="shared" si="5"/>
        <v>10</v>
      </c>
      <c r="AT16" s="57" t="s">
        <v>77</v>
      </c>
      <c r="AU16" s="44">
        <v>78266.520000000019</v>
      </c>
      <c r="AV16" s="44">
        <v>0</v>
      </c>
      <c r="AW16" s="44"/>
      <c r="AX16" s="44"/>
      <c r="AY16" s="44">
        <v>5943693.5199999996</v>
      </c>
      <c r="AZ16" s="44">
        <v>2722281.26</v>
      </c>
      <c r="BA16" s="44">
        <v>0</v>
      </c>
      <c r="BB16" s="44">
        <v>3299678.78</v>
      </c>
    </row>
    <row r="17" spans="1:54" s="48" customFormat="1" ht="33.75" customHeight="1" x14ac:dyDescent="0.25">
      <c r="A17" s="47">
        <f t="shared" si="1"/>
        <v>11</v>
      </c>
      <c r="B17" s="50" t="s">
        <v>78</v>
      </c>
      <c r="C17" s="42"/>
      <c r="D17" s="42"/>
      <c r="E17" s="42"/>
      <c r="F17" s="42"/>
      <c r="G17" s="42"/>
      <c r="H17" s="42"/>
      <c r="I17" s="42"/>
      <c r="J17" s="42"/>
      <c r="K17" s="53"/>
      <c r="L17" s="56">
        <f t="shared" si="2"/>
        <v>11</v>
      </c>
      <c r="M17" s="57" t="s">
        <v>78</v>
      </c>
      <c r="N17" s="42"/>
      <c r="O17" s="42"/>
      <c r="P17" s="42"/>
      <c r="Q17" s="42"/>
      <c r="R17" s="42"/>
      <c r="S17" s="42"/>
      <c r="T17" s="42"/>
      <c r="U17" s="42"/>
      <c r="V17" s="53"/>
      <c r="W17" s="56">
        <f t="shared" si="3"/>
        <v>11</v>
      </c>
      <c r="X17" s="57" t="s">
        <v>78</v>
      </c>
      <c r="Y17" s="42"/>
      <c r="Z17" s="42"/>
      <c r="AA17" s="42"/>
      <c r="AB17" s="42"/>
      <c r="AC17" s="42"/>
      <c r="AD17" s="42"/>
      <c r="AE17" s="42"/>
      <c r="AF17" s="42"/>
      <c r="AG17" s="53"/>
      <c r="AH17" s="56">
        <f t="shared" si="4"/>
        <v>11</v>
      </c>
      <c r="AI17" s="57" t="s">
        <v>78</v>
      </c>
      <c r="AJ17" s="42"/>
      <c r="AK17" s="42"/>
      <c r="AL17" s="42"/>
      <c r="AM17" s="42"/>
      <c r="AN17" s="42"/>
      <c r="AO17" s="42"/>
      <c r="AP17" s="42"/>
      <c r="AQ17" s="42"/>
      <c r="AR17" s="53"/>
      <c r="AS17" s="56">
        <f t="shared" si="5"/>
        <v>11</v>
      </c>
      <c r="AT17" s="57" t="s">
        <v>78</v>
      </c>
      <c r="AU17" s="44">
        <v>135000</v>
      </c>
      <c r="AV17" s="44">
        <v>323.26</v>
      </c>
      <c r="AW17" s="44">
        <v>307500</v>
      </c>
      <c r="AX17" s="44">
        <v>446000</v>
      </c>
      <c r="AY17" s="44">
        <v>3359.19</v>
      </c>
      <c r="AZ17" s="44">
        <v>3500</v>
      </c>
      <c r="BA17" s="44">
        <v>0</v>
      </c>
      <c r="BB17" s="44">
        <v>182.44999999999982</v>
      </c>
    </row>
    <row r="18" spans="1:54" s="48" customFormat="1" ht="33.75" customHeight="1" x14ac:dyDescent="0.25">
      <c r="A18" s="47">
        <f t="shared" si="1"/>
        <v>12</v>
      </c>
      <c r="B18" s="50" t="s">
        <v>79</v>
      </c>
      <c r="C18" s="42">
        <v>0</v>
      </c>
      <c r="D18" s="42">
        <v>0</v>
      </c>
      <c r="E18" s="42"/>
      <c r="F18" s="42"/>
      <c r="G18" s="42">
        <v>2816</v>
      </c>
      <c r="H18" s="42">
        <v>2868.11</v>
      </c>
      <c r="I18" s="42"/>
      <c r="J18" s="42">
        <v>-52.110000000000127</v>
      </c>
      <c r="K18" s="53"/>
      <c r="L18" s="56">
        <f t="shared" si="2"/>
        <v>12</v>
      </c>
      <c r="M18" s="57" t="s">
        <v>79</v>
      </c>
      <c r="N18" s="42">
        <v>0</v>
      </c>
      <c r="O18" s="42">
        <v>-52.110000000000127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-52.110000000000127</v>
      </c>
      <c r="V18" s="53"/>
      <c r="W18" s="56">
        <f t="shared" si="3"/>
        <v>12</v>
      </c>
      <c r="X18" s="57" t="s">
        <v>79</v>
      </c>
      <c r="Y18" s="42">
        <v>0</v>
      </c>
      <c r="Z18" s="42">
        <v>-52.110000000000127</v>
      </c>
      <c r="AA18" s="42">
        <v>0</v>
      </c>
      <c r="AB18" s="42">
        <v>0</v>
      </c>
      <c r="AC18" s="42">
        <v>0</v>
      </c>
      <c r="AD18" s="42">
        <v>0</v>
      </c>
      <c r="AE18" s="42">
        <v>-52.110000000000127</v>
      </c>
      <c r="AF18" s="42">
        <v>0</v>
      </c>
      <c r="AG18" s="53"/>
      <c r="AH18" s="56">
        <f t="shared" si="4"/>
        <v>12</v>
      </c>
      <c r="AI18" s="57" t="s">
        <v>79</v>
      </c>
      <c r="AJ18" s="42">
        <v>-52.110000000000127</v>
      </c>
      <c r="AK18" s="42">
        <v>0</v>
      </c>
      <c r="AL18" s="42"/>
      <c r="AM18" s="42"/>
      <c r="AN18" s="42"/>
      <c r="AO18" s="42"/>
      <c r="AP18" s="42">
        <v>-52.110000000000127</v>
      </c>
      <c r="AQ18" s="42">
        <v>0</v>
      </c>
      <c r="AR18" s="53"/>
      <c r="AS18" s="56">
        <f t="shared" si="5"/>
        <v>12</v>
      </c>
      <c r="AT18" s="57" t="s">
        <v>79</v>
      </c>
      <c r="AU18" s="43">
        <v>-52.24000000000013</v>
      </c>
      <c r="AV18" s="42">
        <v>0</v>
      </c>
      <c r="AW18" s="42"/>
      <c r="AX18" s="42"/>
      <c r="AY18" s="42"/>
      <c r="AZ18" s="42"/>
      <c r="BA18" s="44">
        <v>-52.24000000000013</v>
      </c>
      <c r="BB18" s="44">
        <v>0</v>
      </c>
    </row>
    <row r="19" spans="1:54" s="35" customFormat="1" x14ac:dyDescent="0.25">
      <c r="A19" s="46"/>
      <c r="B19" s="46" t="s">
        <v>12</v>
      </c>
      <c r="C19" s="45">
        <v>-6585045.4199999999</v>
      </c>
      <c r="D19" s="45">
        <v>89522.92</v>
      </c>
      <c r="E19" s="45">
        <v>95055845.930000007</v>
      </c>
      <c r="F19" s="45">
        <v>96659159.229999989</v>
      </c>
      <c r="G19" s="45">
        <v>9946.9500000000007</v>
      </c>
      <c r="H19" s="45">
        <v>6417.8600000000006</v>
      </c>
      <c r="I19" s="45">
        <v>-8092417.9400000013</v>
      </c>
      <c r="J19" s="45">
        <v>89522.92</v>
      </c>
      <c r="K19" s="54"/>
      <c r="L19" s="55"/>
      <c r="M19" s="55" t="s">
        <v>12</v>
      </c>
      <c r="N19" s="45">
        <v>-8092417.9400000013</v>
      </c>
      <c r="O19" s="45">
        <v>0</v>
      </c>
      <c r="P19" s="45">
        <v>15145353.469999999</v>
      </c>
      <c r="Q19" s="45">
        <v>16089093.41</v>
      </c>
      <c r="R19" s="45">
        <v>0</v>
      </c>
      <c r="S19" s="45">
        <v>0</v>
      </c>
      <c r="T19" s="45">
        <v>-9036157.8800000008</v>
      </c>
      <c r="U19" s="45">
        <v>0</v>
      </c>
      <c r="V19" s="54"/>
      <c r="W19" s="55"/>
      <c r="X19" s="55" t="s">
        <v>12</v>
      </c>
      <c r="Y19" s="45">
        <v>-9036157.8800000008</v>
      </c>
      <c r="Z19" s="45">
        <v>0</v>
      </c>
      <c r="AA19" s="45">
        <v>50575913.700000003</v>
      </c>
      <c r="AB19" s="45">
        <v>24200166.18</v>
      </c>
      <c r="AC19" s="45">
        <v>393584.17</v>
      </c>
      <c r="AD19" s="45">
        <v>90316.260000000009</v>
      </c>
      <c r="AE19" s="45">
        <v>17403730.310000002</v>
      </c>
      <c r="AF19" s="45">
        <v>201559.43</v>
      </c>
      <c r="AG19" s="54"/>
      <c r="AH19" s="55"/>
      <c r="AI19" s="55" t="s">
        <v>12</v>
      </c>
      <c r="AJ19" s="45">
        <v>17403730.310000002</v>
      </c>
      <c r="AK19" s="45">
        <v>201559.43</v>
      </c>
      <c r="AL19" s="45">
        <v>50440058.109999999</v>
      </c>
      <c r="AM19" s="45">
        <v>28289561.27</v>
      </c>
      <c r="AN19" s="45">
        <v>312512.03999999998</v>
      </c>
      <c r="AO19" s="45">
        <v>139347.63</v>
      </c>
      <c r="AP19" s="45">
        <v>39693476.850000001</v>
      </c>
      <c r="AQ19" s="45">
        <v>374723.83999999997</v>
      </c>
      <c r="AR19" s="54"/>
      <c r="AS19" s="55"/>
      <c r="AT19" s="55" t="s">
        <v>12</v>
      </c>
      <c r="AU19" s="45">
        <v>-942809.57000000007</v>
      </c>
      <c r="AV19" s="45">
        <v>274215.77999999997</v>
      </c>
      <c r="AW19" s="45">
        <v>53936647.060000002</v>
      </c>
      <c r="AX19" s="45">
        <v>53905432.280000001</v>
      </c>
      <c r="AY19" s="45">
        <v>13675199.6</v>
      </c>
      <c r="AZ19" s="45">
        <v>6462154.9199999999</v>
      </c>
      <c r="BA19" s="45">
        <v>13360745.009999998</v>
      </c>
      <c r="BB19" s="45">
        <v>7551019.54</v>
      </c>
    </row>
    <row r="20" spans="1:54" x14ac:dyDescent="0.25">
      <c r="BA20" s="40"/>
      <c r="BB20" s="40"/>
    </row>
    <row r="21" spans="1:54" x14ac:dyDescent="0.25">
      <c r="I21" s="37"/>
      <c r="AP21" s="38"/>
      <c r="AQ21" s="39"/>
      <c r="AR21" s="52"/>
      <c r="AS21" s="52"/>
      <c r="AT21" s="52"/>
      <c r="AU21" s="38"/>
      <c r="BA21" s="41"/>
      <c r="BB21" s="41"/>
    </row>
    <row r="22" spans="1:54" x14ac:dyDescent="0.25">
      <c r="AP22" s="37"/>
      <c r="AU22" s="37"/>
      <c r="AV22" s="37"/>
      <c r="BA22" s="37"/>
      <c r="BB22" s="37"/>
    </row>
    <row r="23" spans="1:54" x14ac:dyDescent="0.25">
      <c r="AE23" s="37"/>
      <c r="BA23" s="37"/>
    </row>
  </sheetData>
  <mergeCells count="32">
    <mergeCell ref="A1:BB1"/>
    <mergeCell ref="AW4:AZ4"/>
    <mergeCell ref="A3:A5"/>
    <mergeCell ref="B3:B5"/>
    <mergeCell ref="A2:BB2"/>
    <mergeCell ref="AE4:AF4"/>
    <mergeCell ref="AJ3:AQ3"/>
    <mergeCell ref="C3:J3"/>
    <mergeCell ref="C4:D4"/>
    <mergeCell ref="I4:J4"/>
    <mergeCell ref="N3:U3"/>
    <mergeCell ref="N4:O4"/>
    <mergeCell ref="T4:U4"/>
    <mergeCell ref="E4:H4"/>
    <mergeCell ref="AU3:BB3"/>
    <mergeCell ref="AU4:AV4"/>
    <mergeCell ref="BA4:BB4"/>
    <mergeCell ref="P4:S4"/>
    <mergeCell ref="AA4:AD4"/>
    <mergeCell ref="Y3:AF3"/>
    <mergeCell ref="Y4:Z4"/>
    <mergeCell ref="AJ4:AK4"/>
    <mergeCell ref="AP4:AQ4"/>
    <mergeCell ref="AL4:AO4"/>
    <mergeCell ref="AI3:AI5"/>
    <mergeCell ref="AS3:AS5"/>
    <mergeCell ref="AT3:AT5"/>
    <mergeCell ref="L3:L5"/>
    <mergeCell ref="M3:M5"/>
    <mergeCell ref="W3:W5"/>
    <mergeCell ref="X3:X5"/>
    <mergeCell ref="AH3:AH5"/>
  </mergeCells>
  <pageMargins left="0.25" right="0.25" top="0.75" bottom="0.75" header="0.3" footer="0.3"/>
  <pageSetup paperSize="9" scale="86" orientation="landscape" verticalDpi="0" r:id="rId1"/>
  <rowBreaks count="1" manualBreakCount="1">
    <brk id="19" max="5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Жисмоний шахслар налоги</vt:lpstr>
      <vt:lpstr>Солик туловлари хис.китоби</vt:lpstr>
      <vt:lpstr>'Жисмоний шахслар налоги'!Область_печати</vt:lpstr>
      <vt:lpstr>'Солик туловлари хис.китоби'!Область_печати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2020-07-22T14:34:26Z</dcterms:modified>
</cp:coreProperties>
</file>