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64011"/>
  <bookViews>
    <workbookView xWindow="0" yWindow="0" windowWidth="22260" windowHeight="12645"/>
  </bookViews>
  <sheets>
    <sheet name="2020 йил 3-чорак" sheetId="16" r:id="rId1"/>
  </sheets>
  <externalReferences>
    <externalReference r:id="rId2"/>
    <externalReference r:id="rId3"/>
    <externalReference r:id="rId4"/>
    <externalReference r:id="rId5"/>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16" l="1"/>
  <c r="E38" i="16"/>
  <c r="D38" i="16"/>
  <c r="E32" i="16"/>
  <c r="D32" i="16"/>
  <c r="E19" i="16"/>
  <c r="D19" i="16"/>
  <c r="E25" i="16"/>
  <c r="D25" i="16"/>
  <c r="E31" i="16"/>
  <c r="D31" i="16"/>
  <c r="E26" i="16"/>
  <c r="D26" i="16"/>
  <c r="E10" i="16"/>
  <c r="D10" i="16"/>
  <c r="E11" i="16"/>
  <c r="E34" i="16"/>
  <c r="D34" i="16"/>
  <c r="E8" i="16"/>
  <c r="D8" i="16"/>
  <c r="E27" i="16"/>
  <c r="D27" i="16"/>
  <c r="E13" i="16"/>
  <c r="D13" i="16"/>
  <c r="E12" i="16"/>
  <c r="D12" i="16"/>
  <c r="E23" i="16"/>
  <c r="E22" i="16"/>
  <c r="D22" i="16"/>
  <c r="E24" i="16"/>
  <c r="D24" i="16"/>
  <c r="T38" i="16" l="1"/>
  <c r="S38" i="16"/>
  <c r="H34" i="16"/>
  <c r="G34" i="16"/>
  <c r="T32" i="16"/>
  <c r="S32" i="16"/>
  <c r="Q32" i="16"/>
  <c r="P32" i="16"/>
  <c r="N32" i="16"/>
  <c r="M32" i="16"/>
  <c r="K32" i="16"/>
  <c r="J32" i="16"/>
  <c r="H32" i="16"/>
  <c r="G32" i="16"/>
  <c r="W31" i="16"/>
  <c r="V31" i="16"/>
  <c r="N30" i="16"/>
  <c r="M30" i="16"/>
  <c r="Q29" i="16"/>
  <c r="P29" i="16"/>
  <c r="Q28" i="16"/>
  <c r="P28" i="16"/>
  <c r="Q27" i="16"/>
  <c r="P27" i="16"/>
  <c r="N27" i="16"/>
  <c r="N39" i="16" s="1"/>
  <c r="M27" i="16"/>
  <c r="M39" i="16" s="1"/>
  <c r="W26" i="16"/>
  <c r="V26" i="16"/>
  <c r="H24" i="16"/>
  <c r="G24" i="16"/>
  <c r="H23" i="16"/>
  <c r="G23" i="16"/>
  <c r="H22" i="16"/>
  <c r="G22" i="16"/>
  <c r="H21" i="16"/>
  <c r="G21" i="16"/>
  <c r="T19" i="16"/>
  <c r="S19" i="16"/>
  <c r="K19" i="16"/>
  <c r="J19" i="16"/>
  <c r="W17" i="16"/>
  <c r="V17" i="16"/>
  <c r="K14" i="16"/>
  <c r="J14" i="16"/>
  <c r="K13" i="16"/>
  <c r="J13" i="16"/>
  <c r="K12" i="16"/>
  <c r="J12" i="16"/>
  <c r="T10" i="16"/>
  <c r="S10" i="16"/>
  <c r="T8" i="16"/>
  <c r="T39" i="16" s="1"/>
  <c r="S8" i="16"/>
  <c r="S39" i="16" l="1"/>
  <c r="G39" i="16"/>
  <c r="H39" i="16"/>
  <c r="J39" i="16"/>
  <c r="Q39" i="16"/>
  <c r="P39" i="16"/>
  <c r="V39" i="16"/>
  <c r="K39" i="16"/>
  <c r="W39" i="16"/>
  <c r="W41" i="16" s="1"/>
  <c r="D39" i="16"/>
  <c r="E39" i="16"/>
</calcChain>
</file>

<file path=xl/sharedStrings.xml><?xml version="1.0" encoding="utf-8"?>
<sst xmlns="http://schemas.openxmlformats.org/spreadsheetml/2006/main" count="93" uniqueCount="40">
  <si>
    <t>№</t>
  </si>
  <si>
    <t>ЖАМИ</t>
  </si>
  <si>
    <t>Қоидабузарлик тури</t>
  </si>
  <si>
    <t>Маъмурий жавобгарлик тўғрисидаги кодекснинг моддаси</t>
  </si>
  <si>
    <t xml:space="preserve">Расмийлаштирилган маъмурий баённома </t>
  </si>
  <si>
    <t>сони</t>
  </si>
  <si>
    <t>Ғайриқонуний ов маҳсулотларининг тайёрлов ташкилотларининг мансабдор шахслари томонидан қабул қилиб олиниши</t>
  </si>
  <si>
    <t>Сувларни ифлослантириш ёки булғатиш, сувтўплагич иншоотларида сувни муҳофаза қилиш режимини бузиш</t>
  </si>
  <si>
    <t>х</t>
  </si>
  <si>
    <t xml:space="preserve">Ерлардан хўжасизларча фойдаланиш ёки уларни яроқсиз ҳолга тушириш </t>
  </si>
  <si>
    <t xml:space="preserve">Хўжалик ичидаги ер тузиш лойиҳаларидан ўзбошимчалик билан четга чиқиш, давлат ер кадастри юритиш қоидаларини бузиш </t>
  </si>
  <si>
    <t>Ер ости бойликларини муҳофаза қилиш ва улардан фойдаланиш талабларини бузиш</t>
  </si>
  <si>
    <t xml:space="preserve">Сувдан фойдаланиш ва сув истеъмоли қоидаларини бузиш </t>
  </si>
  <si>
    <t xml:space="preserve">Сувларнинг давлат ҳисобини юритиш қоидаларини бузиш </t>
  </si>
  <si>
    <t xml:space="preserve">Дарахтлар, буталар, бошқа ўрмон ўсимликлари ва ниҳолларни ғайриқонуний равишда кесиш, шикастлантириш ёки йўқ қилиш </t>
  </si>
  <si>
    <t>Муҳофаза этиладиган табиий ҳудудларнинг режимини бузиш</t>
  </si>
  <si>
    <t>Ифлослантирувчи моддалар ва биологик организмларни атмосфера ҳавосига чиқариб ташлаш, унга зарарли физикавий таъсир кўрсатиш ёки атмосфера ҳавосидан белгиланган талабларни бузган ҳолда фойдаланиш</t>
  </si>
  <si>
    <t xml:space="preserve">Атмосферага чиқариладиган зарарли моддаларни тозалаш иншоотидан фойдаланиш қоидаларини бузиш, шунингдек ундан фойдаланмаслик </t>
  </si>
  <si>
    <t xml:space="preserve">Чиқиндиларда ифлослантирувчи моддалар нормативдан ортиқ бўлган транспорт ва бошқа ҳаракатланувчи воситалар ва қурилмаларни тайёрлаш ҳамда фойдаланишга чиқариш </t>
  </si>
  <si>
    <t xml:space="preserve">Атмосфера ҳавосини муҳофаза қилиш талабларига риоя қилмаслик </t>
  </si>
  <si>
    <t xml:space="preserve">Саноат чиқиндиларини, маиший чиқиндиларни ва бошқа чиқиндиларни тўплаш, ташиш, жойлаштириш, зарарсизлантириш, сақлаш, утилизация қилиш, қайта ишлаш, реализация қилиш чоғида табиатни муҳофаза қилиш талабларини бузиш </t>
  </si>
  <si>
    <t xml:space="preserve">Табиий муҳитни тиклаш, табиий захираларни қайта ҳосил қилиш ва табиий муҳитга зарарли таъсир кўрсатиш оқибатларини бартараф этиш чораларини кўрмаганлик </t>
  </si>
  <si>
    <t xml:space="preserve">Лойиҳаларни давлат экологик (санитария-экологик) экспертизасининг ижобий хулосасисиз рўёбга чиқариш </t>
  </si>
  <si>
    <t xml:space="preserve">Шаҳарлардаги дарахтларни шикастлантириш ёки уларни ўзбошимчалик билан кесиб ташлаш </t>
  </si>
  <si>
    <t>Темир йул мухофаза худудидан фойдалниш тартибини бузиш.</t>
  </si>
  <si>
    <t>Ўрмон фонди ерлари фойд-ш қоид бузиш</t>
  </si>
  <si>
    <t>Ўсимликларни ҳимоя қилиш воситалари ва бошқа дориларни ташиш, сақлаш ва қўллаш боидалари бузиш.</t>
  </si>
  <si>
    <t>Ўрмонларда ёнғин хавфсизлиги талабларини бузиш</t>
  </si>
  <si>
    <t xml:space="preserve">Ҳайвонлар яшайдиган муҳитни муҳофаза қилиш қоидаларини, зоологик ва ботаник коллекцияларни вужудга келтириш ва улар билан савдо қилиш қоидаларини бузиш, худди шунингдек ҳайвонларни ўзбошимчалик билан бошқа жойга кўчириш, иқлимлаштириш ёки чатиштириш </t>
  </si>
  <si>
    <t>Ов қилиш ёки балиқ тутиш қоидаларини, шунингдек ҳайвонот дунёсидан фойдаланишнинг бошқа турларини амалга ошириш қоидаларини бузиш</t>
  </si>
  <si>
    <t xml:space="preserve">Мажбурий сертификатлаштириш қоидаларини бузиш </t>
  </si>
  <si>
    <t>Ноёб ёки йўқ бўлиб кетиш хавфида турган ҳайвонларни йўқ қилиб юбориш, ўлжа қилиш ёхуд шундай ҳайвонларнинг қирилиб кетишига, соғи камайиб кетишига ёки яшаш муҳити бузилишига сабаб бўлиши мумкин бўлган бошқа ҳаракатлар содир этиш</t>
  </si>
  <si>
    <t xml:space="preserve">солинган жарималар </t>
  </si>
  <si>
    <t>70 ПРИМ 1</t>
  </si>
  <si>
    <t>91 ПРИМ 1</t>
  </si>
  <si>
    <t>91 ПРИМ 2</t>
  </si>
  <si>
    <t>91 ПРИМ 3</t>
  </si>
  <si>
    <t>Давлат Экология қўмитаси ва таркибидаги бўлинмалар томонидан 2020 йил 9-ой давомида  МЖтК моддалари бўйича ҳуқуқбузарларга қўлланилган маъмурий жарималар тўғрисида 
МАЪЛУМОТ</t>
  </si>
  <si>
    <t>Канализация тармоқларидан фойдаланиш қоидаларини бузиш</t>
  </si>
  <si>
    <t>163 ПРИМ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</si>
</sst>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2"/>
      <color theme="1"/>
      <name val="Arial"/>
      <family val="2"/>
      <charset val="204"/>
    </font>
    <font>
      <b/>
      <sz val="12"/>
      <color theme="1"/>
      <name val="Arial"/>
      <family val="2"/>
      <charset val="204"/>
    </font>
    <font>
      <sz val="12"/>
      <color rgb="FF000000"/>
      <name val="Arial"/>
      <family val="2"/>
      <charset val="204"/>
    </font>
    <font>
      <sz val="10"/>
      <name val="Arial"/>
      <family val="2"/>
      <charset val="204"/>
    </font>
    <font>
      <sz val="10"/>
      <name val="Arial"/>
      <family val="2"/>
      <charset val="204"/>
    </font>
    <font>
      <b/>
      <sz val="14"/>
      <color theme="1"/>
      <name val="Times New Roman"/>
      <family val="1"/>
      <charset val="204"/>
    </font>
    <font>
      <sz val="12"/>
      <name val="Arial"/>
      <family val="2"/>
      <charset val="204"/>
    </font>
    <font>
      <sz val="12"/>
      <color rgb="FFFF0000"/>
      <name val="Arial"/>
      <family val="2"/>
      <charset val="204"/>
    </font>
    <font>
      <b/>
      <sz val="12"/>
      <name val="Arial"/>
      <family val="2"/>
      <charset val="204"/>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7">
    <xf numFmtId="0" fontId="0" fillId="0" borderId="0"/>
    <xf numFmtId="0" fontId="6" fillId="0" borderId="0"/>
    <xf numFmtId="0" fontId="2" fillId="0" borderId="0"/>
    <xf numFmtId="0" fontId="6" fillId="0" borderId="0"/>
    <xf numFmtId="0" fontId="6" fillId="0" borderId="0"/>
    <xf numFmtId="0" fontId="7" fillId="0" borderId="0"/>
    <xf numFmtId="0" fontId="1" fillId="0" borderId="0"/>
  </cellStyleXfs>
  <cellXfs count="36">
    <xf numFmtId="0" fontId="0" fillId="0" borderId="0" xfId="0"/>
    <xf numFmtId="0" fontId="3"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center" vertical="center"/>
    </xf>
    <xf numFmtId="0" fontId="4" fillId="2" borderId="1" xfId="0" applyFont="1" applyFill="1" applyBorder="1" applyAlignment="1">
      <alignment horizontal="center" vertical="center"/>
    </xf>
    <xf numFmtId="0" fontId="3" fillId="0" borderId="1" xfId="0" applyFont="1" applyBorder="1" applyAlignment="1">
      <alignment horizontal="center" vertical="center"/>
    </xf>
    <xf numFmtId="0" fontId="5" fillId="0" borderId="1" xfId="0" applyFont="1" applyBorder="1" applyAlignment="1">
      <alignment vertical="center" wrapText="1"/>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164" fontId="3" fillId="3" borderId="1" xfId="0" applyNumberFormat="1" applyFont="1" applyFill="1" applyBorder="1" applyAlignment="1">
      <alignment horizontal="center" vertical="center"/>
    </xf>
    <xf numFmtId="164" fontId="3" fillId="0" borderId="0" xfId="0" applyNumberFormat="1" applyFont="1" applyAlignment="1">
      <alignment vertical="center"/>
    </xf>
    <xf numFmtId="164" fontId="4" fillId="2" borderId="1" xfId="0" applyNumberFormat="1" applyFont="1" applyFill="1" applyBorder="1" applyAlignment="1">
      <alignment horizontal="center" vertical="center"/>
    </xf>
    <xf numFmtId="0" fontId="5" fillId="0" borderId="1" xfId="0" applyFont="1" applyBorder="1" applyAlignment="1">
      <alignment horizontal="center" vertical="center" wrapText="1"/>
    </xf>
    <xf numFmtId="1" fontId="3" fillId="3" borderId="1" xfId="0" applyNumberFormat="1" applyFont="1" applyFill="1" applyBorder="1" applyAlignment="1">
      <alignment horizontal="center" vertical="center"/>
    </xf>
    <xf numFmtId="164" fontId="9" fillId="3" borderId="1" xfId="0" applyNumberFormat="1" applyFont="1" applyFill="1" applyBorder="1" applyAlignment="1">
      <alignment horizontal="center" vertical="center"/>
    </xf>
    <xf numFmtId="164" fontId="9" fillId="0" borderId="1" xfId="0" applyNumberFormat="1" applyFont="1" applyBorder="1" applyAlignment="1">
      <alignment horizontal="center" vertical="center"/>
    </xf>
    <xf numFmtId="0" fontId="3" fillId="2" borderId="1" xfId="0" applyFont="1" applyFill="1" applyBorder="1" applyAlignment="1">
      <alignment horizontal="center" vertical="center" wrapText="1"/>
    </xf>
    <xf numFmtId="0" fontId="3" fillId="0" borderId="2" xfId="0" applyFont="1" applyBorder="1" applyAlignment="1">
      <alignment horizontal="center" vertical="center"/>
    </xf>
    <xf numFmtId="0" fontId="9" fillId="0" borderId="1" xfId="0" applyFont="1" applyBorder="1" applyAlignment="1">
      <alignment horizontal="center" vertical="center"/>
    </xf>
    <xf numFmtId="1" fontId="9" fillId="0" borderId="1" xfId="0" applyNumberFormat="1" applyFont="1" applyBorder="1" applyAlignment="1">
      <alignment horizontal="center" vertical="center"/>
    </xf>
    <xf numFmtId="1" fontId="9" fillId="3" borderId="1"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11" fillId="2" borderId="1" xfId="0" applyFont="1" applyFill="1" applyBorder="1" applyAlignment="1">
      <alignment horizontal="center" vertical="center"/>
    </xf>
    <xf numFmtId="0" fontId="8" fillId="0" borderId="0" xfId="0" applyFont="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6" xfId="0" applyFont="1" applyBorder="1" applyAlignment="1">
      <alignment horizontal="left" vertical="center" wrapText="1"/>
    </xf>
    <xf numFmtId="0" fontId="3" fillId="4" borderId="7" xfId="0" applyFont="1" applyFill="1" applyBorder="1" applyAlignment="1">
      <alignment horizontal="center" vertical="center"/>
    </xf>
    <xf numFmtId="0" fontId="3" fillId="5" borderId="7" xfId="0" applyFont="1" applyFill="1" applyBorder="1" applyAlignment="1">
      <alignment horizontal="center" vertical="center"/>
    </xf>
    <xf numFmtId="0" fontId="3" fillId="6" borderId="7" xfId="0" applyFont="1" applyFill="1" applyBorder="1" applyAlignment="1">
      <alignment horizontal="center" vertical="center"/>
    </xf>
    <xf numFmtId="0" fontId="10" fillId="7" borderId="7" xfId="0" applyFont="1" applyFill="1" applyBorder="1" applyAlignment="1">
      <alignment horizontal="center" vertical="center"/>
    </xf>
    <xf numFmtId="0" fontId="5" fillId="0" borderId="5" xfId="0" applyFont="1" applyBorder="1" applyAlignment="1">
      <alignment horizontal="left" vertical="center" wrapText="1"/>
    </xf>
  </cellXfs>
  <cellStyles count="7">
    <cellStyle name="Обычный" xfId="0" builtinId="0"/>
    <cellStyle name="Обычный 2" xfId="3"/>
    <cellStyle name="Обычный 2 2" xfId="4"/>
    <cellStyle name="Обычный 3" xfId="1"/>
    <cellStyle name="Обычный 4" xfId="2"/>
    <cellStyle name="Обычный 5" xfId="5"/>
    <cellStyle name="Обычный 6"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44;&#1086;&#1082;&#1091;&#1084;&#1077;&#1085;&#1090;&#1099;\1%20&#1101;&#1082;&#1086;&#1083;&#1086;&#1075;&#1080;&#1103;\1&#1101;&#1082;&#1086;&#1083;&#1086;&#1075;&#1080;&#1103;\2020%201&#1069;\1&#1069;%201%20&#1087;&#1086;&#1083;&#1091;&#1075;&#1086;&#1076;&#1080;&#1077;%202020\2%20&#1088;&#1072;&#1079;&#1076;&#1077;&#1083;%201%20&#1087;&#1086;&#1083;&#1091;&#1075;&#1086;&#1076;&#1080;&#1077;%202020\3punkt_1%20&#1087;&#1086;&#1083;&#1091;&#1075;&#1086;&#1076;&#1080;&#1077;%2020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1044;&#1086;&#1082;&#1091;&#1084;&#1077;&#1085;&#1090;&#1099;\1%20&#1101;&#1082;&#1086;&#1083;&#1086;&#1075;&#1080;&#1103;\1&#1101;&#1082;&#1086;&#1083;&#1086;&#1075;&#1080;&#1103;\2020%201&#1069;\1&#1069;%201%20&#1087;&#1086;&#1083;&#1091;&#1075;&#1086;&#1076;&#1080;&#1077;%202020\2%20&#1088;&#1072;&#1079;&#1076;&#1077;&#1083;%201%20&#1087;&#1086;&#1083;&#1091;&#1075;&#1086;&#1076;&#1080;&#1077;%202020\2punkt_1%20&#1087;&#1086;&#1083;&#1091;&#1075;&#1086;&#1076;&#1080;&#1077;%2020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44;&#1086;&#1082;&#1091;&#1084;&#1077;&#1085;&#1090;&#1099;\1%20&#1101;&#1082;&#1086;&#1083;&#1086;&#1075;&#1080;&#1103;\1&#1101;&#1082;&#1086;&#1083;&#1086;&#1075;&#1080;&#1103;\2020%201&#1069;\1&#1069;%201%20&#1087;&#1086;&#1083;&#1091;&#1075;&#1086;&#1076;&#1080;&#1077;%202020\2%20&#1088;&#1072;&#1079;&#1076;&#1077;&#1083;%201%20&#1087;&#1086;&#1083;&#1091;&#1075;&#1086;&#1076;&#1080;&#1077;%202020\4punkt_1%20&#1087;&#1086;&#1083;&#1091;&#1075;&#1086;&#1076;&#1080;&#1077;%2020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1044;&#1086;&#1082;&#1091;&#1084;&#1077;&#1085;&#1090;&#1099;\1%20&#1101;&#1082;&#1086;&#1083;&#1086;&#1075;&#1080;&#1103;\1&#1101;&#1082;&#1086;&#1083;&#1086;&#1075;&#1080;&#1103;\2020%201&#1069;\1&#1069;%201%20&#1087;&#1086;&#1083;&#1091;&#1075;&#1086;&#1076;&#1080;&#1077;%202020\2%20&#1088;&#1072;&#1079;&#1076;&#1077;&#1083;%201%20&#1087;&#1086;&#1083;&#1091;&#1075;&#1086;&#1076;&#1080;&#1077;%202020\5punkt_1%20&#1087;&#1086;&#1083;&#1091;&#1075;&#1086;&#1076;&#1080;&#1077;%202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3punkt_1 полугодие 2020"/>
    </sheetNames>
    <sheetDataSet>
      <sheetData sheetId="0" refreshError="1">
        <row r="23">
          <cell r="D23">
            <v>36</v>
          </cell>
        </row>
        <row r="79">
          <cell r="D79">
            <v>585</v>
          </cell>
          <cell r="F79">
            <v>510657</v>
          </cell>
        </row>
        <row r="100">
          <cell r="D100">
            <v>27</v>
          </cell>
          <cell r="F100">
            <v>18286</v>
          </cell>
        </row>
        <row r="117">
          <cell r="D117">
            <v>33</v>
          </cell>
          <cell r="F117">
            <v>20070</v>
          </cell>
        </row>
        <row r="138">
          <cell r="D138">
            <v>1</v>
          </cell>
          <cell r="F138">
            <v>669</v>
          </cell>
        </row>
        <row r="176">
          <cell r="D176">
            <v>52</v>
          </cell>
          <cell r="F176">
            <v>116845</v>
          </cell>
        </row>
        <row r="193">
          <cell r="D193">
            <v>1</v>
          </cell>
          <cell r="F193">
            <v>3568</v>
          </cell>
        </row>
        <row r="214">
          <cell r="D214">
            <v>19</v>
          </cell>
          <cell r="F214">
            <v>4460</v>
          </cell>
        </row>
        <row r="362">
          <cell r="D362">
            <v>42</v>
          </cell>
          <cell r="F362">
            <v>31666</v>
          </cell>
        </row>
        <row r="400">
          <cell r="D400">
            <v>8</v>
          </cell>
          <cell r="F400">
            <v>6244</v>
          </cell>
        </row>
        <row r="438">
          <cell r="D438">
            <v>23</v>
          </cell>
          <cell r="F438">
            <v>15387</v>
          </cell>
        </row>
        <row r="515">
          <cell r="D515">
            <v>13</v>
          </cell>
          <cell r="F515">
            <v>33673</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3"/>
      <sheetName val="2punkt_1 полугодие 2020"/>
    </sheetNames>
    <sheetDataSet>
      <sheetData sheetId="0" refreshError="1"/>
      <sheetData sheetId="1" refreshError="1">
        <row r="23">
          <cell r="D23">
            <v>440</v>
          </cell>
        </row>
        <row r="41">
          <cell r="D41">
            <v>6</v>
          </cell>
          <cell r="F41">
            <v>3791</v>
          </cell>
        </row>
        <row r="58">
          <cell r="D58">
            <v>17</v>
          </cell>
          <cell r="F58">
            <v>4237</v>
          </cell>
        </row>
        <row r="79">
          <cell r="D79">
            <v>5</v>
          </cell>
          <cell r="F79">
            <v>2899</v>
          </cell>
        </row>
        <row r="96">
          <cell r="D96">
            <v>4249</v>
          </cell>
          <cell r="F96">
            <v>839850.68790000002</v>
          </cell>
        </row>
        <row r="117">
          <cell r="D117">
            <v>6</v>
          </cell>
          <cell r="F117">
            <v>1338</v>
          </cell>
        </row>
        <row r="155">
          <cell r="D155">
            <v>298</v>
          </cell>
          <cell r="F155">
            <v>206944</v>
          </cell>
        </row>
        <row r="172">
          <cell r="D172">
            <v>2</v>
          </cell>
          <cell r="F172">
            <v>446</v>
          </cell>
        </row>
        <row r="193">
          <cell r="D193">
            <v>5</v>
          </cell>
          <cell r="F193">
            <v>2676</v>
          </cell>
        </row>
        <row r="400">
          <cell r="D400">
            <v>1</v>
          </cell>
          <cell r="F400">
            <v>223</v>
          </cell>
        </row>
        <row r="421">
          <cell r="D421">
            <v>1</v>
          </cell>
          <cell r="F421">
            <v>669</v>
          </cell>
        </row>
        <row r="514">
          <cell r="D514">
            <v>1</v>
          </cell>
          <cell r="F514">
            <v>669</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4punkt_1 полугодие 2020"/>
    </sheetNames>
    <sheetDataSet>
      <sheetData sheetId="0" refreshError="1">
        <row r="5">
          <cell r="D5">
            <v>0</v>
          </cell>
        </row>
        <row r="40">
          <cell r="D40">
            <v>4</v>
          </cell>
          <cell r="F40">
            <v>2676</v>
          </cell>
        </row>
        <row r="61">
          <cell r="D61">
            <v>53</v>
          </cell>
          <cell r="F61">
            <v>45046</v>
          </cell>
        </row>
        <row r="77">
          <cell r="D77">
            <v>1</v>
          </cell>
          <cell r="F77">
            <v>1115</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5punkt_1 полугодие 2020"/>
    </sheetNames>
    <sheetDataSet>
      <sheetData sheetId="0" refreshError="1">
        <row r="5">
          <cell r="D5">
            <v>1187</v>
          </cell>
        </row>
        <row r="23">
          <cell r="D23">
            <v>11906</v>
          </cell>
          <cell r="F23">
            <v>1960063.7860000001</v>
          </cell>
        </row>
        <row r="40">
          <cell r="D40">
            <v>227</v>
          </cell>
          <cell r="F40">
            <v>181968</v>
          </cell>
        </row>
        <row r="61">
          <cell r="D61">
            <v>157</v>
          </cell>
          <cell r="F61">
            <v>63220.5</v>
          </cell>
        </row>
        <row r="77">
          <cell r="D77">
            <v>17</v>
          </cell>
          <cell r="F77">
            <v>5017.5</v>
          </cell>
        </row>
      </sheetData>
      <sheetData sheetId="1"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tabSelected="1" topLeftCell="A25" workbookViewId="0">
      <selection activeCell="AC12" sqref="AC12"/>
    </sheetView>
  </sheetViews>
  <sheetFormatPr defaultColWidth="9.125" defaultRowHeight="15" x14ac:dyDescent="0.25"/>
  <cols>
    <col min="1" max="1" width="4.625" style="1" customWidth="1"/>
    <col min="2" max="2" width="60.5" style="1" customWidth="1"/>
    <col min="3" max="3" width="19.625" style="4" customWidth="1"/>
    <col min="4" max="4" width="12" style="1" customWidth="1"/>
    <col min="5" max="5" width="18.375" style="1" customWidth="1"/>
    <col min="6" max="6" width="9.375" style="1" hidden="1" customWidth="1"/>
    <col min="7" max="7" width="11.375" style="1" hidden="1" customWidth="1"/>
    <col min="8" max="8" width="12.125" style="1" hidden="1" customWidth="1"/>
    <col min="9" max="9" width="9.375" style="1" hidden="1" customWidth="1"/>
    <col min="10" max="10" width="11.375" style="1" hidden="1" customWidth="1"/>
    <col min="11" max="11" width="12.125" style="1" hidden="1" customWidth="1"/>
    <col min="12" max="12" width="9.375" style="1" hidden="1" customWidth="1"/>
    <col min="13" max="13" width="11.375" style="1" hidden="1" customWidth="1"/>
    <col min="14" max="14" width="12.125" style="1" hidden="1" customWidth="1"/>
    <col min="15" max="15" width="9.375" style="1" hidden="1" customWidth="1"/>
    <col min="16" max="16" width="11.375" style="1" hidden="1" customWidth="1"/>
    <col min="17" max="17" width="12.125" style="1" hidden="1" customWidth="1"/>
    <col min="18" max="18" width="9.375" style="1" hidden="1" customWidth="1"/>
    <col min="19" max="19" width="11.375" style="1" hidden="1" customWidth="1"/>
    <col min="20" max="20" width="12.125" style="1" hidden="1" customWidth="1"/>
    <col min="21" max="21" width="9.375" style="1" hidden="1" customWidth="1"/>
    <col min="22" max="22" width="11.375" style="1" hidden="1" customWidth="1"/>
    <col min="23" max="23" width="12.125" style="1" hidden="1" customWidth="1"/>
    <col min="24" max="16384" width="9.125" style="1"/>
  </cols>
  <sheetData>
    <row r="1" spans="1:23" ht="74.25" customHeight="1" x14ac:dyDescent="0.25">
      <c r="A1" s="25" t="s">
        <v>37</v>
      </c>
      <c r="B1" s="25"/>
      <c r="C1" s="25"/>
      <c r="D1" s="25"/>
      <c r="E1" s="25"/>
    </row>
    <row r="2" spans="1:23" x14ac:dyDescent="0.25">
      <c r="F2" s="31">
        <v>2</v>
      </c>
      <c r="G2" s="31"/>
      <c r="H2" s="31"/>
      <c r="I2" s="32">
        <v>3</v>
      </c>
      <c r="J2" s="32"/>
      <c r="K2" s="32"/>
      <c r="L2" s="31">
        <v>4</v>
      </c>
      <c r="M2" s="31"/>
      <c r="N2" s="31"/>
      <c r="O2" s="33">
        <v>5</v>
      </c>
      <c r="P2" s="33"/>
      <c r="Q2" s="33"/>
      <c r="R2" s="34">
        <v>6</v>
      </c>
      <c r="S2" s="34"/>
      <c r="T2" s="34"/>
      <c r="U2" s="32">
        <v>7</v>
      </c>
      <c r="V2" s="32"/>
      <c r="W2" s="32"/>
    </row>
    <row r="3" spans="1:23" s="3" customFormat="1" ht="15.75" x14ac:dyDescent="0.25">
      <c r="A3" s="26" t="s">
        <v>0</v>
      </c>
      <c r="B3" s="26" t="s">
        <v>2</v>
      </c>
      <c r="C3" s="26" t="s">
        <v>3</v>
      </c>
      <c r="D3" s="27" t="s">
        <v>4</v>
      </c>
      <c r="E3" s="28"/>
      <c r="F3" s="26" t="s">
        <v>3</v>
      </c>
      <c r="G3" s="27" t="s">
        <v>4</v>
      </c>
      <c r="H3" s="28"/>
      <c r="I3" s="26" t="s">
        <v>3</v>
      </c>
      <c r="J3" s="27" t="s">
        <v>4</v>
      </c>
      <c r="K3" s="28"/>
      <c r="L3" s="26" t="s">
        <v>3</v>
      </c>
      <c r="M3" s="27" t="s">
        <v>4</v>
      </c>
      <c r="N3" s="28"/>
      <c r="O3" s="26" t="s">
        <v>3</v>
      </c>
      <c r="P3" s="27" t="s">
        <v>4</v>
      </c>
      <c r="Q3" s="28"/>
      <c r="R3" s="26" t="s">
        <v>3</v>
      </c>
      <c r="S3" s="27" t="s">
        <v>4</v>
      </c>
      <c r="T3" s="28"/>
      <c r="U3" s="26" t="s">
        <v>3</v>
      </c>
      <c r="V3" s="27" t="s">
        <v>4</v>
      </c>
      <c r="W3" s="28"/>
    </row>
    <row r="4" spans="1:23" s="3" customFormat="1" ht="15.75" x14ac:dyDescent="0.25">
      <c r="A4" s="26"/>
      <c r="B4" s="26"/>
      <c r="C4" s="26"/>
      <c r="D4" s="26" t="s">
        <v>5</v>
      </c>
      <c r="E4" s="26" t="s">
        <v>32</v>
      </c>
      <c r="F4" s="26"/>
      <c r="G4" s="26" t="s">
        <v>5</v>
      </c>
      <c r="H4" s="26" t="s">
        <v>32</v>
      </c>
      <c r="I4" s="26"/>
      <c r="J4" s="26" t="s">
        <v>5</v>
      </c>
      <c r="K4" s="26" t="s">
        <v>32</v>
      </c>
      <c r="L4" s="26"/>
      <c r="M4" s="26" t="s">
        <v>5</v>
      </c>
      <c r="N4" s="26" t="s">
        <v>32</v>
      </c>
      <c r="O4" s="26"/>
      <c r="P4" s="26" t="s">
        <v>5</v>
      </c>
      <c r="Q4" s="26" t="s">
        <v>32</v>
      </c>
      <c r="R4" s="26"/>
      <c r="S4" s="26" t="s">
        <v>5</v>
      </c>
      <c r="T4" s="26" t="s">
        <v>32</v>
      </c>
      <c r="U4" s="26"/>
      <c r="V4" s="26" t="s">
        <v>5</v>
      </c>
      <c r="W4" s="26" t="s">
        <v>32</v>
      </c>
    </row>
    <row r="5" spans="1:23" x14ac:dyDescent="0.25">
      <c r="A5" s="26"/>
      <c r="B5" s="26"/>
      <c r="C5" s="26"/>
      <c r="D5" s="26"/>
      <c r="E5" s="26"/>
      <c r="F5" s="26"/>
      <c r="G5" s="26"/>
      <c r="H5" s="26"/>
      <c r="I5" s="26"/>
      <c r="J5" s="26"/>
      <c r="K5" s="26"/>
      <c r="L5" s="26"/>
      <c r="M5" s="26"/>
      <c r="N5" s="26"/>
      <c r="O5" s="26"/>
      <c r="P5" s="26"/>
      <c r="Q5" s="26"/>
      <c r="R5" s="26"/>
      <c r="S5" s="26"/>
      <c r="T5" s="26"/>
      <c r="U5" s="26"/>
      <c r="V5" s="26"/>
      <c r="W5" s="26"/>
    </row>
    <row r="6" spans="1:23" x14ac:dyDescent="0.25">
      <c r="A6" s="26"/>
      <c r="B6" s="26"/>
      <c r="C6" s="26"/>
      <c r="D6" s="26"/>
      <c r="E6" s="26"/>
      <c r="F6" s="26"/>
      <c r="G6" s="26"/>
      <c r="H6" s="26"/>
      <c r="I6" s="26"/>
      <c r="J6" s="26"/>
      <c r="K6" s="26"/>
      <c r="L6" s="26"/>
      <c r="M6" s="26"/>
      <c r="N6" s="26"/>
      <c r="O6" s="26"/>
      <c r="P6" s="26"/>
      <c r="Q6" s="26"/>
      <c r="R6" s="26"/>
      <c r="S6" s="26"/>
      <c r="T6" s="26"/>
      <c r="U6" s="26"/>
      <c r="V6" s="26"/>
      <c r="W6" s="26"/>
    </row>
    <row r="7" spans="1:23" ht="30" x14ac:dyDescent="0.25">
      <c r="A7" s="18">
        <v>1</v>
      </c>
      <c r="B7" s="7" t="s">
        <v>6</v>
      </c>
      <c r="C7" s="6">
        <v>63</v>
      </c>
      <c r="D7" s="20">
        <v>4</v>
      </c>
      <c r="E7" s="17">
        <v>8920</v>
      </c>
      <c r="F7" s="6">
        <v>63</v>
      </c>
      <c r="G7" s="6"/>
      <c r="H7" s="6"/>
      <c r="I7" s="6">
        <v>63</v>
      </c>
      <c r="J7" s="6"/>
      <c r="K7" s="6"/>
      <c r="L7" s="6">
        <v>63</v>
      </c>
      <c r="M7" s="6"/>
      <c r="N7" s="6"/>
      <c r="O7" s="6">
        <v>63</v>
      </c>
      <c r="P7" s="6"/>
      <c r="Q7" s="6"/>
      <c r="R7" s="6">
        <v>63</v>
      </c>
      <c r="S7" s="6"/>
      <c r="T7" s="6"/>
      <c r="U7" s="6">
        <v>63</v>
      </c>
      <c r="V7" s="6">
        <v>3</v>
      </c>
      <c r="W7" s="6">
        <v>6690</v>
      </c>
    </row>
    <row r="8" spans="1:23" ht="30" x14ac:dyDescent="0.25">
      <c r="A8" s="6">
        <v>2</v>
      </c>
      <c r="B8" s="7" t="s">
        <v>9</v>
      </c>
      <c r="C8" s="6">
        <v>65</v>
      </c>
      <c r="D8" s="21">
        <f>7+366</f>
        <v>373</v>
      </c>
      <c r="E8" s="17">
        <f>3345+282987</f>
        <v>286332</v>
      </c>
      <c r="F8" s="6">
        <v>65</v>
      </c>
      <c r="G8" s="9"/>
      <c r="H8" s="8"/>
      <c r="I8" s="6">
        <v>65</v>
      </c>
      <c r="J8" s="9"/>
      <c r="K8" s="8"/>
      <c r="L8" s="6">
        <v>65</v>
      </c>
      <c r="M8" s="9"/>
      <c r="N8" s="8"/>
      <c r="O8" s="6">
        <v>65</v>
      </c>
      <c r="P8" s="9"/>
      <c r="Q8" s="8"/>
      <c r="R8" s="6">
        <v>65</v>
      </c>
      <c r="S8" s="9">
        <f>3+206</f>
        <v>209</v>
      </c>
      <c r="T8" s="8">
        <f>2007+161675</f>
        <v>163682</v>
      </c>
      <c r="U8" s="6">
        <v>65</v>
      </c>
      <c r="V8" s="9"/>
      <c r="W8" s="8"/>
    </row>
    <row r="9" spans="1:23" ht="30" x14ac:dyDescent="0.25">
      <c r="A9" s="6">
        <v>3</v>
      </c>
      <c r="B9" s="7" t="s">
        <v>10</v>
      </c>
      <c r="C9" s="6">
        <v>68</v>
      </c>
      <c r="D9" s="21">
        <v>251</v>
      </c>
      <c r="E9" s="17">
        <v>62663</v>
      </c>
      <c r="F9" s="6">
        <v>68</v>
      </c>
      <c r="G9" s="6"/>
      <c r="H9" s="8"/>
      <c r="I9" s="6">
        <v>68</v>
      </c>
      <c r="J9" s="6"/>
      <c r="K9" s="8"/>
      <c r="L9" s="6">
        <v>68</v>
      </c>
      <c r="M9" s="6"/>
      <c r="N9" s="8"/>
      <c r="O9" s="6">
        <v>68</v>
      </c>
      <c r="P9" s="6"/>
      <c r="Q9" s="8"/>
      <c r="R9" s="6">
        <v>68</v>
      </c>
      <c r="S9" s="6">
        <v>106</v>
      </c>
      <c r="T9" s="8">
        <v>25979.5</v>
      </c>
      <c r="U9" s="6">
        <v>68</v>
      </c>
      <c r="V9" s="6"/>
      <c r="W9" s="8"/>
    </row>
    <row r="10" spans="1:23" ht="30" x14ac:dyDescent="0.25">
      <c r="A10" s="18">
        <v>4</v>
      </c>
      <c r="B10" s="7" t="s">
        <v>11</v>
      </c>
      <c r="C10" s="6">
        <v>70</v>
      </c>
      <c r="D10" s="21">
        <f>1441+12</f>
        <v>1453</v>
      </c>
      <c r="E10" s="17">
        <f>3412221+67123</f>
        <v>3479344</v>
      </c>
      <c r="F10" s="6">
        <v>70</v>
      </c>
      <c r="G10" s="9"/>
      <c r="H10" s="8"/>
      <c r="I10" s="6">
        <v>70</v>
      </c>
      <c r="J10" s="9"/>
      <c r="K10" s="8"/>
      <c r="L10" s="6">
        <v>70</v>
      </c>
      <c r="M10" s="9"/>
      <c r="N10" s="8"/>
      <c r="O10" s="6">
        <v>70</v>
      </c>
      <c r="P10" s="9"/>
      <c r="Q10" s="8"/>
      <c r="R10" s="6">
        <v>70</v>
      </c>
      <c r="S10" s="9">
        <f>826+6</f>
        <v>832</v>
      </c>
      <c r="T10" s="8">
        <f>1930591+36795</f>
        <v>1967386</v>
      </c>
      <c r="U10" s="6">
        <v>70</v>
      </c>
      <c r="V10" s="9"/>
      <c r="W10" s="8"/>
    </row>
    <row r="11" spans="1:23" x14ac:dyDescent="0.25">
      <c r="A11" s="6">
        <v>5</v>
      </c>
      <c r="B11" s="7"/>
      <c r="C11" s="19" t="s">
        <v>33</v>
      </c>
      <c r="D11" s="21">
        <v>181</v>
      </c>
      <c r="E11" s="17">
        <f>11150+1220925</f>
        <v>1232075</v>
      </c>
      <c r="F11" s="19" t="s">
        <v>33</v>
      </c>
      <c r="G11" s="9"/>
      <c r="H11" s="8"/>
      <c r="I11" s="19" t="s">
        <v>33</v>
      </c>
      <c r="J11" s="9"/>
      <c r="K11" s="8"/>
      <c r="L11" s="19" t="s">
        <v>33</v>
      </c>
      <c r="M11" s="9"/>
      <c r="N11" s="8"/>
      <c r="O11" s="19" t="s">
        <v>33</v>
      </c>
      <c r="P11" s="9"/>
      <c r="Q11" s="8"/>
      <c r="R11" s="19" t="s">
        <v>33</v>
      </c>
      <c r="S11" s="9">
        <v>122</v>
      </c>
      <c r="T11" s="8">
        <v>820417</v>
      </c>
      <c r="U11" s="19" t="s">
        <v>33</v>
      </c>
      <c r="V11" s="9"/>
      <c r="W11" s="8"/>
    </row>
    <row r="12" spans="1:23" ht="30" x14ac:dyDescent="0.25">
      <c r="A12" s="18">
        <v>6</v>
      </c>
      <c r="B12" s="7" t="s">
        <v>7</v>
      </c>
      <c r="C12" s="19">
        <v>72</v>
      </c>
      <c r="D12" s="22">
        <f>1015+7</f>
        <v>1022</v>
      </c>
      <c r="E12" s="16">
        <f>818952+8251</f>
        <v>827203</v>
      </c>
      <c r="F12" s="19">
        <v>72</v>
      </c>
      <c r="G12" s="15"/>
      <c r="H12" s="11"/>
      <c r="I12" s="19">
        <v>72</v>
      </c>
      <c r="J12" s="15">
        <f>'[1]2'!$D$100+'[1]2'!$D$362+'[1]2'!$D$79</f>
        <v>654</v>
      </c>
      <c r="K12" s="11">
        <f>'[1]2'!$F$100+'[1]2'!$F$362+'[1]2'!$F$79</f>
        <v>560609</v>
      </c>
      <c r="L12" s="19">
        <v>72</v>
      </c>
      <c r="M12" s="15"/>
      <c r="N12" s="11"/>
      <c r="O12" s="19">
        <v>72</v>
      </c>
      <c r="P12" s="15"/>
      <c r="Q12" s="11"/>
      <c r="R12" s="19">
        <v>72</v>
      </c>
      <c r="S12" s="15"/>
      <c r="T12" s="11"/>
      <c r="U12" s="19">
        <v>72</v>
      </c>
      <c r="V12" s="15"/>
      <c r="W12" s="11"/>
    </row>
    <row r="13" spans="1:23" x14ac:dyDescent="0.25">
      <c r="A13" s="6">
        <v>7</v>
      </c>
      <c r="B13" s="7" t="s">
        <v>12</v>
      </c>
      <c r="C13" s="6">
        <v>74</v>
      </c>
      <c r="D13" s="22">
        <f>51+11+41</f>
        <v>103</v>
      </c>
      <c r="E13" s="16">
        <f>33673+8251+27429</f>
        <v>69353</v>
      </c>
      <c r="F13" s="6">
        <v>74</v>
      </c>
      <c r="G13" s="10"/>
      <c r="H13" s="10"/>
      <c r="I13" s="6">
        <v>74</v>
      </c>
      <c r="J13" s="10">
        <f>'[1]2'!$D$117+'[1]2'!$D$400+'[1]2'!$D$438</f>
        <v>64</v>
      </c>
      <c r="K13" s="10">
        <f>'[1]2'!$F$117+'[1]2'!$F$400+'[1]2'!$F$438</f>
        <v>41701</v>
      </c>
      <c r="L13" s="6">
        <v>74</v>
      </c>
      <c r="M13" s="10"/>
      <c r="N13" s="10"/>
      <c r="O13" s="6">
        <v>74</v>
      </c>
      <c r="P13" s="10"/>
      <c r="Q13" s="10"/>
      <c r="R13" s="6">
        <v>74</v>
      </c>
      <c r="S13" s="10"/>
      <c r="T13" s="10"/>
      <c r="U13" s="6">
        <v>74</v>
      </c>
      <c r="V13" s="10"/>
      <c r="W13" s="10"/>
    </row>
    <row r="14" spans="1:23" x14ac:dyDescent="0.25">
      <c r="A14" s="6">
        <v>8</v>
      </c>
      <c r="B14" s="7" t="s">
        <v>13</v>
      </c>
      <c r="C14" s="6">
        <v>75</v>
      </c>
      <c r="D14" s="22">
        <v>1</v>
      </c>
      <c r="E14" s="16">
        <v>669</v>
      </c>
      <c r="F14" s="6">
        <v>75</v>
      </c>
      <c r="G14" s="15"/>
      <c r="H14" s="10"/>
      <c r="I14" s="6">
        <v>75</v>
      </c>
      <c r="J14" s="15">
        <f>'[1]2'!$D$138</f>
        <v>1</v>
      </c>
      <c r="K14" s="10">
        <f>'[1]2'!$F$138</f>
        <v>669</v>
      </c>
      <c r="L14" s="6">
        <v>75</v>
      </c>
      <c r="M14" s="15"/>
      <c r="N14" s="10"/>
      <c r="O14" s="6">
        <v>75</v>
      </c>
      <c r="P14" s="15"/>
      <c r="Q14" s="10"/>
      <c r="R14" s="6">
        <v>75</v>
      </c>
      <c r="S14" s="15"/>
      <c r="T14" s="10"/>
      <c r="U14" s="6">
        <v>75</v>
      </c>
      <c r="V14" s="15"/>
      <c r="W14" s="10"/>
    </row>
    <row r="15" spans="1:23" x14ac:dyDescent="0.25">
      <c r="A15" s="18">
        <v>9</v>
      </c>
      <c r="B15" s="7" t="s">
        <v>25</v>
      </c>
      <c r="C15" s="6">
        <v>77</v>
      </c>
      <c r="D15" s="23">
        <v>124</v>
      </c>
      <c r="E15" s="16">
        <v>20590</v>
      </c>
      <c r="F15" s="6">
        <v>77</v>
      </c>
      <c r="G15" s="10"/>
      <c r="H15" s="11"/>
      <c r="I15" s="6">
        <v>77</v>
      </c>
      <c r="J15" s="10"/>
      <c r="K15" s="11"/>
      <c r="L15" s="6">
        <v>77</v>
      </c>
      <c r="M15" s="10"/>
      <c r="N15" s="11"/>
      <c r="O15" s="6">
        <v>77</v>
      </c>
      <c r="P15" s="10"/>
      <c r="Q15" s="11"/>
      <c r="R15" s="6">
        <v>77</v>
      </c>
      <c r="S15" s="10"/>
      <c r="T15" s="11"/>
      <c r="U15" s="6">
        <v>77</v>
      </c>
      <c r="V15" s="10">
        <v>73</v>
      </c>
      <c r="W15" s="11">
        <v>12785.334000000001</v>
      </c>
    </row>
    <row r="16" spans="1:23" x14ac:dyDescent="0.25">
      <c r="A16" s="6">
        <v>10</v>
      </c>
      <c r="B16" s="7"/>
      <c r="C16" s="6">
        <v>78</v>
      </c>
      <c r="D16" s="23">
        <v>2</v>
      </c>
      <c r="E16" s="16">
        <v>892</v>
      </c>
      <c r="F16" s="6">
        <v>78</v>
      </c>
      <c r="G16" s="10"/>
      <c r="H16" s="11"/>
      <c r="I16" s="6">
        <v>78</v>
      </c>
      <c r="J16" s="10"/>
      <c r="K16" s="11"/>
      <c r="L16" s="6">
        <v>78</v>
      </c>
      <c r="M16" s="10"/>
      <c r="N16" s="11"/>
      <c r="O16" s="6">
        <v>78</v>
      </c>
      <c r="P16" s="10"/>
      <c r="Q16" s="11"/>
      <c r="R16" s="6">
        <v>78</v>
      </c>
      <c r="S16" s="10"/>
      <c r="T16" s="11"/>
      <c r="U16" s="6">
        <v>78</v>
      </c>
      <c r="V16" s="10">
        <v>2</v>
      </c>
      <c r="W16" s="11">
        <v>892</v>
      </c>
    </row>
    <row r="17" spans="1:23" ht="30" x14ac:dyDescent="0.25">
      <c r="A17" s="18">
        <v>11</v>
      </c>
      <c r="B17" s="7" t="s">
        <v>14</v>
      </c>
      <c r="C17" s="6">
        <v>79</v>
      </c>
      <c r="D17" s="23">
        <v>2493</v>
      </c>
      <c r="E17" s="23">
        <v>2922701.7</v>
      </c>
      <c r="F17" s="6">
        <v>79</v>
      </c>
      <c r="G17" s="10"/>
      <c r="H17" s="11"/>
      <c r="I17" s="6">
        <v>79</v>
      </c>
      <c r="J17" s="10"/>
      <c r="K17" s="11"/>
      <c r="L17" s="6">
        <v>79</v>
      </c>
      <c r="M17" s="10"/>
      <c r="N17" s="11"/>
      <c r="O17" s="6">
        <v>79</v>
      </c>
      <c r="P17" s="10"/>
      <c r="Q17" s="11"/>
      <c r="R17" s="6">
        <v>79</v>
      </c>
      <c r="S17" s="10"/>
      <c r="T17" s="11"/>
      <c r="U17" s="6">
        <v>79</v>
      </c>
      <c r="V17" s="10">
        <f>1531+72</f>
        <v>1603</v>
      </c>
      <c r="W17" s="11">
        <f>1811237.3+91207</f>
        <v>1902444.3</v>
      </c>
    </row>
    <row r="18" spans="1:23" x14ac:dyDescent="0.25">
      <c r="A18" s="6">
        <v>12</v>
      </c>
      <c r="B18" s="7"/>
      <c r="C18" s="6">
        <v>81</v>
      </c>
      <c r="D18" s="23">
        <v>81</v>
      </c>
      <c r="E18" s="16">
        <v>92545</v>
      </c>
      <c r="F18" s="6">
        <v>81</v>
      </c>
      <c r="G18" s="10"/>
      <c r="H18" s="11"/>
      <c r="I18" s="6">
        <v>81</v>
      </c>
      <c r="J18" s="10"/>
      <c r="K18" s="11"/>
      <c r="L18" s="6">
        <v>81</v>
      </c>
      <c r="M18" s="10"/>
      <c r="N18" s="11"/>
      <c r="O18" s="6">
        <v>81</v>
      </c>
      <c r="P18" s="10"/>
      <c r="Q18" s="11"/>
      <c r="R18" s="6">
        <v>81</v>
      </c>
      <c r="S18" s="10"/>
      <c r="T18" s="11"/>
      <c r="U18" s="6">
        <v>81</v>
      </c>
      <c r="V18" s="10">
        <v>7</v>
      </c>
      <c r="W18" s="11">
        <v>7805</v>
      </c>
    </row>
    <row r="19" spans="1:23" x14ac:dyDescent="0.25">
      <c r="A19" s="6">
        <v>13</v>
      </c>
      <c r="B19" s="7" t="s">
        <v>15</v>
      </c>
      <c r="C19" s="6">
        <v>82</v>
      </c>
      <c r="D19" s="23">
        <f>77+1+11+18+10+25</f>
        <v>142</v>
      </c>
      <c r="E19" s="16">
        <f>175940+3568+30328+37910+22300+56865</f>
        <v>326911</v>
      </c>
      <c r="F19" s="6">
        <v>82</v>
      </c>
      <c r="G19" s="10"/>
      <c r="H19" s="11"/>
      <c r="I19" s="6">
        <v>82</v>
      </c>
      <c r="J19" s="10">
        <f>'[1]2'!$D$176+'[1]2'!$D$193+'[1]2'!$D$515</f>
        <v>66</v>
      </c>
      <c r="K19" s="11">
        <f>'[1]2'!$F$176+'[1]2'!$F$193+'[1]2'!$F$515</f>
        <v>154086</v>
      </c>
      <c r="L19" s="6">
        <v>82</v>
      </c>
      <c r="M19" s="10"/>
      <c r="N19" s="11"/>
      <c r="O19" s="6">
        <v>82</v>
      </c>
      <c r="P19" s="10"/>
      <c r="Q19" s="11"/>
      <c r="R19" s="6">
        <v>82</v>
      </c>
      <c r="S19" s="10">
        <f>12+10</f>
        <v>22</v>
      </c>
      <c r="T19" s="11">
        <f>26760+22300</f>
        <v>49060</v>
      </c>
      <c r="U19" s="6">
        <v>82</v>
      </c>
      <c r="V19" s="10">
        <v>5</v>
      </c>
      <c r="W19" s="11">
        <v>11150</v>
      </c>
    </row>
    <row r="20" spans="1:23" x14ac:dyDescent="0.25">
      <c r="A20" s="18">
        <v>14</v>
      </c>
      <c r="B20" s="7" t="s">
        <v>27</v>
      </c>
      <c r="C20" s="6">
        <v>84</v>
      </c>
      <c r="D20" s="23">
        <v>95</v>
      </c>
      <c r="E20" s="16">
        <v>67569</v>
      </c>
      <c r="F20" s="6">
        <v>84</v>
      </c>
      <c r="G20" s="10"/>
      <c r="H20" s="11"/>
      <c r="I20" s="6">
        <v>84</v>
      </c>
      <c r="J20" s="10"/>
      <c r="K20" s="11"/>
      <c r="L20" s="6">
        <v>84</v>
      </c>
      <c r="M20" s="10"/>
      <c r="N20" s="11"/>
      <c r="O20" s="6">
        <v>84</v>
      </c>
      <c r="P20" s="10"/>
      <c r="Q20" s="11"/>
      <c r="R20" s="6">
        <v>84</v>
      </c>
      <c r="S20" s="10"/>
      <c r="T20" s="11"/>
      <c r="U20" s="6">
        <v>84</v>
      </c>
      <c r="V20" s="10">
        <v>45</v>
      </c>
      <c r="W20" s="11">
        <v>30551</v>
      </c>
    </row>
    <row r="21" spans="1:23" ht="60" x14ac:dyDescent="0.25">
      <c r="A21" s="6">
        <v>15</v>
      </c>
      <c r="B21" s="7" t="s">
        <v>16</v>
      </c>
      <c r="C21" s="6">
        <v>85</v>
      </c>
      <c r="D21" s="22">
        <v>12</v>
      </c>
      <c r="E21" s="16">
        <v>6690</v>
      </c>
      <c r="F21" s="6">
        <v>85</v>
      </c>
      <c r="G21" s="15">
        <f>'[2]3'!$D$41</f>
        <v>6</v>
      </c>
      <c r="H21" s="11">
        <f>'[2]3'!$F$41</f>
        <v>3791</v>
      </c>
      <c r="I21" s="6">
        <v>85</v>
      </c>
      <c r="J21" s="15"/>
      <c r="K21" s="11"/>
      <c r="L21" s="6">
        <v>85</v>
      </c>
      <c r="M21" s="15"/>
      <c r="N21" s="11"/>
      <c r="O21" s="6">
        <v>85</v>
      </c>
      <c r="P21" s="15"/>
      <c r="Q21" s="11"/>
      <c r="R21" s="6">
        <v>85</v>
      </c>
      <c r="S21" s="15"/>
      <c r="T21" s="11"/>
      <c r="U21" s="6">
        <v>85</v>
      </c>
      <c r="V21" s="15"/>
      <c r="W21" s="11"/>
    </row>
    <row r="22" spans="1:23" ht="45" x14ac:dyDescent="0.25">
      <c r="A22" s="6">
        <v>16</v>
      </c>
      <c r="B22" s="7" t="s">
        <v>17</v>
      </c>
      <c r="C22" s="6">
        <v>86</v>
      </c>
      <c r="D22" s="22">
        <f>25+2</f>
        <v>27</v>
      </c>
      <c r="E22" s="16">
        <f>4460+223</f>
        <v>4683</v>
      </c>
      <c r="F22" s="6">
        <v>86</v>
      </c>
      <c r="G22" s="15">
        <f>'[2]3'!$D$58+'[2]3'!$D$400</f>
        <v>18</v>
      </c>
      <c r="H22" s="11">
        <f>'[2]3'!$F$58+'[2]3'!$F$400</f>
        <v>4460</v>
      </c>
      <c r="I22" s="6">
        <v>86</v>
      </c>
      <c r="J22" s="15"/>
      <c r="K22" s="11"/>
      <c r="L22" s="6">
        <v>86</v>
      </c>
      <c r="M22" s="15"/>
      <c r="N22" s="11"/>
      <c r="O22" s="6">
        <v>86</v>
      </c>
      <c r="P22" s="15"/>
      <c r="Q22" s="11"/>
      <c r="R22" s="6">
        <v>86</v>
      </c>
      <c r="S22" s="15"/>
      <c r="T22" s="11"/>
      <c r="U22" s="6">
        <v>86</v>
      </c>
      <c r="V22" s="15"/>
      <c r="W22" s="11"/>
    </row>
    <row r="23" spans="1:23" ht="45" x14ac:dyDescent="0.25">
      <c r="A23" s="6">
        <v>17</v>
      </c>
      <c r="B23" s="7" t="s">
        <v>18</v>
      </c>
      <c r="C23" s="6">
        <v>87</v>
      </c>
      <c r="D23" s="22">
        <v>6</v>
      </c>
      <c r="E23" s="16">
        <f>2899+669</f>
        <v>3568</v>
      </c>
      <c r="F23" s="6">
        <v>87</v>
      </c>
      <c r="G23" s="15">
        <f>'[2]3'!$D$79+'[2]3'!$D$421</f>
        <v>6</v>
      </c>
      <c r="H23" s="11">
        <f>'[2]3'!$F$79+'[2]3'!$F$421</f>
        <v>3568</v>
      </c>
      <c r="I23" s="6">
        <v>87</v>
      </c>
      <c r="J23" s="15"/>
      <c r="K23" s="11"/>
      <c r="L23" s="6">
        <v>87</v>
      </c>
      <c r="M23" s="15"/>
      <c r="N23" s="11"/>
      <c r="O23" s="6">
        <v>87</v>
      </c>
      <c r="P23" s="15"/>
      <c r="Q23" s="11"/>
      <c r="R23" s="6">
        <v>87</v>
      </c>
      <c r="S23" s="15"/>
      <c r="T23" s="11"/>
      <c r="U23" s="6">
        <v>87</v>
      </c>
      <c r="V23" s="15"/>
      <c r="W23" s="11"/>
    </row>
    <row r="24" spans="1:23" ht="30" x14ac:dyDescent="0.25">
      <c r="A24" s="6">
        <v>18</v>
      </c>
      <c r="B24" s="7" t="s">
        <v>19</v>
      </c>
      <c r="C24" s="6">
        <v>88</v>
      </c>
      <c r="D24" s="22">
        <f>7403+525+14</f>
        <v>7942</v>
      </c>
      <c r="E24" s="16">
        <f>1556667.36+372483+3345</f>
        <v>1932495.36</v>
      </c>
      <c r="F24" s="6">
        <v>88</v>
      </c>
      <c r="G24" s="15">
        <f>'[2]3'!$D$96+'[2]3'!$D$117+'[2]3'!$D$155</f>
        <v>4553</v>
      </c>
      <c r="H24" s="11">
        <f>'[2]3'!$F$96+'[2]3'!$F$117+'[2]3'!$F$155</f>
        <v>1048132.6879</v>
      </c>
      <c r="I24" s="6">
        <v>88</v>
      </c>
      <c r="J24" s="15"/>
      <c r="K24" s="11"/>
      <c r="L24" s="6">
        <v>88</v>
      </c>
      <c r="M24" s="15"/>
      <c r="N24" s="11"/>
      <c r="O24" s="6">
        <v>88</v>
      </c>
      <c r="P24" s="15"/>
      <c r="Q24" s="11"/>
      <c r="R24" s="6">
        <v>88</v>
      </c>
      <c r="S24" s="15"/>
      <c r="T24" s="11"/>
      <c r="U24" s="6">
        <v>88</v>
      </c>
      <c r="V24" s="15"/>
      <c r="W24" s="11"/>
    </row>
    <row r="25" spans="1:23" ht="30" x14ac:dyDescent="0.25">
      <c r="A25" s="18">
        <v>19</v>
      </c>
      <c r="B25" s="7" t="s">
        <v>26</v>
      </c>
      <c r="C25" s="6">
        <v>89</v>
      </c>
      <c r="D25" s="23">
        <f>5+1</f>
        <v>6</v>
      </c>
      <c r="E25" s="16">
        <f>1115+74.34</f>
        <v>1189.3399999999999</v>
      </c>
      <c r="F25" s="6">
        <v>89</v>
      </c>
      <c r="G25" s="10"/>
      <c r="H25" s="10"/>
      <c r="I25" s="6">
        <v>89</v>
      </c>
      <c r="J25" s="10"/>
      <c r="K25" s="10"/>
      <c r="L25" s="6">
        <v>89</v>
      </c>
      <c r="M25" s="10"/>
      <c r="N25" s="10"/>
      <c r="O25" s="6">
        <v>89</v>
      </c>
      <c r="P25" s="10"/>
      <c r="Q25" s="10"/>
      <c r="R25" s="6">
        <v>89</v>
      </c>
      <c r="S25" s="10">
        <v>3</v>
      </c>
      <c r="T25" s="10">
        <v>669</v>
      </c>
      <c r="U25" s="6">
        <v>89</v>
      </c>
      <c r="V25" s="10">
        <v>1</v>
      </c>
      <c r="W25" s="10">
        <v>74.334000000000003</v>
      </c>
    </row>
    <row r="26" spans="1:23" ht="45" x14ac:dyDescent="0.25">
      <c r="A26" s="6">
        <v>20</v>
      </c>
      <c r="B26" s="7" t="s">
        <v>29</v>
      </c>
      <c r="C26" s="14">
        <v>90</v>
      </c>
      <c r="D26" s="22">
        <f>176+18+589+142</f>
        <v>925</v>
      </c>
      <c r="E26" s="16">
        <f>186879+9700+639338+22077</f>
        <v>857994</v>
      </c>
      <c r="F26" s="14">
        <v>90</v>
      </c>
      <c r="G26" s="15"/>
      <c r="H26" s="16"/>
      <c r="I26" s="14">
        <v>90</v>
      </c>
      <c r="J26" s="15"/>
      <c r="K26" s="16"/>
      <c r="L26" s="14">
        <v>90</v>
      </c>
      <c r="M26" s="15"/>
      <c r="N26" s="16"/>
      <c r="O26" s="14">
        <v>90</v>
      </c>
      <c r="P26" s="15"/>
      <c r="Q26" s="16"/>
      <c r="R26" s="14">
        <v>90</v>
      </c>
      <c r="S26" s="15"/>
      <c r="T26" s="16"/>
      <c r="U26" s="14">
        <v>90</v>
      </c>
      <c r="V26" s="15">
        <f>134+22+5+434+2+51</f>
        <v>648</v>
      </c>
      <c r="W26" s="16">
        <f>147849+9923.5+392926+2230+16279</f>
        <v>569207.5</v>
      </c>
    </row>
    <row r="27" spans="1:23" x14ac:dyDescent="0.25">
      <c r="A27" s="6">
        <v>21</v>
      </c>
      <c r="B27" s="29" t="s">
        <v>20</v>
      </c>
      <c r="C27" s="6">
        <v>91</v>
      </c>
      <c r="D27" s="22">
        <f>101+359</f>
        <v>460</v>
      </c>
      <c r="E27" s="16">
        <f>82844.5+283879</f>
        <v>366723.5</v>
      </c>
      <c r="F27" s="6">
        <v>91</v>
      </c>
      <c r="G27" s="15"/>
      <c r="H27" s="11"/>
      <c r="I27" s="6">
        <v>91</v>
      </c>
      <c r="J27" s="15"/>
      <c r="K27" s="11"/>
      <c r="L27" s="6">
        <v>91</v>
      </c>
      <c r="M27" s="15">
        <f>'[3]3'!$D$61</f>
        <v>53</v>
      </c>
      <c r="N27" s="11">
        <f>'[3]3'!$F$61</f>
        <v>45046</v>
      </c>
      <c r="O27" s="6">
        <v>91</v>
      </c>
      <c r="P27" s="15">
        <f>'[4]3'!$D$40</f>
        <v>227</v>
      </c>
      <c r="Q27" s="11">
        <f>'[4]3'!$F$40</f>
        <v>181968</v>
      </c>
      <c r="R27" s="6">
        <v>91</v>
      </c>
      <c r="S27" s="15"/>
      <c r="T27" s="11"/>
      <c r="U27" s="6">
        <v>91</v>
      </c>
      <c r="V27" s="15"/>
      <c r="W27" s="11"/>
    </row>
    <row r="28" spans="1:23" x14ac:dyDescent="0.25">
      <c r="A28" s="6">
        <v>22</v>
      </c>
      <c r="B28" s="35"/>
      <c r="C28" s="19" t="s">
        <v>34</v>
      </c>
      <c r="D28" s="22">
        <v>19566</v>
      </c>
      <c r="E28" s="16">
        <v>3315719.52</v>
      </c>
      <c r="F28" s="19" t="s">
        <v>34</v>
      </c>
      <c r="G28" s="15"/>
      <c r="H28" s="11"/>
      <c r="I28" s="19" t="s">
        <v>34</v>
      </c>
      <c r="J28" s="15"/>
      <c r="K28" s="11"/>
      <c r="L28" s="19" t="s">
        <v>34</v>
      </c>
      <c r="M28" s="15"/>
      <c r="N28" s="11"/>
      <c r="O28" s="19" t="s">
        <v>34</v>
      </c>
      <c r="P28" s="15">
        <f>'[4]3'!$D$23</f>
        <v>11906</v>
      </c>
      <c r="Q28" s="11">
        <f>'[4]3'!$F$23</f>
        <v>1960063.7860000001</v>
      </c>
      <c r="R28" s="19" t="s">
        <v>34</v>
      </c>
      <c r="S28" s="15"/>
      <c r="T28" s="11"/>
      <c r="U28" s="19" t="s">
        <v>34</v>
      </c>
      <c r="V28" s="15"/>
      <c r="W28" s="11"/>
    </row>
    <row r="29" spans="1:23" x14ac:dyDescent="0.25">
      <c r="A29" s="6">
        <v>23</v>
      </c>
      <c r="B29" s="35"/>
      <c r="C29" s="19" t="s">
        <v>35</v>
      </c>
      <c r="D29" s="22">
        <v>205</v>
      </c>
      <c r="E29" s="16">
        <v>76600</v>
      </c>
      <c r="F29" s="19" t="s">
        <v>35</v>
      </c>
      <c r="G29" s="15"/>
      <c r="H29" s="11"/>
      <c r="I29" s="19" t="s">
        <v>35</v>
      </c>
      <c r="J29" s="15"/>
      <c r="K29" s="11"/>
      <c r="L29" s="19" t="s">
        <v>35</v>
      </c>
      <c r="M29" s="15"/>
      <c r="N29" s="11"/>
      <c r="O29" s="19" t="s">
        <v>35</v>
      </c>
      <c r="P29" s="15">
        <f>'[4]3'!$D$61</f>
        <v>157</v>
      </c>
      <c r="Q29" s="11">
        <f>'[4]3'!$F$61</f>
        <v>63220.5</v>
      </c>
      <c r="R29" s="19" t="s">
        <v>35</v>
      </c>
      <c r="S29" s="15"/>
      <c r="T29" s="11"/>
      <c r="U29" s="19" t="s">
        <v>35</v>
      </c>
      <c r="V29" s="15"/>
      <c r="W29" s="11"/>
    </row>
    <row r="30" spans="1:23" x14ac:dyDescent="0.25">
      <c r="A30" s="18">
        <v>24</v>
      </c>
      <c r="B30" s="30"/>
      <c r="C30" s="19" t="s">
        <v>36</v>
      </c>
      <c r="D30" s="22">
        <v>4</v>
      </c>
      <c r="E30" s="16">
        <v>2676</v>
      </c>
      <c r="F30" s="19" t="s">
        <v>36</v>
      </c>
      <c r="G30" s="15"/>
      <c r="H30" s="11"/>
      <c r="I30" s="19"/>
      <c r="J30" s="15"/>
      <c r="K30" s="11"/>
      <c r="L30" s="19" t="s">
        <v>36</v>
      </c>
      <c r="M30" s="15">
        <f>'[3]3'!$D$40</f>
        <v>4</v>
      </c>
      <c r="N30" s="11">
        <f>'[3]3'!$F$40</f>
        <v>2676</v>
      </c>
      <c r="O30" s="19" t="s">
        <v>36</v>
      </c>
      <c r="P30" s="15"/>
      <c r="Q30" s="11"/>
      <c r="R30" s="19" t="s">
        <v>36</v>
      </c>
      <c r="S30" s="15"/>
      <c r="T30" s="11"/>
      <c r="U30" s="19" t="s">
        <v>36</v>
      </c>
      <c r="V30" s="15"/>
      <c r="W30" s="11"/>
    </row>
    <row r="31" spans="1:23" ht="75" x14ac:dyDescent="0.25">
      <c r="A31" s="6">
        <v>25</v>
      </c>
      <c r="B31" s="7" t="s">
        <v>28</v>
      </c>
      <c r="C31" s="6">
        <v>92</v>
      </c>
      <c r="D31" s="22">
        <f>34+1</f>
        <v>35</v>
      </c>
      <c r="E31" s="16">
        <f>39917+1115</f>
        <v>41032</v>
      </c>
      <c r="F31" s="6">
        <v>92</v>
      </c>
      <c r="G31" s="15"/>
      <c r="H31" s="11"/>
      <c r="I31" s="6">
        <v>92</v>
      </c>
      <c r="J31" s="15"/>
      <c r="K31" s="11"/>
      <c r="L31" s="6">
        <v>92</v>
      </c>
      <c r="M31" s="15"/>
      <c r="N31" s="11"/>
      <c r="O31" s="6">
        <v>92</v>
      </c>
      <c r="P31" s="15"/>
      <c r="Q31" s="11"/>
      <c r="R31" s="6">
        <v>92</v>
      </c>
      <c r="S31" s="15"/>
      <c r="T31" s="11"/>
      <c r="U31" s="6">
        <v>92</v>
      </c>
      <c r="V31" s="15">
        <f>17+1</f>
        <v>18</v>
      </c>
      <c r="W31" s="11">
        <f>19178+1115</f>
        <v>20293</v>
      </c>
    </row>
    <row r="32" spans="1:23" ht="45" x14ac:dyDescent="0.25">
      <c r="A32" s="6">
        <v>26</v>
      </c>
      <c r="B32" s="7" t="s">
        <v>21</v>
      </c>
      <c r="C32" s="6">
        <v>95</v>
      </c>
      <c r="D32" s="22">
        <f>37+1+28+304+227+4+162+95</f>
        <v>858</v>
      </c>
      <c r="E32" s="16">
        <f>2453+8920+1115+9254+80391+87973.5+4460+39694+35903</f>
        <v>270163.5</v>
      </c>
      <c r="F32" s="6">
        <v>95</v>
      </c>
      <c r="G32" s="10">
        <f>'[2]3'!$D$172</f>
        <v>2</v>
      </c>
      <c r="H32" s="11">
        <f>'[2]3'!$F$172</f>
        <v>446</v>
      </c>
      <c r="I32" s="6">
        <v>95</v>
      </c>
      <c r="J32" s="10">
        <f>'[1]2'!$D$214</f>
        <v>19</v>
      </c>
      <c r="K32" s="11">
        <f>'[1]2'!$F$214</f>
        <v>4460</v>
      </c>
      <c r="L32" s="6">
        <v>95</v>
      </c>
      <c r="M32" s="10">
        <f>'[3]3'!$D$77</f>
        <v>1</v>
      </c>
      <c r="N32" s="11">
        <f>'[3]3'!$F$77</f>
        <v>1115</v>
      </c>
      <c r="O32" s="6">
        <v>95</v>
      </c>
      <c r="P32" s="15">
        <f>'[4]3'!$D$77</f>
        <v>17</v>
      </c>
      <c r="Q32" s="11">
        <f>'[4]3'!$F$77</f>
        <v>5017.5</v>
      </c>
      <c r="R32" s="6">
        <v>95</v>
      </c>
      <c r="S32" s="15">
        <f>225+156</f>
        <v>381</v>
      </c>
      <c r="T32" s="11">
        <f>61882.5+57645.5</f>
        <v>119528</v>
      </c>
      <c r="U32" s="6">
        <v>95</v>
      </c>
      <c r="V32" s="15">
        <v>114</v>
      </c>
      <c r="W32" s="11">
        <v>33896</v>
      </c>
    </row>
    <row r="33" spans="1:23" ht="60" x14ac:dyDescent="0.25">
      <c r="A33" s="6">
        <v>27</v>
      </c>
      <c r="B33" s="7" t="s">
        <v>31</v>
      </c>
      <c r="C33" s="6">
        <v>94</v>
      </c>
      <c r="D33" s="23">
        <v>2</v>
      </c>
      <c r="E33" s="16">
        <v>1115</v>
      </c>
      <c r="F33" s="6">
        <v>94</v>
      </c>
      <c r="G33" s="10"/>
      <c r="H33" s="11"/>
      <c r="I33" s="6">
        <v>94</v>
      </c>
      <c r="J33" s="10"/>
      <c r="K33" s="11"/>
      <c r="L33" s="6">
        <v>94</v>
      </c>
      <c r="M33" s="10"/>
      <c r="N33" s="11"/>
      <c r="O33" s="6">
        <v>94</v>
      </c>
      <c r="P33" s="10"/>
      <c r="Q33" s="11"/>
      <c r="R33" s="6">
        <v>94</v>
      </c>
      <c r="S33" s="10"/>
      <c r="T33" s="11"/>
      <c r="U33" s="6">
        <v>94</v>
      </c>
      <c r="V33" s="10">
        <v>2</v>
      </c>
      <c r="W33" s="11">
        <v>1115</v>
      </c>
    </row>
    <row r="34" spans="1:23" ht="30" x14ac:dyDescent="0.25">
      <c r="A34" s="6">
        <v>28</v>
      </c>
      <c r="B34" s="7" t="s">
        <v>22</v>
      </c>
      <c r="C34" s="6">
        <v>96</v>
      </c>
      <c r="D34" s="20">
        <f>7+6+6</f>
        <v>19</v>
      </c>
      <c r="E34" s="17">
        <f>1138+669+2787+1338</f>
        <v>5932</v>
      </c>
      <c r="F34" s="6">
        <v>96</v>
      </c>
      <c r="G34" s="6">
        <f>'[2]3'!$D$193+'[2]3'!$D$514</f>
        <v>6</v>
      </c>
      <c r="H34" s="8">
        <f>'[2]3'!$F$193+'[2]3'!$F$514</f>
        <v>3345</v>
      </c>
      <c r="I34" s="6">
        <v>96</v>
      </c>
      <c r="J34" s="6"/>
      <c r="K34" s="8"/>
      <c r="L34" s="6">
        <v>96</v>
      </c>
      <c r="M34" s="6"/>
      <c r="N34" s="8"/>
      <c r="O34" s="6">
        <v>96</v>
      </c>
      <c r="P34" s="6"/>
      <c r="Q34" s="8"/>
      <c r="R34" s="6">
        <v>96</v>
      </c>
      <c r="S34" s="6">
        <v>1</v>
      </c>
      <c r="T34" s="8">
        <v>223</v>
      </c>
      <c r="U34" s="6">
        <v>96</v>
      </c>
      <c r="V34" s="6"/>
      <c r="W34" s="8"/>
    </row>
    <row r="35" spans="1:23" ht="30" x14ac:dyDescent="0.25">
      <c r="A35" s="18">
        <v>29</v>
      </c>
      <c r="B35" s="7" t="s">
        <v>23</v>
      </c>
      <c r="C35" s="6">
        <v>162</v>
      </c>
      <c r="D35" s="20">
        <v>398</v>
      </c>
      <c r="E35" s="17">
        <f>522266+5.396</f>
        <v>522271.39600000001</v>
      </c>
      <c r="F35" s="6">
        <v>162</v>
      </c>
      <c r="G35" s="6"/>
      <c r="H35" s="8"/>
      <c r="I35" s="6">
        <v>162</v>
      </c>
      <c r="J35" s="6"/>
      <c r="K35" s="8"/>
      <c r="L35" s="6">
        <v>162</v>
      </c>
      <c r="M35" s="6"/>
      <c r="N35" s="8"/>
      <c r="O35" s="6">
        <v>162</v>
      </c>
      <c r="P35" s="6"/>
      <c r="Q35" s="8"/>
      <c r="R35" s="6">
        <v>162</v>
      </c>
      <c r="S35" s="6"/>
      <c r="T35" s="8"/>
      <c r="U35" s="6">
        <v>162</v>
      </c>
      <c r="V35" s="6">
        <v>228</v>
      </c>
      <c r="W35" s="8">
        <v>300827</v>
      </c>
    </row>
    <row r="36" spans="1:23" x14ac:dyDescent="0.25">
      <c r="A36" s="18"/>
      <c r="B36" s="7" t="s">
        <v>38</v>
      </c>
      <c r="C36" s="6" t="s">
        <v>39</v>
      </c>
      <c r="D36" s="20">
        <v>8</v>
      </c>
      <c r="E36" s="17">
        <v>7582</v>
      </c>
      <c r="F36" s="6"/>
      <c r="G36" s="6"/>
      <c r="H36" s="8"/>
      <c r="I36" s="6"/>
      <c r="J36" s="6"/>
      <c r="K36" s="8"/>
      <c r="L36" s="6"/>
      <c r="M36" s="6"/>
      <c r="N36" s="8"/>
      <c r="O36" s="6"/>
      <c r="P36" s="6"/>
      <c r="Q36" s="8"/>
      <c r="R36" s="6"/>
      <c r="S36" s="6"/>
      <c r="T36" s="8"/>
      <c r="U36" s="6"/>
      <c r="V36" s="6"/>
      <c r="W36" s="8"/>
    </row>
    <row r="37" spans="1:23" x14ac:dyDescent="0.25">
      <c r="A37" s="6">
        <v>30</v>
      </c>
      <c r="B37" s="7" t="s">
        <v>30</v>
      </c>
      <c r="C37" s="6">
        <v>214</v>
      </c>
      <c r="D37" s="20"/>
      <c r="E37" s="20"/>
      <c r="F37" s="6">
        <v>214</v>
      </c>
      <c r="G37" s="6"/>
      <c r="H37" s="6"/>
      <c r="I37" s="6">
        <v>214</v>
      </c>
      <c r="J37" s="6"/>
      <c r="K37" s="6"/>
      <c r="L37" s="6">
        <v>214</v>
      </c>
      <c r="M37" s="6"/>
      <c r="N37" s="6"/>
      <c r="O37" s="6">
        <v>214</v>
      </c>
      <c r="P37" s="6"/>
      <c r="Q37" s="6"/>
      <c r="R37" s="6">
        <v>214</v>
      </c>
      <c r="S37" s="6"/>
      <c r="T37" s="6"/>
      <c r="U37" s="6">
        <v>214</v>
      </c>
      <c r="V37" s="6"/>
      <c r="W37" s="6"/>
    </row>
    <row r="38" spans="1:23" x14ac:dyDescent="0.25">
      <c r="A38" s="6">
        <v>31</v>
      </c>
      <c r="B38" s="7" t="s">
        <v>24</v>
      </c>
      <c r="C38" s="6">
        <v>148</v>
      </c>
      <c r="D38" s="21">
        <f>323+43+264</f>
        <v>630</v>
      </c>
      <c r="E38" s="17">
        <f>23600+2567.5+23991.084</f>
        <v>50158.584000000003</v>
      </c>
      <c r="F38" s="6">
        <v>148</v>
      </c>
      <c r="G38" s="6"/>
      <c r="H38" s="8"/>
      <c r="I38" s="6">
        <v>148</v>
      </c>
      <c r="J38" s="6"/>
      <c r="K38" s="8"/>
      <c r="L38" s="6">
        <v>148</v>
      </c>
      <c r="M38" s="6"/>
      <c r="N38" s="8"/>
      <c r="O38" s="6">
        <v>148</v>
      </c>
      <c r="P38" s="6"/>
      <c r="Q38" s="8"/>
      <c r="R38" s="6">
        <v>148</v>
      </c>
      <c r="S38" s="9">
        <f>246+14</f>
        <v>260</v>
      </c>
      <c r="T38" s="8">
        <f>17561.258+839.25</f>
        <v>18400.508000000002</v>
      </c>
      <c r="U38" s="6">
        <v>148</v>
      </c>
      <c r="V38" s="9">
        <v>173</v>
      </c>
      <c r="W38" s="8">
        <v>16148.9</v>
      </c>
    </row>
    <row r="39" spans="1:23" s="2" customFormat="1" ht="15.75" x14ac:dyDescent="0.25">
      <c r="A39" s="18"/>
      <c r="B39" s="5" t="s">
        <v>1</v>
      </c>
      <c r="C39" s="5" t="s">
        <v>8</v>
      </c>
      <c r="D39" s="24">
        <f>SUM(D7:D38)</f>
        <v>37428</v>
      </c>
      <c r="E39" s="24">
        <f>SUM(E7:E38)</f>
        <v>16864360.899999999</v>
      </c>
      <c r="F39" s="5" t="s">
        <v>8</v>
      </c>
      <c r="G39" s="5">
        <f>SUM(G7:G38)</f>
        <v>4591</v>
      </c>
      <c r="H39" s="5">
        <f>SUM(H7:H38)</f>
        <v>1063742.6879</v>
      </c>
      <c r="I39" s="5" t="s">
        <v>8</v>
      </c>
      <c r="J39" s="5">
        <f>SUM(J7:J38)</f>
        <v>804</v>
      </c>
      <c r="K39" s="5">
        <f>SUM(K7:K38)</f>
        <v>761525</v>
      </c>
      <c r="L39" s="5" t="s">
        <v>8</v>
      </c>
      <c r="M39" s="5">
        <f>SUM(M7:M38)</f>
        <v>58</v>
      </c>
      <c r="N39" s="5">
        <f>SUM(N7:N38)</f>
        <v>48837</v>
      </c>
      <c r="O39" s="5" t="s">
        <v>8</v>
      </c>
      <c r="P39" s="5">
        <f>SUM(P7:P38)</f>
        <v>12307</v>
      </c>
      <c r="Q39" s="5">
        <f>SUM(Q7:Q38)</f>
        <v>2210269.7860000003</v>
      </c>
      <c r="R39" s="5" t="s">
        <v>8</v>
      </c>
      <c r="S39" s="5">
        <f>SUM(S7:S38)</f>
        <v>1936</v>
      </c>
      <c r="T39" s="5">
        <f>SUM(T7:T38)</f>
        <v>3165345.0079999999</v>
      </c>
      <c r="U39" s="5" t="s">
        <v>8</v>
      </c>
      <c r="V39" s="5">
        <f>SUM(V7:V38)</f>
        <v>2922</v>
      </c>
      <c r="W39" s="13">
        <f>W7+W15+W16+W17+W18+W19+W20+W25+W26+W31+W32+W33+W35+W38</f>
        <v>2913879.3680000002</v>
      </c>
    </row>
    <row r="40" spans="1:23" x14ac:dyDescent="0.25">
      <c r="W40" s="1">
        <v>2913879.37</v>
      </c>
    </row>
    <row r="41" spans="1:23" x14ac:dyDescent="0.25">
      <c r="E41" s="12"/>
      <c r="W41" s="1">
        <f>W40-W39</f>
        <v>1.999999862164259E-3</v>
      </c>
    </row>
  </sheetData>
  <mergeCells count="38">
    <mergeCell ref="B27:B30"/>
    <mergeCell ref="A1:E1"/>
    <mergeCell ref="F2:H2"/>
    <mergeCell ref="I2:K2"/>
    <mergeCell ref="L2:N2"/>
    <mergeCell ref="O2:Q2"/>
    <mergeCell ref="U2:W2"/>
    <mergeCell ref="A3:A6"/>
    <mergeCell ref="B3:B6"/>
    <mergeCell ref="C3:C6"/>
    <mergeCell ref="D3:E3"/>
    <mergeCell ref="F3:F6"/>
    <mergeCell ref="G3:H3"/>
    <mergeCell ref="I3:I6"/>
    <mergeCell ref="J3:K3"/>
    <mergeCell ref="L3:L6"/>
    <mergeCell ref="R2:T2"/>
    <mergeCell ref="S3:T3"/>
    <mergeCell ref="U3:U6"/>
    <mergeCell ref="Q4:Q6"/>
    <mergeCell ref="S4:S6"/>
    <mergeCell ref="K4:K6"/>
    <mergeCell ref="M4:M6"/>
    <mergeCell ref="N4:N6"/>
    <mergeCell ref="P4:P6"/>
    <mergeCell ref="M3:N3"/>
    <mergeCell ref="O3:O6"/>
    <mergeCell ref="P3:Q3"/>
    <mergeCell ref="D4:D6"/>
    <mergeCell ref="E4:E6"/>
    <mergeCell ref="G4:G6"/>
    <mergeCell ref="H4:H6"/>
    <mergeCell ref="J4:J6"/>
    <mergeCell ref="R3:R6"/>
    <mergeCell ref="T4:T6"/>
    <mergeCell ref="V4:V6"/>
    <mergeCell ref="W4:W6"/>
    <mergeCell ref="V3:W3"/>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2020 йил 3-чорак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2021-01-21T09:20:33Z</dcterms:modified>
</cp:coreProperties>
</file>