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 defaultThemeVersion="124226"/>
  <bookViews>
    <workbookView xWindow="0" yWindow="0" windowWidth="28800" windowHeight="12030" tabRatio="772" activeTab="6"/>
  </bookViews>
  <sheets>
    <sheet name="манзилли" sheetId="58" r:id="rId1"/>
    <sheet name="свод (худуд)" sheetId="69" r:id="rId2"/>
    <sheet name="свод (банк)" sheetId="93" r:id="rId3"/>
    <sheet name="свод(тахлил)" sheetId="88" r:id="rId4"/>
    <sheet name="свод (соҳа)" sheetId="94" r:id="rId5"/>
    <sheet name="свод (сектор)" sheetId="95" r:id="rId6"/>
    <sheet name="свод (сектор вилоят)" sheetId="85" r:id="rId7"/>
    <sheet name="Қўшимча ишга тушган" sheetId="79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\">#REF!</definedName>
    <definedName name="\a">#N/A</definedName>
    <definedName name="\b">#N/A</definedName>
    <definedName name="\p">#N/A</definedName>
    <definedName name="\z">#N/A</definedName>
    <definedName name="_????">#REF!</definedName>
    <definedName name="__????">#REF!</definedName>
    <definedName name="_____________________________________xlfn.BAHTTEXT" hidden="1">#NAME?</definedName>
    <definedName name="____________________________________xlfn.BAHTTEXT" hidden="1">#NAME?</definedName>
    <definedName name="___________________________________xlfn.BAHTTEXT" hidden="1">#NAME?</definedName>
    <definedName name="__________________________________a12" hidden="1">{"'Monthly 1997'!$A$3:$S$89"}</definedName>
    <definedName name="__________________________________xlfn.BAHTTEXT" hidden="1">#NAME?</definedName>
    <definedName name="_________________________________xlfn.BAHTTEXT" hidden="1">#NAME?</definedName>
    <definedName name="________________________________A1" localSheetId="2" hidden="1">#REF!</definedName>
    <definedName name="________________________________A1" localSheetId="6" hidden="1">#REF!</definedName>
    <definedName name="________________________________A1" localSheetId="5" hidden="1">#REF!</definedName>
    <definedName name="________________________________A1" localSheetId="4" hidden="1">#REF!</definedName>
    <definedName name="________________________________A1" localSheetId="1" hidden="1">#REF!</definedName>
    <definedName name="________________________________A1" localSheetId="3" hidden="1">#REF!</definedName>
    <definedName name="________________________________A1" hidden="1">#REF!</definedName>
    <definedName name="________________________________a12" hidden="1">{"'Monthly 1997'!$A$3:$S$89"}</definedName>
    <definedName name="________________________________xlfn.BAHTTEXT" hidden="1">#NAME?</definedName>
    <definedName name="_______________________________A1" localSheetId="2" hidden="1">#REF!</definedName>
    <definedName name="_______________________________A1" localSheetId="6" hidden="1">#REF!</definedName>
    <definedName name="_______________________________A1" localSheetId="5" hidden="1">#REF!</definedName>
    <definedName name="_______________________________A1" localSheetId="4" hidden="1">#REF!</definedName>
    <definedName name="_______________________________A1" localSheetId="1" hidden="1">#REF!</definedName>
    <definedName name="_______________________________A1" localSheetId="3" hidden="1">#REF!</definedName>
    <definedName name="_______________________________A1" hidden="1">#REF!</definedName>
    <definedName name="_______________________________xlfn.BAHTTEXT" hidden="1">#NAME?</definedName>
    <definedName name="______________________________a12" hidden="1">{"'Monthly 1997'!$A$3:$S$89"}</definedName>
    <definedName name="______________________________xlfn.BAHTTEXT" hidden="1">#NAME?</definedName>
    <definedName name="_____________________________A1" localSheetId="2" hidden="1">#REF!</definedName>
    <definedName name="_____________________________A1" localSheetId="6" hidden="1">#REF!</definedName>
    <definedName name="_____________________________A1" localSheetId="5" hidden="1">#REF!</definedName>
    <definedName name="_____________________________A1" localSheetId="4" hidden="1">#REF!</definedName>
    <definedName name="_____________________________A1" localSheetId="1" hidden="1">#REF!</definedName>
    <definedName name="_____________________________A1" localSheetId="3" hidden="1">#REF!</definedName>
    <definedName name="_____________________________A1" hidden="1">#REF!</definedName>
    <definedName name="_____________________________xlfn.BAHTTEXT" hidden="1">#NAME?</definedName>
    <definedName name="____________________________A1" localSheetId="2" hidden="1">#REF!</definedName>
    <definedName name="____________________________A1" localSheetId="6" hidden="1">#REF!</definedName>
    <definedName name="____________________________A1" localSheetId="5" hidden="1">#REF!</definedName>
    <definedName name="____________________________A1" localSheetId="4" hidden="1">#REF!</definedName>
    <definedName name="____________________________A1" localSheetId="1" hidden="1">#REF!</definedName>
    <definedName name="____________________________A1" localSheetId="3" hidden="1">#REF!</definedName>
    <definedName name="____________________________A1" hidden="1">#REF!</definedName>
    <definedName name="____________________________a12" hidden="1">{"'Monthly 1997'!$A$3:$S$89"}</definedName>
    <definedName name="____________________________xlfn.BAHTTEXT" hidden="1">#NAME?</definedName>
    <definedName name="___________________________xlfn.BAHTTEXT" hidden="1">#NAME?</definedName>
    <definedName name="__________________________A1" localSheetId="2" hidden="1">#REF!</definedName>
    <definedName name="__________________________A1" localSheetId="6" hidden="1">#REF!</definedName>
    <definedName name="__________________________A1" localSheetId="5" hidden="1">#REF!</definedName>
    <definedName name="__________________________A1" localSheetId="4" hidden="1">#REF!</definedName>
    <definedName name="__________________________A1" localSheetId="1" hidden="1">#REF!</definedName>
    <definedName name="__________________________A1" localSheetId="3" hidden="1">#REF!</definedName>
    <definedName name="__________________________A1" hidden="1">#REF!</definedName>
    <definedName name="__________________________a12" hidden="1">{"'Monthly 1997'!$A$3:$S$89"}</definedName>
    <definedName name="__________________________A65900">#REF!</definedName>
    <definedName name="__________________________xlfn.BAHTTEXT" hidden="1">#NAME?</definedName>
    <definedName name="_________________________A1" localSheetId="2" hidden="1">#REF!</definedName>
    <definedName name="_________________________A1" localSheetId="6" hidden="1">#REF!</definedName>
    <definedName name="_________________________A1" localSheetId="5" hidden="1">#REF!</definedName>
    <definedName name="_________________________A1" localSheetId="4" hidden="1">#REF!</definedName>
    <definedName name="_________________________A1" localSheetId="1" hidden="1">#REF!</definedName>
    <definedName name="_________________________A1" localSheetId="3" hidden="1">#REF!</definedName>
    <definedName name="_________________________A1" hidden="1">#REF!</definedName>
    <definedName name="_________________________a12" hidden="1">{"'Monthly 1997'!$A$3:$S$89"}</definedName>
    <definedName name="_________________________A65555">#REF!</definedName>
    <definedName name="_________________________A65655">#REF!</definedName>
    <definedName name="_________________________A65900">#REF!</definedName>
    <definedName name="_________________________xlfn.BAHTTEXT" hidden="1">#NAME?</definedName>
    <definedName name="________________________A1" localSheetId="2" hidden="1">#REF!</definedName>
    <definedName name="________________________A1" localSheetId="6" hidden="1">#REF!</definedName>
    <definedName name="________________________A1" localSheetId="5" hidden="1">#REF!</definedName>
    <definedName name="________________________A1" localSheetId="4" hidden="1">#REF!</definedName>
    <definedName name="________________________A1" localSheetId="1" hidden="1">#REF!</definedName>
    <definedName name="________________________A1" localSheetId="3" hidden="1">#REF!</definedName>
    <definedName name="________________________A1" hidden="1">#REF!</definedName>
    <definedName name="________________________A65900">#REF!</definedName>
    <definedName name="________________________xlfn.BAHTTEXT" hidden="1">#NAME?</definedName>
    <definedName name="_______________________A1" localSheetId="2" hidden="1">#REF!</definedName>
    <definedName name="_______________________A1" localSheetId="6" hidden="1">#REF!</definedName>
    <definedName name="_______________________A1" localSheetId="5" hidden="1">#REF!</definedName>
    <definedName name="_______________________A1" localSheetId="4" hidden="1">#REF!</definedName>
    <definedName name="_______________________A1" localSheetId="1" hidden="1">#REF!</definedName>
    <definedName name="_______________________A1" localSheetId="3" hidden="1">#REF!</definedName>
    <definedName name="_______________________A1" hidden="1">#REF!</definedName>
    <definedName name="_______________________A65555">#REF!</definedName>
    <definedName name="_______________________A65655">#REF!</definedName>
    <definedName name="_______________________A65900">#REF!</definedName>
    <definedName name="_______________________xlfn.BAHTTEXT" hidden="1">#NAME?</definedName>
    <definedName name="______________________A1" localSheetId="2" hidden="1">#REF!</definedName>
    <definedName name="______________________A1" localSheetId="6" hidden="1">#REF!</definedName>
    <definedName name="______________________A1" localSheetId="5" hidden="1">#REF!</definedName>
    <definedName name="______________________A1" localSheetId="4" hidden="1">#REF!</definedName>
    <definedName name="______________________A1" localSheetId="1" hidden="1">#REF!</definedName>
    <definedName name="______________________A1" localSheetId="3" hidden="1">#REF!</definedName>
    <definedName name="______________________A1" hidden="1">#REF!</definedName>
    <definedName name="______________________A65555">#REF!</definedName>
    <definedName name="______________________A65655">#REF!</definedName>
    <definedName name="______________________A65900">#REF!</definedName>
    <definedName name="______________________xlfn.BAHTTEXT" hidden="1">#NAME?</definedName>
    <definedName name="_____________________A1" localSheetId="2" hidden="1">#REF!</definedName>
    <definedName name="_____________________A1" localSheetId="6" hidden="1">#REF!</definedName>
    <definedName name="_____________________A1" localSheetId="5" hidden="1">#REF!</definedName>
    <definedName name="_____________________A1" localSheetId="4" hidden="1">#REF!</definedName>
    <definedName name="_____________________A1" localSheetId="1" hidden="1">#REF!</definedName>
    <definedName name="_____________________A1" localSheetId="3" hidden="1">#REF!</definedName>
    <definedName name="_____________________A1" hidden="1">#REF!</definedName>
    <definedName name="_____________________a12" hidden="1">{"'Monthly 1997'!$A$3:$S$89"}</definedName>
    <definedName name="_____________________A65555">#REF!</definedName>
    <definedName name="_____________________A65655">#REF!</definedName>
    <definedName name="_____________________A65900">#REF!</definedName>
    <definedName name="_____________________xlfn.BAHTTEXT" hidden="1">#NAME?</definedName>
    <definedName name="____________________A1" localSheetId="2" hidden="1">#REF!</definedName>
    <definedName name="____________________A1" localSheetId="6" hidden="1">#REF!</definedName>
    <definedName name="____________________A1" localSheetId="5" hidden="1">#REF!</definedName>
    <definedName name="____________________A1" localSheetId="4" hidden="1">#REF!</definedName>
    <definedName name="____________________A1" localSheetId="1" hidden="1">#REF!</definedName>
    <definedName name="____________________A1" localSheetId="3" hidden="1">#REF!</definedName>
    <definedName name="____________________A1" hidden="1">#REF!</definedName>
    <definedName name="____________________a12" hidden="1">{"'Monthly 1997'!$A$3:$S$89"}</definedName>
    <definedName name="____________________A65555">#REF!</definedName>
    <definedName name="____________________A65655">#REF!</definedName>
    <definedName name="____________________A65900">#REF!</definedName>
    <definedName name="____________________A999999">#REF!</definedName>
    <definedName name="____________________xlfn.BAHTTEXT" hidden="1">#NAME?</definedName>
    <definedName name="___________________A1" localSheetId="2" hidden="1">#REF!</definedName>
    <definedName name="___________________A1" localSheetId="6" hidden="1">#REF!</definedName>
    <definedName name="___________________A1" localSheetId="5" hidden="1">#REF!</definedName>
    <definedName name="___________________A1" localSheetId="4" hidden="1">#REF!</definedName>
    <definedName name="___________________A1" localSheetId="1" hidden="1">#REF!</definedName>
    <definedName name="___________________A1" localSheetId="3" hidden="1">#REF!</definedName>
    <definedName name="___________________A1" hidden="1">#REF!</definedName>
    <definedName name="___________________a12" hidden="1">{"'Monthly 1997'!$A$3:$S$89"}</definedName>
    <definedName name="___________________A65555">#REF!</definedName>
    <definedName name="___________________A65655">#REF!</definedName>
    <definedName name="___________________A65900">#REF!</definedName>
    <definedName name="___________________A999999">#REF!</definedName>
    <definedName name="___________________xlfn.BAHTTEXT" hidden="1">#NAME?</definedName>
    <definedName name="__________________A1" localSheetId="2" hidden="1">#REF!</definedName>
    <definedName name="__________________A1" localSheetId="6" hidden="1">#REF!</definedName>
    <definedName name="__________________A1" localSheetId="5" hidden="1">#REF!</definedName>
    <definedName name="__________________A1" localSheetId="4" hidden="1">#REF!</definedName>
    <definedName name="__________________A1" localSheetId="1" hidden="1">#REF!</definedName>
    <definedName name="__________________A1" localSheetId="3" hidden="1">#REF!</definedName>
    <definedName name="__________________A1" hidden="1">#REF!</definedName>
    <definedName name="__________________a12" hidden="1">{"'Monthly 1997'!$A$3:$S$89"}</definedName>
    <definedName name="__________________A65555">#REF!</definedName>
    <definedName name="__________________A65655">#REF!</definedName>
    <definedName name="__________________A65900">#REF!</definedName>
    <definedName name="__________________A999999">#N/A</definedName>
    <definedName name="__________________xlfn.BAHTTEXT" hidden="1">#NAME?</definedName>
    <definedName name="_________________A1" localSheetId="2" hidden="1">#REF!</definedName>
    <definedName name="_________________A1" localSheetId="6" hidden="1">#REF!</definedName>
    <definedName name="_________________A1" localSheetId="5" hidden="1">#REF!</definedName>
    <definedName name="_________________A1" localSheetId="4" hidden="1">#REF!</definedName>
    <definedName name="_________________A1" localSheetId="1" hidden="1">#REF!</definedName>
    <definedName name="_________________A1" localSheetId="3" hidden="1">#REF!</definedName>
    <definedName name="_________________A1" hidden="1">#REF!</definedName>
    <definedName name="_________________a12" hidden="1">{"'Monthly 1997'!$A$3:$S$89"}</definedName>
    <definedName name="_________________A65555">#REF!</definedName>
    <definedName name="_________________A65655">#REF!</definedName>
    <definedName name="_________________A65900">#REF!</definedName>
    <definedName name="_________________A999999">#N/A</definedName>
    <definedName name="_________________xlfn.BAHTTEXT" hidden="1">#NAME?</definedName>
    <definedName name="________________A1" localSheetId="2" hidden="1">#REF!</definedName>
    <definedName name="________________A1" localSheetId="6" hidden="1">#REF!</definedName>
    <definedName name="________________A1" localSheetId="5" hidden="1">#REF!</definedName>
    <definedName name="________________A1" localSheetId="4" hidden="1">#REF!</definedName>
    <definedName name="________________A1" localSheetId="1" hidden="1">#REF!</definedName>
    <definedName name="________________A1" localSheetId="3" hidden="1">#REF!</definedName>
    <definedName name="________________A1" hidden="1">#REF!</definedName>
    <definedName name="________________a12" hidden="1">{"'Monthly 1997'!$A$3:$S$89"}</definedName>
    <definedName name="________________A65555">#REF!</definedName>
    <definedName name="________________A65655">#REF!</definedName>
    <definedName name="________________A65900">#REF!</definedName>
    <definedName name="________________A999999">#N/A</definedName>
    <definedName name="________________xlfn.BAHTTEXT" hidden="1">#NAME?</definedName>
    <definedName name="_______________a12" hidden="1">{"'Monthly 1997'!$A$3:$S$89"}</definedName>
    <definedName name="_______________A65555">#REF!</definedName>
    <definedName name="_______________A65655">#REF!</definedName>
    <definedName name="_______________A65900">#REF!</definedName>
    <definedName name="_______________A999999">#N/A</definedName>
    <definedName name="_______________xlfn.BAHTTEXT" hidden="1">#NAME?</definedName>
    <definedName name="______________A1" localSheetId="2" hidden="1">#REF!</definedName>
    <definedName name="______________A1" localSheetId="6" hidden="1">#REF!</definedName>
    <definedName name="______________A1" localSheetId="5" hidden="1">#REF!</definedName>
    <definedName name="______________A1" localSheetId="4" hidden="1">#REF!</definedName>
    <definedName name="______________A1" localSheetId="1" hidden="1">#REF!</definedName>
    <definedName name="______________A1" localSheetId="3" hidden="1">#REF!</definedName>
    <definedName name="______________A1" hidden="1">#REF!</definedName>
    <definedName name="______________A65555">#REF!</definedName>
    <definedName name="______________A65655">#REF!</definedName>
    <definedName name="______________A65900">#REF!</definedName>
    <definedName name="______________A999999">#N/A</definedName>
    <definedName name="______________Per2">#N/A</definedName>
    <definedName name="______________Tit1">#N/A</definedName>
    <definedName name="______________Tit2">#N/A</definedName>
    <definedName name="______________Tit3">#N/A</definedName>
    <definedName name="______________Tit4">#N/A</definedName>
    <definedName name="______________xlfn.BAHTTEXT" hidden="1">#NAME?</definedName>
    <definedName name="_____________A1" localSheetId="2" hidden="1">#REF!</definedName>
    <definedName name="_____________A1" localSheetId="6" hidden="1">#REF!</definedName>
    <definedName name="_____________A1" localSheetId="5" hidden="1">#REF!</definedName>
    <definedName name="_____________A1" localSheetId="4" hidden="1">#REF!</definedName>
    <definedName name="_____________A1" localSheetId="1" hidden="1">#REF!</definedName>
    <definedName name="_____________A1" localSheetId="3" hidden="1">#REF!</definedName>
    <definedName name="_____________A1" hidden="1">#REF!</definedName>
    <definedName name="_____________a12" hidden="1">{"'Monthly 1997'!$A$3:$S$89"}</definedName>
    <definedName name="_____________A65555">#REF!</definedName>
    <definedName name="_____________A65655">#REF!</definedName>
    <definedName name="_____________A65900">#REF!</definedName>
    <definedName name="_____________A999999">#N/A</definedName>
    <definedName name="_____________Per2">#N/A</definedName>
    <definedName name="_____________Tit1">#N/A</definedName>
    <definedName name="_____________Tit2">#N/A</definedName>
    <definedName name="_____________Tit3">#N/A</definedName>
    <definedName name="_____________Tit4">#N/A</definedName>
    <definedName name="_____________xlfn.BAHTTEXT" hidden="1">#NAME?</definedName>
    <definedName name="____________A1" localSheetId="2" hidden="1">#REF!</definedName>
    <definedName name="____________A1" localSheetId="6" hidden="1">#REF!</definedName>
    <definedName name="____________A1" localSheetId="5" hidden="1">#REF!</definedName>
    <definedName name="____________A1" localSheetId="4" hidden="1">#REF!</definedName>
    <definedName name="____________A1" localSheetId="1" hidden="1">#REF!</definedName>
    <definedName name="____________A1" localSheetId="3" hidden="1">#REF!</definedName>
    <definedName name="____________A1" hidden="1">#REF!</definedName>
    <definedName name="____________a12" hidden="1">{"'Monthly 1997'!$A$3:$S$89"}</definedName>
    <definedName name="____________A65555">#REF!</definedName>
    <definedName name="____________A65655">#REF!</definedName>
    <definedName name="____________A65900">#REF!</definedName>
    <definedName name="____________A999999">#N/A</definedName>
    <definedName name="____________Per2">#N/A</definedName>
    <definedName name="____________Tit1">#N/A</definedName>
    <definedName name="____________Tit2">#N/A</definedName>
    <definedName name="____________Tit3">#N/A</definedName>
    <definedName name="____________Tit4">#N/A</definedName>
    <definedName name="____________xlfn.BAHTTEXT" hidden="1">#NAME?</definedName>
    <definedName name="___________A1" localSheetId="2" hidden="1">#REF!</definedName>
    <definedName name="___________A1" localSheetId="6" hidden="1">#REF!</definedName>
    <definedName name="___________A1" localSheetId="5" hidden="1">#REF!</definedName>
    <definedName name="___________A1" localSheetId="4" hidden="1">#REF!</definedName>
    <definedName name="___________A1" localSheetId="1" hidden="1">#REF!</definedName>
    <definedName name="___________A1" localSheetId="3" hidden="1">#REF!</definedName>
    <definedName name="___________A1" hidden="1">#REF!</definedName>
    <definedName name="___________a12" hidden="1">{"'Monthly 1997'!$A$3:$S$89"}</definedName>
    <definedName name="___________A20">#REF!</definedName>
    <definedName name="___________A65555">#REF!</definedName>
    <definedName name="___________A65655">#REF!</definedName>
    <definedName name="___________A65900">#REF!</definedName>
    <definedName name="___________A999999">#N/A</definedName>
    <definedName name="___________Per2">#N/A</definedName>
    <definedName name="___________Tit1">#N/A</definedName>
    <definedName name="___________Tit2">#N/A</definedName>
    <definedName name="___________Tit3">#N/A</definedName>
    <definedName name="___________Tit4">#N/A</definedName>
    <definedName name="___________xlfn.BAHTTEXT" hidden="1">#NAME?</definedName>
    <definedName name="__________A1" localSheetId="2" hidden="1">#REF!</definedName>
    <definedName name="__________A1" localSheetId="6" hidden="1">#REF!</definedName>
    <definedName name="__________A1" localSheetId="5" hidden="1">#REF!</definedName>
    <definedName name="__________A1" localSheetId="4" hidden="1">#REF!</definedName>
    <definedName name="__________A1" localSheetId="1" hidden="1">#REF!</definedName>
    <definedName name="__________A1" localSheetId="3" hidden="1">#REF!</definedName>
    <definedName name="__________A1" hidden="1">#REF!</definedName>
    <definedName name="__________a12" hidden="1">{"'Monthly 1997'!$A$3:$S$89"}</definedName>
    <definedName name="__________A20">#REF!</definedName>
    <definedName name="__________A65555">#REF!</definedName>
    <definedName name="__________A65655">#REF!</definedName>
    <definedName name="__________A65900">#REF!</definedName>
    <definedName name="__________A999999">#N/A</definedName>
    <definedName name="__________Per2">#N/A</definedName>
    <definedName name="__________Tit1">#N/A</definedName>
    <definedName name="__________Tit2">#N/A</definedName>
    <definedName name="__________Tit3">#N/A</definedName>
    <definedName name="__________Tit4">#N/A</definedName>
    <definedName name="__________xlfn.BAHTTEXT" hidden="1">#NAME?</definedName>
    <definedName name="_________A1" localSheetId="2" hidden="1">#REF!</definedName>
    <definedName name="_________A1" localSheetId="6" hidden="1">#REF!</definedName>
    <definedName name="_________A1" localSheetId="5" hidden="1">#REF!</definedName>
    <definedName name="_________A1" localSheetId="4" hidden="1">#REF!</definedName>
    <definedName name="_________A1" localSheetId="1" hidden="1">#REF!</definedName>
    <definedName name="_________A1" localSheetId="3" hidden="1">#REF!</definedName>
    <definedName name="_________A1" hidden="1">#REF!</definedName>
    <definedName name="_________a12" hidden="1">{"'Monthly 1997'!$A$3:$S$89"}</definedName>
    <definedName name="_________A20">#REF!</definedName>
    <definedName name="_________A65555">#REF!</definedName>
    <definedName name="_________A65655">#REF!</definedName>
    <definedName name="_________A65900">#REF!</definedName>
    <definedName name="_________A999999">#N/A</definedName>
    <definedName name="_________M100000">#REF!</definedName>
    <definedName name="_________M66002">#REF!</definedName>
    <definedName name="_________M67002">#REF!</definedName>
    <definedName name="_________M68000">#REF!</definedName>
    <definedName name="_________M68002">#REF!</definedName>
    <definedName name="_________M70000">#REF!</definedName>
    <definedName name="_________M90000">#REF!</definedName>
    <definedName name="_________Per2">#N/A</definedName>
    <definedName name="_________Tit1">#N/A</definedName>
    <definedName name="_________Tit2">#N/A</definedName>
    <definedName name="_________Tit3">#N/A</definedName>
    <definedName name="_________Tit4">#N/A</definedName>
    <definedName name="_________xlfn.BAHTTEXT" hidden="1">#NAME?</definedName>
    <definedName name="________A1" localSheetId="2" hidden="1">#REF!</definedName>
    <definedName name="________A1" localSheetId="6" hidden="1">#REF!</definedName>
    <definedName name="________A1" localSheetId="5" hidden="1">#REF!</definedName>
    <definedName name="________A1" localSheetId="4" hidden="1">#REF!</definedName>
    <definedName name="________A1" localSheetId="1" hidden="1">#REF!</definedName>
    <definedName name="________A1" localSheetId="3" hidden="1">#REF!</definedName>
    <definedName name="________A1" hidden="1">#REF!</definedName>
    <definedName name="________a12" hidden="1">{"'Monthly 1997'!$A$3:$S$89"}</definedName>
    <definedName name="________A20">#REF!</definedName>
    <definedName name="________A65555">#REF!</definedName>
    <definedName name="________A65655">#REF!</definedName>
    <definedName name="________A65900">#REF!</definedName>
    <definedName name="________A999999">#N/A</definedName>
    <definedName name="________C65537">#REF!</definedName>
    <definedName name="________Per2">#N/A</definedName>
    <definedName name="________Tit1">#N/A</definedName>
    <definedName name="________Tit2">#N/A</definedName>
    <definedName name="________Tit3">#N/A</definedName>
    <definedName name="________Tit4">#N/A</definedName>
    <definedName name="________top1">{30,140,350,160,"",""}</definedName>
    <definedName name="________xlfn.BAHTTEXT" hidden="1">#NAME?</definedName>
    <definedName name="_______A1" localSheetId="2" hidden="1">#REF!</definedName>
    <definedName name="_______A1" localSheetId="6" hidden="1">#REF!</definedName>
    <definedName name="_______A1" localSheetId="5" hidden="1">#REF!</definedName>
    <definedName name="_______A1" localSheetId="4" hidden="1">#REF!</definedName>
    <definedName name="_______A1" localSheetId="1" hidden="1">#REF!</definedName>
    <definedName name="_______A1" localSheetId="3" hidden="1">#REF!</definedName>
    <definedName name="_______A1" hidden="1">#REF!</definedName>
    <definedName name="_______a12" hidden="1">{"'Monthly 1997'!$A$3:$S$89"}</definedName>
    <definedName name="_______A20">#REF!</definedName>
    <definedName name="_______A65555">#REF!</definedName>
    <definedName name="_______A65655">#REF!</definedName>
    <definedName name="_______A65900">#REF!</definedName>
    <definedName name="_______A999999">#N/A</definedName>
    <definedName name="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C65537">#REF!</definedName>
    <definedName name="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M100000">#REF!</definedName>
    <definedName name="_______M66002">#REF!</definedName>
    <definedName name="_______M67002">#REF!</definedName>
    <definedName name="_______M68000">#REF!</definedName>
    <definedName name="_______M68002">#REF!</definedName>
    <definedName name="_______M70000">#REF!</definedName>
    <definedName name="_______M90000">#REF!</definedName>
    <definedName name="_______Per2">#N/A</definedName>
    <definedName name="_______Tit1">#N/A</definedName>
    <definedName name="_______Tit2">#N/A</definedName>
    <definedName name="_______Tit3">#N/A</definedName>
    <definedName name="_______Tit4">#N/A</definedName>
    <definedName name="_______top1">{30,140,350,160,"",""}</definedName>
    <definedName name="_______tt1" hidden="1">{#N/A,#N/A,TRUE,"일정"}</definedName>
    <definedName name="_______xlfn.BAHTTEXT" hidden="1">#NAME?</definedName>
    <definedName name="______A1" localSheetId="2" hidden="1">#REF!</definedName>
    <definedName name="______A1" localSheetId="6" hidden="1">#REF!</definedName>
    <definedName name="______A1" localSheetId="5" hidden="1">#REF!</definedName>
    <definedName name="______A1" localSheetId="4" hidden="1">#REF!</definedName>
    <definedName name="______A1" localSheetId="1" hidden="1">#REF!</definedName>
    <definedName name="______A1" localSheetId="3" hidden="1">#REF!</definedName>
    <definedName name="______A1" hidden="1">#REF!</definedName>
    <definedName name="______a12" hidden="1">{"'Monthly 1997'!$A$3:$S$89"}</definedName>
    <definedName name="______A20">#REF!</definedName>
    <definedName name="______A65555">#REF!</definedName>
    <definedName name="______A65655">#REF!</definedName>
    <definedName name="______A65900">#REF!</definedName>
    <definedName name="______A999999">#N/A</definedName>
    <definedName name="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C65537">#REF!</definedName>
    <definedName name="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M100000">#REF!</definedName>
    <definedName name="______M66002">#REF!</definedName>
    <definedName name="______M67002">#REF!</definedName>
    <definedName name="______M68000">#REF!</definedName>
    <definedName name="______M68002">#REF!</definedName>
    <definedName name="______M70000">#REF!</definedName>
    <definedName name="______M90000">#REF!</definedName>
    <definedName name="______Per2">#N/A</definedName>
    <definedName name="______Tit1">#N/A</definedName>
    <definedName name="______Tit2">#N/A</definedName>
    <definedName name="______Tit3">#N/A</definedName>
    <definedName name="______Tit4">#N/A</definedName>
    <definedName name="______top1">{30,140,350,160,"",""}</definedName>
    <definedName name="______tt1" hidden="1">{#N/A,#N/A,TRUE,"일정"}</definedName>
    <definedName name="______tt195">#REF!</definedName>
    <definedName name="______xlfn.BAHTTEXT" hidden="1">#NAME?</definedName>
    <definedName name="_____A1" localSheetId="2" hidden="1">#REF!</definedName>
    <definedName name="_____A1" localSheetId="6" hidden="1">#REF!</definedName>
    <definedName name="_____A1" localSheetId="5" hidden="1">#REF!</definedName>
    <definedName name="_____A1" localSheetId="4" hidden="1">#REF!</definedName>
    <definedName name="_____A1" localSheetId="1" hidden="1">#REF!</definedName>
    <definedName name="_____A1" localSheetId="3" hidden="1">#REF!</definedName>
    <definedName name="_____A1" hidden="1">#REF!</definedName>
    <definedName name="_____a12" hidden="1">{"'Monthly 1997'!$A$3:$S$89"}</definedName>
    <definedName name="_____A20">#REF!</definedName>
    <definedName name="_____A65555">#REF!</definedName>
    <definedName name="_____A65655">#REF!</definedName>
    <definedName name="_____A65900">#REF!</definedName>
    <definedName name="_____A999999">#N/A</definedName>
    <definedName name="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C65537">#REF!</definedName>
    <definedName name="_____day3">#REF!</definedName>
    <definedName name="_____day4">#REF!</definedName>
    <definedName name="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M100000">#REF!</definedName>
    <definedName name="_____M66002">#REF!</definedName>
    <definedName name="_____M67002">#REF!</definedName>
    <definedName name="_____M68000">#REF!</definedName>
    <definedName name="_____M68002">#REF!</definedName>
    <definedName name="_____M70000">#REF!</definedName>
    <definedName name="_____M90000">#REF!</definedName>
    <definedName name="_____Per2">#N/A</definedName>
    <definedName name="_____Tit1">#N/A</definedName>
    <definedName name="_____Tit2">#N/A</definedName>
    <definedName name="_____Tit3">#N/A</definedName>
    <definedName name="_____Tit4">#N/A</definedName>
    <definedName name="_____top1">{30,140,350,160,"",""}</definedName>
    <definedName name="_____tt1" hidden="1">{#N/A,#N/A,TRUE,"일정"}</definedName>
    <definedName name="_____tt195">#REF!</definedName>
    <definedName name="_____xlfn.BAHTTEXT" hidden="1">#NAME?</definedName>
    <definedName name="_____xlfn.RTD" hidden="1">#NAME?</definedName>
    <definedName name="____A1" localSheetId="2" hidden="1">#REF!</definedName>
    <definedName name="____A1" localSheetId="6" hidden="1">#REF!</definedName>
    <definedName name="____A1" localSheetId="5" hidden="1">#REF!</definedName>
    <definedName name="____A1" localSheetId="4" hidden="1">#REF!</definedName>
    <definedName name="____A1" localSheetId="1" hidden="1">#REF!</definedName>
    <definedName name="____A1" localSheetId="3" hidden="1">#REF!</definedName>
    <definedName name="____A1" hidden="1">#REF!</definedName>
    <definedName name="____a12" hidden="1">{"'Monthly 1997'!$A$3:$S$89"}</definedName>
    <definedName name="____A20">#REF!</definedName>
    <definedName name="____A65555">#REF!</definedName>
    <definedName name="____A65655">#REF!</definedName>
    <definedName name="____A65900">#REF!</definedName>
    <definedName name="____A999999">#N/A</definedName>
    <definedName name="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C65537">#REF!</definedName>
    <definedName name="____day3">#REF!</definedName>
    <definedName name="____day4">#REF!</definedName>
    <definedName name="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M100000">#REF!</definedName>
    <definedName name="____M66002">#REF!</definedName>
    <definedName name="____M67002">#REF!</definedName>
    <definedName name="____M68000">#REF!</definedName>
    <definedName name="____M68002">#REF!</definedName>
    <definedName name="____M70000">#REF!</definedName>
    <definedName name="____M90000">#REF!</definedName>
    <definedName name="____Per2">#N/A</definedName>
    <definedName name="____Tit1">#N/A</definedName>
    <definedName name="____Tit2">#N/A</definedName>
    <definedName name="____Tit3">#N/A</definedName>
    <definedName name="____Tit4">#N/A</definedName>
    <definedName name="____top1">{30,140,350,160,"",""}</definedName>
    <definedName name="____tt1" hidden="1">{#N/A,#N/A,TRUE,"일정"}</definedName>
    <definedName name="____tt195">#REF!</definedName>
    <definedName name="____xlfn.BAHTTEXT" hidden="1">#NAME?</definedName>
    <definedName name="____xlfn.RTD" hidden="1">#NAME?</definedName>
    <definedName name="___A1" localSheetId="2" hidden="1">#REF!</definedName>
    <definedName name="___A1" localSheetId="6" hidden="1">#REF!</definedName>
    <definedName name="___A1" localSheetId="5" hidden="1">#REF!</definedName>
    <definedName name="___A1" localSheetId="4" hidden="1">#REF!</definedName>
    <definedName name="___A1" localSheetId="1" hidden="1">#REF!</definedName>
    <definedName name="___A1" localSheetId="3" hidden="1">#REF!</definedName>
    <definedName name="___A1" hidden="1">#REF!</definedName>
    <definedName name="___a12" hidden="1">{"'Monthly 1997'!$A$3:$S$89"}</definedName>
    <definedName name="___A20">#REF!</definedName>
    <definedName name="___A65555">#REF!</definedName>
    <definedName name="___A65655">#REF!</definedName>
    <definedName name="___A65900">#REF!</definedName>
    <definedName name="___A999999">#N/A</definedName>
    <definedName name="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C65537">#REF!</definedName>
    <definedName name="___day3">#REF!</definedName>
    <definedName name="___day4">#REF!</definedName>
    <definedName name="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M100000">#REF!</definedName>
    <definedName name="___M66002">#REF!</definedName>
    <definedName name="___M67002">#REF!</definedName>
    <definedName name="___M68000">#REF!</definedName>
    <definedName name="___M68002">#REF!</definedName>
    <definedName name="___M70000">#REF!</definedName>
    <definedName name="___M90000">#REF!</definedName>
    <definedName name="___Per2">#N/A</definedName>
    <definedName name="___Tit1">#N/A</definedName>
    <definedName name="___Tit2">#N/A</definedName>
    <definedName name="___Tit3">#N/A</definedName>
    <definedName name="___Tit4">#N/A</definedName>
    <definedName name="___top1">{30,140,350,160,"",""}</definedName>
    <definedName name="___tt1" hidden="1">{#N/A,#N/A,TRUE,"일정"}</definedName>
    <definedName name="___tt195">#REF!</definedName>
    <definedName name="___xlfn.BAHTTEXT" hidden="1">#NAME?</definedName>
    <definedName name="___xlfn.RTD" hidden="1">#NAME?</definedName>
    <definedName name="__136_0_0입">#REF!</definedName>
    <definedName name="__138_0_0차">#REF!</definedName>
    <definedName name="__144_0계기">#REF!</definedName>
    <definedName name="__146_0계기en">#REF!</definedName>
    <definedName name="__148_0누계기">#REF!</definedName>
    <definedName name="__150_0누계생">#REF!</definedName>
    <definedName name="__152_0누실마">#REF!</definedName>
    <definedName name="__154_0누실적">#REF!</definedName>
    <definedName name="__156_0실기버">#REF!</definedName>
    <definedName name="__158_0실적마">#REF!</definedName>
    <definedName name="__162ОБЛАСТЬ_ПЕЌАТ">#REF!</definedName>
    <definedName name="__2_0Print_Area">#REF!</definedName>
    <definedName name="__4_0실마">#REF!</definedName>
    <definedName name="__6_0실적">#REF!</definedName>
    <definedName name="__7_????">#REF!</definedName>
    <definedName name="__A1" localSheetId="2" hidden="1">#REF!</definedName>
    <definedName name="__A1" localSheetId="6" hidden="1">#REF!</definedName>
    <definedName name="__A1" localSheetId="5" hidden="1">#REF!</definedName>
    <definedName name="__A1" localSheetId="4" hidden="1">#REF!</definedName>
    <definedName name="__A1" localSheetId="1" hidden="1">#REF!</definedName>
    <definedName name="__A1" localSheetId="3" hidden="1">#REF!</definedName>
    <definedName name="__A1" hidden="1">#REF!</definedName>
    <definedName name="__a12" hidden="1">{"'Monthly 1997'!$A$3:$S$89"}</definedName>
    <definedName name="__a145">#REF!</definedName>
    <definedName name="__a146">#REF!</definedName>
    <definedName name="__a147">#REF!</definedName>
    <definedName name="__A20">#REF!</definedName>
    <definedName name="__A65555">#REF!</definedName>
    <definedName name="__A65655">#REF!</definedName>
    <definedName name="__A65900">#REF!</definedName>
    <definedName name="__A999999">#N/A</definedName>
    <definedName name="__ap2">#N/A</definedName>
    <definedName name="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C65537">#REF!</definedName>
    <definedName name="__CT5">#REF!</definedName>
    <definedName name="__day3">#REF!</definedName>
    <definedName name="__day4">#REF!</definedName>
    <definedName name="__I______AU__E">#REF!</definedName>
    <definedName name="__IW1">'[1]Параметр (ФОРМУДА)'!#REF!</definedName>
    <definedName name="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JAP97">#REF!</definedName>
    <definedName name="__JAP98">#REF!</definedName>
    <definedName name="__KOR97">#REF!</definedName>
    <definedName name="__KOR98">#REF!</definedName>
    <definedName name="__M100000">#REF!</definedName>
    <definedName name="__M66002">#REF!</definedName>
    <definedName name="__M67002">#REF!</definedName>
    <definedName name="__M68000">#REF!</definedName>
    <definedName name="__M68002">#REF!</definedName>
    <definedName name="__M70000">#REF!</definedName>
    <definedName name="__M90000">#REF!</definedName>
    <definedName name="__NFT1">#REF!,#REF!,#REF!,#REF!</definedName>
    <definedName name="__Per2">#N/A</definedName>
    <definedName name="__Tit1">#N/A</definedName>
    <definedName name="__Tit2">#N/A</definedName>
    <definedName name="__Tit3">#N/A</definedName>
    <definedName name="__Tit4">#N/A</definedName>
    <definedName name="__top1">{30,140,350,160,"",""}</definedName>
    <definedName name="__tt1" hidden="1">{#N/A,#N/A,TRUE,"일정"}</definedName>
    <definedName name="__tt195">#REF!</definedName>
    <definedName name="__TTT1">#REF!</definedName>
    <definedName name="__xlfn.BAHTTEXT" hidden="1">#NAME?</definedName>
    <definedName name="__xlfn.RTD" hidden="1">#NAME?</definedName>
    <definedName name="_08">#REF!</definedName>
    <definedName name="_088">#REF!</definedName>
    <definedName name="_1053__0_S" localSheetId="2" hidden="1">#REF!</definedName>
    <definedName name="_1053__0_S" localSheetId="6" hidden="1">#REF!</definedName>
    <definedName name="_1053__0_S" localSheetId="5" hidden="1">#REF!</definedName>
    <definedName name="_1053__0_S" localSheetId="4" hidden="1">#REF!</definedName>
    <definedName name="_1053__0_S" localSheetId="1" hidden="1">#REF!</definedName>
    <definedName name="_1053__0_S" localSheetId="3" hidden="1">#REF!</definedName>
    <definedName name="_1053__0_S" hidden="1">#REF!</definedName>
    <definedName name="_111">#REF!</definedName>
    <definedName name="_136_0_0입">#REF!</definedName>
    <definedName name="_138_0_0차">#REF!</definedName>
    <definedName name="_144_0계기">#REF!</definedName>
    <definedName name="_146_0계기en">#REF!</definedName>
    <definedName name="_148_0누계기">#REF!</definedName>
    <definedName name="_150_0누계생">#REF!</definedName>
    <definedName name="_152_0누실마">#REF!</definedName>
    <definedName name="_154_0누실적">#REF!</definedName>
    <definedName name="_156_0실기버">#REF!</definedName>
    <definedName name="_158_0실적마">#REF!</definedName>
    <definedName name="_162ОБЛАСТЬ_ПЕЌАТ">#REF!</definedName>
    <definedName name="_2" localSheetId="2" hidden="1">#REF!</definedName>
    <definedName name="_2" localSheetId="6" hidden="1">#REF!</definedName>
    <definedName name="_2" localSheetId="5" hidden="1">#REF!</definedName>
    <definedName name="_2" localSheetId="4" hidden="1">#REF!</definedName>
    <definedName name="_2" localSheetId="1" hidden="1">#REF!</definedName>
    <definedName name="_2" localSheetId="3" hidden="1">#REF!</definedName>
    <definedName name="_2" hidden="1">#REF!</definedName>
    <definedName name="_2_0Print_Area">#REF!</definedName>
    <definedName name="_20">#REF!</definedName>
    <definedName name="_30">#REF!</definedName>
    <definedName name="_4_0실마">#REF!</definedName>
    <definedName name="_40">#REF!</definedName>
    <definedName name="_440__0_S" localSheetId="2" hidden="1">#REF!</definedName>
    <definedName name="_440__0_S" localSheetId="6" hidden="1">#REF!</definedName>
    <definedName name="_440__0_S" localSheetId="5" hidden="1">#REF!</definedName>
    <definedName name="_440__0_S" localSheetId="4" hidden="1">#REF!</definedName>
    <definedName name="_440__0_S" localSheetId="1" hidden="1">#REF!</definedName>
    <definedName name="_440__0_S" localSheetId="3" hidden="1">#REF!</definedName>
    <definedName name="_440__0_S" hidden="1">#REF!</definedName>
    <definedName name="_6_0실적">#REF!</definedName>
    <definedName name="_7_????">#REF!</definedName>
    <definedName name="_89185A78B00">#REF!</definedName>
    <definedName name="_A1" localSheetId="2" hidden="1">#REF!</definedName>
    <definedName name="_A1" localSheetId="6" hidden="1">#REF!</definedName>
    <definedName name="_A1" localSheetId="5" hidden="1">#REF!</definedName>
    <definedName name="_A1" localSheetId="4" hidden="1">#REF!</definedName>
    <definedName name="_A1" localSheetId="1" hidden="1">#REF!</definedName>
    <definedName name="_A1" localSheetId="3" hidden="1">#REF!</definedName>
    <definedName name="_A1" hidden="1">#REF!</definedName>
    <definedName name="_a12" hidden="1">{"'Monthly 1997'!$A$3:$S$89"}</definedName>
    <definedName name="_a145">#REF!</definedName>
    <definedName name="_a146">#REF!</definedName>
    <definedName name="_a147">#REF!</definedName>
    <definedName name="_A20">#REF!</definedName>
    <definedName name="_A61" hidden="1">{#N/A,#N/A,FALSE,"BODY"}</definedName>
    <definedName name="_A65555">#REF!</definedName>
    <definedName name="_A65655">#REF!</definedName>
    <definedName name="_A65900">#REF!</definedName>
    <definedName name="_A999999">#N/A</definedName>
    <definedName name="_ap2">#N/A</definedName>
    <definedName name="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aZ" localSheetId="7">[0]!_a1Z,[0]!_a2Z</definedName>
    <definedName name="_aZ" localSheetId="2">[0]!_a1Z,[0]!_a2Z</definedName>
    <definedName name="_aZ" localSheetId="5">[0]!_a1Z,[0]!_a2Z</definedName>
    <definedName name="_aZ" localSheetId="4">[0]!_a1Z,[0]!_a2Z</definedName>
    <definedName name="_aZ" localSheetId="3">[0]!_a1Z,[0]!_a2Z</definedName>
    <definedName name="_aZ">[0]!_a1Z,[0]!_a2Z</definedName>
    <definedName name="_bd1">#REF!</definedName>
    <definedName name="_bd11">#REF!</definedName>
    <definedName name="_bd2">#REF!</definedName>
    <definedName name="_bd22">#REF!</definedName>
    <definedName name="_C65537">#REF!</definedName>
    <definedName name="_CT5">#REF!</definedName>
    <definedName name="_day3">#REF!</definedName>
    <definedName name="_day4">#REF!</definedName>
    <definedName name="_Dist_Bin" localSheetId="2" hidden="1">#REF!</definedName>
    <definedName name="_Dist_Bin" localSheetId="6" hidden="1">#REF!</definedName>
    <definedName name="_Dist_Bin" localSheetId="5" hidden="1">#REF!</definedName>
    <definedName name="_Dist_Bin" localSheetId="4" hidden="1">#REF!</definedName>
    <definedName name="_Dist_Bin" localSheetId="1" hidden="1">#REF!</definedName>
    <definedName name="_Dist_Bin" localSheetId="3" hidden="1">#REF!</definedName>
    <definedName name="_Dist_Bin" hidden="1">#REF!</definedName>
    <definedName name="_Dist_Values" localSheetId="2" hidden="1">#REF!</definedName>
    <definedName name="_Dist_Values" localSheetId="6" hidden="1">#REF!</definedName>
    <definedName name="_Dist_Values" localSheetId="5" hidden="1">#REF!</definedName>
    <definedName name="_Dist_Values" localSheetId="4" hidden="1">#REF!</definedName>
    <definedName name="_Dist_Values" localSheetId="1" hidden="1">#REF!</definedName>
    <definedName name="_Dist_Values" localSheetId="3" hidden="1">#REF!</definedName>
    <definedName name="_Dist_Values" hidden="1">#REF!</definedName>
    <definedName name="_Fill" localSheetId="2" hidden="1">#REF!</definedName>
    <definedName name="_Fill" localSheetId="6" hidden="1">#REF!</definedName>
    <definedName name="_Fill" localSheetId="5" hidden="1">#REF!</definedName>
    <definedName name="_Fill" localSheetId="4" hidden="1">#REF!</definedName>
    <definedName name="_Fill" localSheetId="1" hidden="1">#REF!</definedName>
    <definedName name="_Fill" localSheetId="3" hidden="1">#REF!</definedName>
    <definedName name="_Fill" hidden="1">#REF!</definedName>
    <definedName name="_FilterDatabase" localSheetId="2" hidden="1">#REF!</definedName>
    <definedName name="_FilterDatabase" localSheetId="6" hidden="1">#REF!</definedName>
    <definedName name="_FilterDatabase" localSheetId="5" hidden="1">#REF!</definedName>
    <definedName name="_FilterDatabase" localSheetId="4" hidden="1">#REF!</definedName>
    <definedName name="_FilterDatabase" localSheetId="1" hidden="1">#REF!</definedName>
    <definedName name="_FilterDatabase" localSheetId="3" hidden="1">#REF!</definedName>
    <definedName name="_FilterDatabase" hidden="1">#REF!</definedName>
    <definedName name="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JAP97">#REF!</definedName>
    <definedName name="_JAP98">#REF!</definedName>
    <definedName name="_k1">#REF!</definedName>
    <definedName name="_Key1" localSheetId="2" hidden="1">#REF!</definedName>
    <definedName name="_Key1" localSheetId="6" hidden="1">#REF!</definedName>
    <definedName name="_Key1" localSheetId="5" hidden="1">#REF!</definedName>
    <definedName name="_Key1" localSheetId="4" hidden="1">#REF!</definedName>
    <definedName name="_Key1" localSheetId="1" hidden="1">#REF!</definedName>
    <definedName name="_Key1" localSheetId="3" hidden="1">#REF!</definedName>
    <definedName name="_Key1" hidden="1">#REF!</definedName>
    <definedName name="_Key2" localSheetId="2" hidden="1">#REF!</definedName>
    <definedName name="_Key2" localSheetId="6" hidden="1">#REF!</definedName>
    <definedName name="_Key2" localSheetId="5" hidden="1">#REF!</definedName>
    <definedName name="_Key2" localSheetId="4" hidden="1">#REF!</definedName>
    <definedName name="_Key2" localSheetId="1" hidden="1">#REF!</definedName>
    <definedName name="_Key2" localSheetId="3" hidden="1">#REF!</definedName>
    <definedName name="_Key2" hidden="1">#REF!</definedName>
    <definedName name="_ko15">#REF!</definedName>
    <definedName name="_KOR97">#REF!</definedName>
    <definedName name="_KOR98">#REF!</definedName>
    <definedName name="_M100000">#REF!</definedName>
    <definedName name="_M66002">#REF!</definedName>
    <definedName name="_M67002">#REF!</definedName>
    <definedName name="_M68000">#REF!</definedName>
    <definedName name="_M68002">#REF!</definedName>
    <definedName name="_M70000">#REF!</definedName>
    <definedName name="_M90000">#REF!</definedName>
    <definedName name="_MatInverse_In" localSheetId="2" hidden="1">#REF!</definedName>
    <definedName name="_MatInverse_In" localSheetId="6" hidden="1">#REF!</definedName>
    <definedName name="_MatInverse_In" localSheetId="5" hidden="1">#REF!</definedName>
    <definedName name="_MatInverse_In" localSheetId="4" hidden="1">#REF!</definedName>
    <definedName name="_MatInverse_In" localSheetId="1" hidden="1">#REF!</definedName>
    <definedName name="_MatInverse_In" localSheetId="3" hidden="1">#REF!</definedName>
    <definedName name="_MatInverse_In" hidden="1">#REF!</definedName>
    <definedName name="_MatInverse_Out" localSheetId="2" hidden="1">#REF!</definedName>
    <definedName name="_MatInverse_Out" localSheetId="6" hidden="1">#REF!</definedName>
    <definedName name="_MatInverse_Out" localSheetId="5" hidden="1">#REF!</definedName>
    <definedName name="_MatInverse_Out" localSheetId="4" hidden="1">#REF!</definedName>
    <definedName name="_MatInverse_Out" localSheetId="1" hidden="1">#REF!</definedName>
    <definedName name="_MatInverse_Out" localSheetId="3" hidden="1">#REF!</definedName>
    <definedName name="_MatInverse_Out" hidden="1">#REF!</definedName>
    <definedName name="_NFT1">#REF!,#REF!,#REF!,#REF!</definedName>
    <definedName name="_Order1" hidden="1">255</definedName>
    <definedName name="_Order2" hidden="1">0</definedName>
    <definedName name="_Per2">#N/A</definedName>
    <definedName name="_Sort" localSheetId="2" hidden="1">#REF!</definedName>
    <definedName name="_Sort" localSheetId="6" hidden="1">#REF!</definedName>
    <definedName name="_Sort" localSheetId="5" hidden="1">#REF!</definedName>
    <definedName name="_Sort" localSheetId="4" hidden="1">#REF!</definedName>
    <definedName name="_Sort" localSheetId="1" hidden="1">#REF!</definedName>
    <definedName name="_Sort" localSheetId="3" hidden="1">#REF!</definedName>
    <definedName name="_Sort" hidden="1">#REF!</definedName>
    <definedName name="_Tit1">#N/A</definedName>
    <definedName name="_Tit2">#N/A</definedName>
    <definedName name="_Tit3">#N/A</definedName>
    <definedName name="_Tit4">#N/A</definedName>
    <definedName name="_top1">{30,140,350,160,"",""}</definedName>
    <definedName name="_tt1" hidden="1">{#N/A,#N/A,TRUE,"일정"}</definedName>
    <definedName name="_tt195">#REF!</definedName>
    <definedName name="_TTT1">#REF!</definedName>
    <definedName name="_xlnm._FilterDatabase" localSheetId="7" hidden="1">'Қўшимча ишга тушган'!$A$7:$CB$7</definedName>
    <definedName name="_xlnm._FilterDatabase" localSheetId="0" hidden="1">манзилли!$A$6:$AD$6</definedName>
    <definedName name="_xlnm._FilterDatabase" localSheetId="2" hidden="1">#REF!</definedName>
    <definedName name="_xlnm._FilterDatabase" localSheetId="6" hidden="1">'свод (сектор вилоят)'!$A$6:$BL$6</definedName>
    <definedName name="_xlnm._FilterDatabase" localSheetId="5" hidden="1">#REF!</definedName>
    <definedName name="_xlnm._FilterDatabase" localSheetId="4" hidden="1">#REF!</definedName>
    <definedName name="_xlnm._FilterDatabase" localSheetId="1" hidden="1">#REF!</definedName>
    <definedName name="_xlnm._FilterDatabase" localSheetId="3" hidden="1">#REF!</definedName>
    <definedName name="_xlnm._FilterDatabase" hidden="1">#REF!</definedName>
    <definedName name="a">{30,140,350,160,"",""}</definedName>
    <definedName name="a123456789">#REF!</definedName>
    <definedName name="a123457689">#REF!</definedName>
    <definedName name="A1ололо">#REF!</definedName>
    <definedName name="A6000000">#N/A</definedName>
    <definedName name="AA">#REF!</definedName>
    <definedName name="aaa">#REF!</definedName>
    <definedName name="aaaa">#REF!</definedName>
    <definedName name="aaasas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AB">#REF!</definedName>
    <definedName name="AB">#REF!</definedName>
    <definedName name="ABC">#REF!</definedName>
    <definedName name="AC">#REF!</definedName>
    <definedName name="ACC">#REF!</definedName>
    <definedName name="Access_Button" hidden="1">"Kaspl_5_ПЛАН_4_Таблица1"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"C:\Windows\Рабочий стол\ПК-17-2002\Шурчи.xls"</definedName>
    <definedName name="ACCTID">#N/A</definedName>
    <definedName name="ACNT">#N/A</definedName>
    <definedName name="ad">{30,140,350,160,"",""}</definedName>
    <definedName name="AE">#REF!</definedName>
    <definedName name="AE1148677">'[2]Жиззах янги раз'!#REF!</definedName>
    <definedName name="AE1148678">'[3]Жиззах янги раз'!#REF!</definedName>
    <definedName name="af">{30,140,350,160,"",""}</definedName>
    <definedName name="ag">#REF!</definedName>
    <definedName name="ah">{30,140,350,160,"",""}</definedName>
    <definedName name="AI">#REF!</definedName>
    <definedName name="aj">{30,140,350,160,"",""}</definedName>
    <definedName name="ak">{30,140,350,160,"",""}</definedName>
    <definedName name="AKNO">#N/A</definedName>
    <definedName name="AL">#REF!</definedName>
    <definedName name="ALL">#REF!</definedName>
    <definedName name="AM">#REF!</definedName>
    <definedName name="AN">#REF!</definedName>
    <definedName name="AO">#REF!</definedName>
    <definedName name="AP">#REF!</definedName>
    <definedName name="aq">{30,140,350,160,"",""}</definedName>
    <definedName name="aqz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R">#REF!</definedName>
    <definedName name="as">{30,140,350,160,"",""}</definedName>
    <definedName name="asd">{30,140,350,160,"",""}</definedName>
    <definedName name="asdasdawedwqd">{30,140,350,160,"",""}</definedName>
    <definedName name="ASDFASAS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ASGAS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U">#REF!</definedName>
    <definedName name="AV">#REF!</definedName>
    <definedName name="AW">#REF!</definedName>
    <definedName name="AX">#REF!</definedName>
    <definedName name="AY">#REF!</definedName>
    <definedName name="az">{30,140,350,160,"",""}</definedName>
    <definedName name="b">{30,140,350,160,"",""}</definedName>
    <definedName name="B10ADS1">#REF!</definedName>
    <definedName name="BA">#REF!</definedName>
    <definedName name="BAC">#REF!</definedName>
    <definedName name="Baht">#REF!</definedName>
    <definedName name="Balans">[4]BAL!$A$1:$O$1858</definedName>
    <definedName name="BB">#REF!</definedName>
    <definedName name="BBB">#REF!</definedName>
    <definedName name="BC">#REF!</definedName>
    <definedName name="BD">#REF!</definedName>
    <definedName name="BE">#REF!</definedName>
    <definedName name="Beg_Bal">#REF!</definedName>
    <definedName name="BF">#REF!</definedName>
    <definedName name="BG">#REF!</definedName>
    <definedName name="BH">#REF!</definedName>
    <definedName name="BI">#REF!</definedName>
    <definedName name="BJ">#REF!</definedName>
    <definedName name="BK">#REF!</definedName>
    <definedName name="BL">#REF!</definedName>
    <definedName name="BLOCK">#REF!</definedName>
    <definedName name="BM">#REF!</definedName>
    <definedName name="bn">{30,140,350,160,"",""}</definedName>
    <definedName name="BO">#REF!</definedName>
    <definedName name="BPU">#REF!,#REF!</definedName>
    <definedName name="BQ">#REF!</definedName>
    <definedName name="BR">#REF!</definedName>
    <definedName name="BS">#REF!</definedName>
    <definedName name="BT">#REF!</definedName>
    <definedName name="BU">#REF!</definedName>
    <definedName name="busday">35961</definedName>
    <definedName name="Button_4">"прогноз_доходов_2005_помесяц__уд_вес_помесячный_Таблица"</definedName>
    <definedName name="BV">#REF!</definedName>
    <definedName name="bvc">{30,140,350,160,"",""}</definedName>
    <definedName name="bvhk">#REF!,#REF!,#REF!</definedName>
    <definedName name="BW">#REF!</definedName>
    <definedName name="BX">#REF!</definedName>
    <definedName name="BY">#REF!</definedName>
    <definedName name="BZ">#REF!</definedName>
    <definedName name="CA">#REF!</definedName>
    <definedName name="can">#REF!</definedName>
    <definedName name="CAPA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B">#REF!</definedName>
    <definedName name="cbvx">#REF!</definedName>
    <definedName name="CC">#REF!</definedName>
    <definedName name="ccc">#REF!</definedName>
    <definedName name="CD">#REF!</definedName>
    <definedName name="CE">#REF!</definedName>
    <definedName name="CF">#REF!</definedName>
    <definedName name="CG">#REF!</definedName>
    <definedName name="ch">TRUNC((oy-1)/3+1)</definedName>
    <definedName name="cho" hidden="1">{"'Monthly 1997'!$A$3:$S$89"}</definedName>
    <definedName name="chpr">4</definedName>
    <definedName name="chst">4</definedName>
    <definedName name="CI">#REF!</definedName>
    <definedName name="CJ">#REF!</definedName>
    <definedName name="CK">#REF!</definedName>
    <definedName name="CL">#REF!</definedName>
    <definedName name="cm">8</definedName>
    <definedName name="cmndBase">#REF!</definedName>
    <definedName name="cmndDayMonthTo">#REF!</definedName>
    <definedName name="cmndDays">#REF!</definedName>
    <definedName name="cmndDocNum">#REF!</definedName>
    <definedName name="cmndDocSer">#REF!</definedName>
    <definedName name="cmndFIO">#REF!</definedName>
    <definedName name="cmndOrdDay">#REF!</definedName>
    <definedName name="cmndOrdMonth">#REF!</definedName>
    <definedName name="cmndOrdNum">#REF!</definedName>
    <definedName name="cmndOrdYear">#REF!</definedName>
    <definedName name="cmndPoint">#REF!</definedName>
    <definedName name="cmndPoint1">#REF!</definedName>
    <definedName name="cmndPos">#REF!</definedName>
    <definedName name="cmndYearTo">#REF!</definedName>
    <definedName name="cn">6</definedName>
    <definedName name="cntAddition">#REF!</definedName>
    <definedName name="cntDay">#REF!</definedName>
    <definedName name="cntMonth">#REF!</definedName>
    <definedName name="cntName">#REF!</definedName>
    <definedName name="cntNumber">#REF!</definedName>
    <definedName name="cntPayer">#REF!</definedName>
    <definedName name="cntPayer1">#REF!</definedName>
    <definedName name="cntPayerAddr1">#REF!</definedName>
    <definedName name="cntPayerAddr2">#REF!</definedName>
    <definedName name="cntPayerBank1">#REF!</definedName>
    <definedName name="cntPayerBank2">#REF!</definedName>
    <definedName name="cntPayerBank3">#REF!</definedName>
    <definedName name="cntPayerCount">#REF!</definedName>
    <definedName name="cntPayerCountCor">#REF!</definedName>
    <definedName name="cntPriceC">#REF!</definedName>
    <definedName name="cntPriceR">#REF!</definedName>
    <definedName name="cntQnt">#REF!</definedName>
    <definedName name="CNTR">#N/A</definedName>
    <definedName name="cntSumC">#REF!</definedName>
    <definedName name="cntSumR">#REF!</definedName>
    <definedName name="cntSuppAddr1">#REF!</definedName>
    <definedName name="cntSuppAddr2">#REF!</definedName>
    <definedName name="cntSuppBank">#REF!</definedName>
    <definedName name="cntSuppCount">#REF!</definedName>
    <definedName name="cntSuppCountCor">#REF!</definedName>
    <definedName name="cntSupplier">#REF!</definedName>
    <definedName name="cntSuppMFO1">#REF!</definedName>
    <definedName name="cntSuppMFO2">#REF!</definedName>
    <definedName name="cntSuppTlf">#REF!</definedName>
    <definedName name="cntUnit">#REF!</definedName>
    <definedName name="cntYear">#REF!</definedName>
    <definedName name="CODE">#REF!</definedName>
    <definedName name="col_file">21</definedName>
    <definedName name="COSTCNTR">#N/A</definedName>
    <definedName name="count">15</definedName>
    <definedName name="Criteria">#REF!</definedName>
    <definedName name="Criteria_MI">#REF!</definedName>
    <definedName name="curday">36934</definedName>
    <definedName name="CURR">#N/A</definedName>
    <definedName name="cvb">{30,140,350,160,"",""}</definedName>
    <definedName name="cy">2001</definedName>
    <definedName name="d">3</definedName>
    <definedName name="dac" localSheetId="7">[0]!_a1Z,[0]!_a2Z</definedName>
    <definedName name="dac" localSheetId="2">[0]!_a1Z,[0]!_a2Z</definedName>
    <definedName name="dac" localSheetId="5">[0]!_a1Z,[0]!_a2Z</definedName>
    <definedName name="dac" localSheetId="4">[0]!_a1Z,[0]!_a2Z</definedName>
    <definedName name="dac" localSheetId="3">[0]!_a1Z,[0]!_a2Z</definedName>
    <definedName name="dac">[0]!_a1Z,[0]!_a2Z</definedName>
    <definedName name="DAF">#REF!</definedName>
    <definedName name="data">#REF!</definedName>
    <definedName name="Data_VDS">#REF!</definedName>
    <definedName name="DATA1">#N/A</definedName>
    <definedName name="DATA2">#N/A</definedName>
    <definedName name="DATA3">#REF!</definedName>
    <definedName name="DATA4">#REF!</definedName>
    <definedName name="Database">#REF!</definedName>
    <definedName name="Database_MI">#REF!</definedName>
    <definedName name="date_name">"970417"</definedName>
    <definedName name="DCID">#N/A</definedName>
    <definedName name="ddd" hidden="1">{#N/A,#N/A,TRUE,"일정"}</definedName>
    <definedName name="ddddd">#REF!</definedName>
    <definedName name="dddddd">TRUNC((oy-1)/3+1)</definedName>
    <definedName name="dddddddd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DDDOOO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DDE">#REF!</definedName>
    <definedName name="DESCRIP">#N/A</definedName>
    <definedName name="df">{30,140,350,160,"",""}</definedName>
    <definedName name="DFDSF">#REF!</definedName>
    <definedName name="dfg">#REF!</definedName>
    <definedName name="DFT">#REF!,#REF!,#REF!,#REF!,#REF!,#REF!,#REF!</definedName>
    <definedName name="dg">#REF!</definedName>
    <definedName name="dmax">0</definedName>
    <definedName name="DOCUNO">#N/A</definedName>
    <definedName name="Dollar">#REF!</definedName>
    <definedName name="ds">3799</definedName>
    <definedName name="dse">{30,140,350,160,"",""}</definedName>
    <definedName name="dsst">35</definedName>
    <definedName name="dst">34</definedName>
    <definedName name="DU7월Order_J">#REF!</definedName>
    <definedName name="DU7월Order_V">#REF!</definedName>
    <definedName name="DU8월Order_J">#REF!</definedName>
    <definedName name="DU8월Order_V">#REF!</definedName>
    <definedName name="dvrCustomer">#REF!</definedName>
    <definedName name="dvrDay">#REF!</definedName>
    <definedName name="dvrDocDay">#REF!</definedName>
    <definedName name="dvrDocIss">#REF!</definedName>
    <definedName name="dvrDocMonth">#REF!</definedName>
    <definedName name="dvrDocNum">#REF!</definedName>
    <definedName name="dvrDocSer">#REF!</definedName>
    <definedName name="dvrDocYear">#REF!</definedName>
    <definedName name="dvrMonth">#REF!</definedName>
    <definedName name="dvrName">#REF!</definedName>
    <definedName name="dvrNo">#REF!</definedName>
    <definedName name="dvrNumber">#REF!</definedName>
    <definedName name="dvrOrder">#REF!</definedName>
    <definedName name="dvrPayer">#REF!</definedName>
    <definedName name="dvrPayerBank1">#REF!</definedName>
    <definedName name="dvrPayerBank2">#REF!</definedName>
    <definedName name="dvrPayerCount">#REF!</definedName>
    <definedName name="dvrQnt">#REF!</definedName>
    <definedName name="dvrReceiver">#REF!</definedName>
    <definedName name="dvrSupplier">#REF!</definedName>
    <definedName name="dvrUnit">#REF!</definedName>
    <definedName name="dvrValidDay">#REF!</definedName>
    <definedName name="dvrValidMonth">#REF!</definedName>
    <definedName name="dvrValidYear">#REF!</definedName>
    <definedName name="dvrYear">#REF!</definedName>
    <definedName name="e">{30,140,350,160,"",""}</definedName>
    <definedName name="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lkAddr1">#REF!</definedName>
    <definedName name="elkAddr2">#REF!</definedName>
    <definedName name="elkCount">#REF!</definedName>
    <definedName name="elkCountFrom">#REF!</definedName>
    <definedName name="elkCountTo">#REF!</definedName>
    <definedName name="elkDateFrom">#REF!</definedName>
    <definedName name="elkDateTo">#REF!</definedName>
    <definedName name="elkDiscount">#REF!</definedName>
    <definedName name="elkKAddr1">#REF!</definedName>
    <definedName name="elkKAddr2">#REF!</definedName>
    <definedName name="elkKCount">#REF!</definedName>
    <definedName name="elkKCountFrom">#REF!</definedName>
    <definedName name="elkKCountTo">#REF!</definedName>
    <definedName name="elkKDateFrom">#REF!</definedName>
    <definedName name="elkKDateTo">#REF!</definedName>
    <definedName name="elkKDiscount">#REF!</definedName>
    <definedName name="elkKNumber">#REF!</definedName>
    <definedName name="elkKSumC">#REF!</definedName>
    <definedName name="elkKSumR">#REF!</definedName>
    <definedName name="elkKTarif">#REF!</definedName>
    <definedName name="elkNumber">#REF!</definedName>
    <definedName name="elkSumC">#REF!</definedName>
    <definedName name="elkSumR">#REF!</definedName>
    <definedName name="elkTarif">#REF!</definedName>
    <definedName name="er">#REF!</definedName>
    <definedName name="EURO97">#REF!</definedName>
    <definedName name="EURO98">#REF!</definedName>
    <definedName name="ew">{30,140,350,160,"",""}</definedName>
    <definedName name="Excel_BuiltIn__FilterDatabase_3">#REF!</definedName>
    <definedName name="Excel_BuiltIn_Print_Area_3">#REF!</definedName>
    <definedName name="Excel_BuiltIn_Print_Area_70">#REF!</definedName>
    <definedName name="Excel_BuiltIn_Print_Titles_3">#REF!</definedName>
    <definedName name="EXHRATE">#N/A</definedName>
    <definedName name="EXP">#REF!</definedName>
    <definedName name="Extract">#REF!</definedName>
    <definedName name="Extract_MI">#REF!</definedName>
    <definedName name="ey">{30,140,350,160,"",""}</definedName>
    <definedName name="F">#REF!</definedName>
    <definedName name="fd">#REF!</definedName>
    <definedName name="fdghsssssrdy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ds">#REF!</definedName>
    <definedName name="fdsdfsfdsfdsfds" hidden="1">{#N/A,#N/A,FALSE,"BODY"}</definedName>
    <definedName name="FFF">#REF!</definedName>
    <definedName name="ffffff">#REF!</definedName>
    <definedName name="ffx" hidden="1">{#N/A,#N/A,FALSE,"BODY"}</definedName>
    <definedName name="fg">#REF!</definedName>
    <definedName name="fgfh">#REF!</definedName>
    <definedName name="fgh">#REF!</definedName>
    <definedName name="filenam">"111.csv"</definedName>
    <definedName name="FINDATE">#REF!</definedName>
    <definedName name="First_Year">#REF!</definedName>
    <definedName name="flk">#REF!</definedName>
    <definedName name="fn">"JP"</definedName>
    <definedName name="fr">#REF!</definedName>
    <definedName name="front_2" hidden="1">{#N/A,#N/A,FALSE,"BODY"}</definedName>
    <definedName name="FullDate">#N/A</definedName>
    <definedName name="G">#REF!</definedName>
    <definedName name="gf">{30,140,350,160,"",""}</definedName>
    <definedName name="GFAS">#N/A</definedName>
    <definedName name="ggg">#REF!</definedName>
    <definedName name="ghghgh">#REF!</definedName>
    <definedName name="ghj">#REF!</definedName>
    <definedName name="h">{30,140,350,160,"",""}</definedName>
    <definedName name="HEAT">#REF!</definedName>
    <definedName name="hf">{30,140,350,160,"",""}</definedName>
    <definedName name="hgh">{30,140,350,160,"",""}</definedName>
    <definedName name="hghghghghghgh">#REF!</definedName>
    <definedName name="hhh">#REF!</definedName>
    <definedName name="hhj">#REF!</definedName>
    <definedName name="hj">#REF!</definedName>
    <definedName name="hkj">#REF!</definedName>
    <definedName name="HTML_CodePage" hidden="1">874</definedName>
    <definedName name="HTML_Control" hidden="1">{"'Monthly 1997'!$A$3:$S$89"}</definedName>
    <definedName name="HTML_Control1" hidden="1">{"'Monthly 1997'!$A$3:$S$89"}</definedName>
    <definedName name="HTML_Header" hidden="1">"7-2지역별"</definedName>
    <definedName name="HTML_LastUpdate" hidden="1">"98-11-28"</definedName>
    <definedName name="HTML_LineAfter" hidden="1">FALSE</definedName>
    <definedName name="HTML_LineBefore" hidden="1">FALSE</definedName>
    <definedName name="HTML_Name" hidden="1">"서준호"</definedName>
    <definedName name="HTML_OBDlg2" hidden="1">FALSE</definedName>
    <definedName name="HTML_OBDlg3" hidden="1">TRUE</definedName>
    <definedName name="HTML_OBDlg4" hidden="1">TRUE</definedName>
    <definedName name="HTML_OS" hidden="1">0</definedName>
    <definedName name="HTML_PathFile" hidden="1">"\\Der2\vol1\DATABANK\DOWNLOAD\tab4-17.htm"</definedName>
    <definedName name="HTML_PathTemplate" hidden="1">"\\Der2\vol1\DATABANK\DOWNLOAD\Head4-17.htm"</definedName>
    <definedName name="HTML_Title" hidden="1">"월보"</definedName>
    <definedName name="HTML1_1" hidden="1">"[CERTV4.XLS]CERTV2!$A$2:$AR$288"</definedName>
    <definedName name="HTML1_10" hidden="1">"french.roberts@epamail.epa.gov"</definedName>
    <definedName name="HTML1_11" hidden="1">1</definedName>
    <definedName name="HTML1_12" hidden="1">"C:\FRENCH\TP_STDS\MyHTML.htm"</definedName>
    <definedName name="HTML1_2" hidden="1">1</definedName>
    <definedName name="HTML1_3" hidden="1">"Federal and California Tailpipe Emission Standards"</definedName>
    <definedName name="HTML1_4" hidden="1">"Emission Standards"</definedName>
    <definedName name="HTML1_5" hidden="1">""</definedName>
    <definedName name="HTML1_6" hidden="1">-4146</definedName>
    <definedName name="HTML1_7" hidden="1">-4146</definedName>
    <definedName name="HTML1_8" hidden="1">"2/10/97"</definedName>
    <definedName name="HTML1_9" hidden="1">"Roberts French"</definedName>
    <definedName name="HTML2_1" hidden="1">"'[CERTV8.XLS]LDV &amp; LLDT FTP (2)'!$A$7:$Q$34"</definedName>
    <definedName name="HTML2_10" hidden="1">""</definedName>
    <definedName name="HTML2_11" hidden="1">-4146</definedName>
    <definedName name="HTML2_12" hidden="1">"C:\FRENCH\MyHTML.htm"</definedName>
    <definedName name="HTML2_2" hidden="1">1</definedName>
    <definedName name="HTML2_3" hidden="1">"Exhaust Emission Certification Standards"</definedName>
    <definedName name="HTML2_4" hidden="1">"Federal Test Procedure"</definedName>
    <definedName name="HTML2_5" hidden="1">"Federal and California ProgramsLight-Duty Vehicles (Passenger Cars) and Light-Duty Trucks 0 - 6000 lbs GVWR"</definedName>
    <definedName name="HTML2_6" hidden="1">-4146</definedName>
    <definedName name="HTML2_7" hidden="1">1</definedName>
    <definedName name="HTML2_8" hidden="1">"8/15/97"</definedName>
    <definedName name="HTML2_9" hidden="1">""</definedName>
    <definedName name="HTML3_1" hidden="1">"[CERTV8.XLS]Sheet1!$A$17:$C$45"</definedName>
    <definedName name="HTML3_10" hidden="1">""</definedName>
    <definedName name="HTML3_11" hidden="1">1</definedName>
    <definedName name="HTML3_12" hidden="1">"C:\FRENCH\TP_STDS\DEFS.HTM"</definedName>
    <definedName name="HTML3_2" hidden="1">1</definedName>
    <definedName name="HTML3_3" hidden="1">"CERTV8"</definedName>
    <definedName name="HTML3_4" hidden="1">"Sheet1"</definedName>
    <definedName name="HTML3_5" hidden="1">""</definedName>
    <definedName name="HTML3_6" hidden="1">-4146</definedName>
    <definedName name="HTML3_7" hidden="1">-4146</definedName>
    <definedName name="HTML3_8" hidden="1">"8/15/97"</definedName>
    <definedName name="HTML3_9" hidden="1">"NVFEL"</definedName>
    <definedName name="HTML4_1" hidden="1">"'[CERTV8.XLS]LDV &amp; LLDT FTP (3)'!$A$1:$Q$32"</definedName>
    <definedName name="HTML4_10" hidden="1">""</definedName>
    <definedName name="HTML4_11" hidden="1">1</definedName>
    <definedName name="HTML4_12" hidden="1">"C:\FRENCH\TP_STDS\WEB\LDVLDT.HTM"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5_1" hidden="1">"'[CERTV8.XLS]HLDT &amp; MDV FTP (2)'!$A$1:$P$35"</definedName>
    <definedName name="HTML5_10" hidden="1">""</definedName>
    <definedName name="HTML5_11" hidden="1">1</definedName>
    <definedName name="HTML5_12" hidden="1">"C:\FRENCH\TP_STDS\WEB\hldt.htm"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""</definedName>
    <definedName name="HTML5_9" hidden="1">""</definedName>
    <definedName name="HTML6_1" hidden="1">"'[CERTV8.XLS]SFTP (3)'!$A$1:$O$25"</definedName>
    <definedName name="HTML6_10" hidden="1">""</definedName>
    <definedName name="HTML6_11" hidden="1">1</definedName>
    <definedName name="HTML6_12" hidden="1">"C:\FRENCH\TP_STDS\WEB\sftp.htm"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"'[CERTV8.XLS]Implementation (2)'!$A$1:$S$42"</definedName>
    <definedName name="HTML7_10" hidden="1">""</definedName>
    <definedName name="HTML7_11" hidden="1">1</definedName>
    <definedName name="HTML7_12" hidden="1">"C:\FRENCH\TP_STDS\WEB\implment.htm"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Count" hidden="1">7</definedName>
    <definedName name="hvv">#REF!</definedName>
    <definedName name="I">{30,140,350,160,"",""}</definedName>
    <definedName name="IDNO">#N/A</definedName>
    <definedName name="IMPORT">#REF!</definedName>
    <definedName name="INSERT">#REF!</definedName>
    <definedName name="INTINC">#N/A</definedName>
    <definedName name="INTRISSNO">#N/A</definedName>
    <definedName name="INTRRATE">#N/A</definedName>
    <definedName name="INVESTMENT" localSheetId="7">[0]!_a1Z,[0]!_a2Z</definedName>
    <definedName name="INVESTMENT" localSheetId="2">[0]!_a1Z,[0]!_a2Z</definedName>
    <definedName name="INVESTMENT" localSheetId="5">[0]!_a1Z,[0]!_a2Z</definedName>
    <definedName name="INVESTMENT" localSheetId="4">[0]!_a1Z,[0]!_a2Z</definedName>
    <definedName name="INVESTMENT" localSheetId="3">[0]!_a1Z,[0]!_a2Z</definedName>
    <definedName name="INVESTMENT">[0]!_a1Z,[0]!_a2Z</definedName>
    <definedName name="io">{30,140,350,160,"",""}</definedName>
    <definedName name="it">84</definedName>
    <definedName name="iu">{30,140,350,160,"",""}</definedName>
    <definedName name="iuy">{30,140,350,160,"",""}</definedName>
    <definedName name="j">{30,140,350,160,"",""}</definedName>
    <definedName name="jhjkfhkj">#REF!</definedName>
    <definedName name="jjkjkjkjkj">#REF!</definedName>
    <definedName name="jkkn">{30,140,350,160,"",""}</definedName>
    <definedName name="jlk">#REF!</definedName>
    <definedName name="JOB">#REF!</definedName>
    <definedName name="K">#REF!</definedName>
    <definedName name="Kbcn">{30,140,350,160,"",""}</definedName>
    <definedName name="kbcnjr" localSheetId="2" hidden="1">#REF!</definedName>
    <definedName name="kbcnjr" localSheetId="6" hidden="1">#REF!</definedName>
    <definedName name="kbcnjr" localSheetId="5" hidden="1">#REF!</definedName>
    <definedName name="kbcnjr" localSheetId="4" hidden="1">#REF!</definedName>
    <definedName name="kbcnjr" localSheetId="1" hidden="1">#REF!</definedName>
    <definedName name="kbcnjr" localSheetId="3" hidden="1">#REF!</definedName>
    <definedName name="kbcnjr" hidden="1">#REF!</definedName>
    <definedName name="kj">#REF!</definedName>
    <definedName name="kjl">#REF!,#REF!,#REF!</definedName>
    <definedName name="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JJHH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LJLK" hidden="1">{#N/A,#N/A,FALSE,"BODY"}</definedName>
    <definedName name="L">#N/A</definedName>
    <definedName name="L5A">#REF!</definedName>
    <definedName name="L5C">#REF!</definedName>
    <definedName name="L5CT">#REF!</definedName>
    <definedName name="L5H">#REF!</definedName>
    <definedName name="L5I">#REF!</definedName>
    <definedName name="L5N">#REF!</definedName>
    <definedName name="L5Q">#REF!</definedName>
    <definedName name="LANOS">#REF!</definedName>
    <definedName name="Last_Row">#N/A</definedName>
    <definedName name="lastday">37165</definedName>
    <definedName name="LGL">#REF!,#REF!</definedName>
    <definedName name="LGR">#REF!,#REF!</definedName>
    <definedName name="LIM">#REF!</definedName>
    <definedName name="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ocal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lora">TRUNC((oy-1)/3+1)</definedName>
    <definedName name="LOTNO">#N/A</definedName>
    <definedName name="M">#REF!</definedName>
    <definedName name="m_AA">#REF!</definedName>
    <definedName name="MANSUROV" hidden="1">{"Income",#N/A,TRUE,"Income ";"Balance",#N/A,TRUE,"Balance";"Deposits by Client Type",#N/A,TRUE,"Deposits by Client";"Commitments and Contingencies",#N/A,TRUE,"Commitments";"Analysis of Interest",#N/A,TRUE,"Analysis of Inerest";"Liquidity Analysis",#N/A,TRUE,"Liquidity Analysis";"Investment Securities",#N/A,TRUE,"Investment Securities";"Miscellaneous",#N/A,TRUE,"Miscellaneous";"Changes in Equity Capital",#N/A,TRUE,"Changes in Equity";"Aging Analysis",#N/A,TRUE,"Aging Analysis";"Loans Receivable",#N/A,TRUE,"Loans Receivable";"Calculation of Risk Weighted Assets",#N/A,TRUE,"Calculation of Risk Weighted As";"Bank Capital Calculation",#N/A,TRUE,"Bank Capital Calc.";"Bank Asset Analysis",#N/A,TRUE,"Bank Assets Analysis";"Twenty Largest",#N/A,TRUE,"Twenty Largest";"Reconciliation",#N/A,TRUE,"Recociliation ";"Loans to Affiliated Persons",#N/A,TRUE,"Loans to Affiliated P.";"Loan Classification",#N/A,TRUE,"Loan Classification";"Bank Liabilities",#N/A,TRUE,"Bank Liabilities Analysis";"Charge Offs",#N/A,TRUE,"Charge-offs and Recoveries"}</definedName>
    <definedName name="MARKET">#REF!</definedName>
    <definedName name="MARKET2">#REF!</definedName>
    <definedName name="MARKET3">#REF!</definedName>
    <definedName name="MARKET4">#REF!</definedName>
    <definedName name="max">'[5]Зан-ть(р-ны)'!$5:$5</definedName>
    <definedName name="mfo">"00126"</definedName>
    <definedName name="MFT">#REF!,#REF!,#REF!,#REF!</definedName>
    <definedName name="MFTU">#REF!,#REF!,#REF!,#REF!</definedName>
    <definedName name="mn">"Август"</definedName>
    <definedName name="Money1">#REF!</definedName>
    <definedName name="Money2">#REF!</definedName>
    <definedName name="MONTH">#N/A</definedName>
    <definedName name="monthl" hidden="1">{"'Monthly 1997'!$A$3:$S$89"}</definedName>
    <definedName name="Monthly" hidden="1">{"'Monthly 1997'!$A$3:$S$89"}</definedName>
    <definedName name="MSIX">#REF!</definedName>
    <definedName name="mtg">#REF!</definedName>
    <definedName name="MTHREE">#REF!</definedName>
    <definedName name="n">{30,140,350,160,"",""}</definedName>
    <definedName name="naim">1</definedName>
    <definedName name="nakDay">#REF!</definedName>
    <definedName name="nakFrom">#REF!</definedName>
    <definedName name="nakMonth">#REF!</definedName>
    <definedName name="nakName">#REF!</definedName>
    <definedName name="nakNo">#REF!</definedName>
    <definedName name="nakNumber">#REF!</definedName>
    <definedName name="nakPriceC">#REF!</definedName>
    <definedName name="nakPriceR">#REF!</definedName>
    <definedName name="nakQnt">#REF!</definedName>
    <definedName name="nakSumC">#REF!</definedName>
    <definedName name="nakSumR">#REF!</definedName>
    <definedName name="nakTo">#REF!</definedName>
    <definedName name="nakYear">#REF!</definedName>
    <definedName name="nb">{30,140,350,160,"",""}</definedName>
    <definedName name="nbv">{30,140,350,160,"",""}</definedName>
    <definedName name="NDEDUINDC">#N/A</definedName>
    <definedName name="NFT">#REF!,#REF!,#REF!,#REF!</definedName>
    <definedName name="nhg">{30,140,350,160,"",""}</definedName>
    <definedName name="nj">#REF!</definedName>
    <definedName name="nn">26</definedName>
    <definedName name="NNN">#REF!</definedName>
    <definedName name="no">15</definedName>
    <definedName name="nonbaht">#REF!</definedName>
    <definedName name="novtab">'[5]Зан-ть(р-ны)'!$5:$5</definedName>
    <definedName name="np">1</definedName>
    <definedName name="nsst">31</definedName>
    <definedName name="nst">32</definedName>
    <definedName name="Num_Pmt_Per_Year">#REF!</definedName>
    <definedName name="numb">65000</definedName>
    <definedName name="Number_of_Payments" localSheetId="7">MATCH(0.01,End_Bal,-1)+1</definedName>
    <definedName name="Number_of_Payments" localSheetId="2">MATCH(0.01,End_Bal,-1)+1</definedName>
    <definedName name="Number_of_Payments" localSheetId="5">MATCH(0.01,End_Bal,-1)+1</definedName>
    <definedName name="Number_of_Payments" localSheetId="4">MATCH(0.01,End_Bal,-1)+1</definedName>
    <definedName name="Number_of_Payments" localSheetId="3">MATCH(0.01,End_Bal,-1)+1</definedName>
    <definedName name="Number_of_Payments">MATCH(0.01,End_Bal,-1)+1</definedName>
    <definedName name="o">{30,140,350,160,"",""}</definedName>
    <definedName name="obshiyT">#REF!</definedName>
    <definedName name="obsN">#REF!</definedName>
    <definedName name="OFF_ROAD">#REF!,#REF!,#REF!,#REF!,#REF!,#REF!,#REF!,#REF!,#REF!,#REF!,#REF!,#REF!</definedName>
    <definedName name="oiu">{30,140,350,160,"",""}</definedName>
    <definedName name="OLE_LINK1">#REF!</definedName>
    <definedName name="OLE_LINK3">#REF!</definedName>
    <definedName name="OLE_LINK6">#REF!</definedName>
    <definedName name="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p">#REF!</definedName>
    <definedName name="oy">#N/A</definedName>
    <definedName name="p">{30,140,350,160,"",""}</definedName>
    <definedName name="PACK" hidden="1">{#N/A,#N/A,FALSE,"BODY"}</definedName>
    <definedName name="PACKING" hidden="1">{#N/A,#N/A,FALSE,"BODY"}</definedName>
    <definedName name="PACKINGLIST" hidden="1">{#N/A,#N/A,FALSE,"BODY"}</definedName>
    <definedName name="PARTNO">#N/A</definedName>
    <definedName name="Pay_Num">#REF!</definedName>
    <definedName name="pds">#REF!</definedName>
    <definedName name="Per_Nam">#N/A</definedName>
    <definedName name="Person">#N/A</definedName>
    <definedName name="perv">#REF!</definedName>
    <definedName name="pjv">#REF!</definedName>
    <definedName name="PL" hidden="1">{#N/A,#N/A,FALSE,"BODY"}</definedName>
    <definedName name="pmnCCode1">#REF!</definedName>
    <definedName name="pmnCCode2">#REF!</definedName>
    <definedName name="pmnDay">#REF!</definedName>
    <definedName name="pmnDCode1">#REF!</definedName>
    <definedName name="pmnDCode2">#REF!</definedName>
    <definedName name="pmnDirection">#REF!</definedName>
    <definedName name="pmnMonth">#REF!</definedName>
    <definedName name="pmnNumber">#REF!</definedName>
    <definedName name="pmnOper">#REF!</definedName>
    <definedName name="pmnPayer">#REF!</definedName>
    <definedName name="pmnPayer1">#REF!</definedName>
    <definedName name="pmnPayerBank1">#REF!</definedName>
    <definedName name="pmnPayerBank2">#REF!</definedName>
    <definedName name="pmnPayerBank3">#REF!</definedName>
    <definedName name="pmnPayerCode">#REF!</definedName>
    <definedName name="pmnPayerCount1">#REF!</definedName>
    <definedName name="pmnPayerCount2">#REF!</definedName>
    <definedName name="pmnPayerCount3">#REF!</definedName>
    <definedName name="pmnRecBank1">#REF!</definedName>
    <definedName name="pmnRecBank2">#REF!</definedName>
    <definedName name="pmnRecBank3">#REF!</definedName>
    <definedName name="pmnRecCode">#REF!</definedName>
    <definedName name="pmnRecCount1">#REF!</definedName>
    <definedName name="pmnRecCount2">#REF!</definedName>
    <definedName name="pmnRecCount3">#REF!</definedName>
    <definedName name="pmnReceiver">#REF!</definedName>
    <definedName name="pmnReceiver1">#REF!</definedName>
    <definedName name="pmnSum1">#REF!</definedName>
    <definedName name="pmnSum2">#REF!</definedName>
    <definedName name="pmnWNalog">#REF!</definedName>
    <definedName name="pmnWSum1">#REF!</definedName>
    <definedName name="pmnWSum2">#REF!</definedName>
    <definedName name="pmnWSum3">#REF!</definedName>
    <definedName name="pmnYear">#REF!</definedName>
    <definedName name="PMon2">#N/A</definedName>
    <definedName name="PNOTENO">#N/A</definedName>
    <definedName name="PNumMon">#N/A</definedName>
    <definedName name="po">{30,140,350,160,"",""}</definedName>
    <definedName name="porn">1501</definedName>
    <definedName name="pp">#REF!</definedName>
    <definedName name="priApplication1">#REF!</definedName>
    <definedName name="priApplication2">#REF!</definedName>
    <definedName name="priDate1">#REF!</definedName>
    <definedName name="priDate2">#REF!</definedName>
    <definedName name="priKDay">#REF!</definedName>
    <definedName name="priKMonth">#REF!</definedName>
    <definedName name="priKNumber">#REF!</definedName>
    <definedName name="priKOrgn">#REF!</definedName>
    <definedName name="priKPayer1">#REF!</definedName>
    <definedName name="priKPayer2">#REF!</definedName>
    <definedName name="priKPayer3">#REF!</definedName>
    <definedName name="priKSubject1">#REF!</definedName>
    <definedName name="priKSubject2">#REF!</definedName>
    <definedName name="priKSubject3">#REF!</definedName>
    <definedName name="priKWSum1">#REF!</definedName>
    <definedName name="priKWSum2">#REF!</definedName>
    <definedName name="priKWSum3">#REF!</definedName>
    <definedName name="priKWSum4">#REF!</definedName>
    <definedName name="priKWSum5">#REF!</definedName>
    <definedName name="priKWSumC">#REF!</definedName>
    <definedName name="priKYear">#REF!</definedName>
    <definedName name="Prim1">#N/A</definedName>
    <definedName name="Prim2">#N/A</definedName>
    <definedName name="Prim3">#N/A</definedName>
    <definedName name="Prim4">#N/A</definedName>
    <definedName name="PRIMAMT">#N/A</definedName>
    <definedName name="Print_3_pages">#REF!,#REF!,#REF!</definedName>
    <definedName name="Print_Area">#REF!</definedName>
    <definedName name="Print_Area_MI">#REF!</definedName>
    <definedName name="Print_Titles">#REF!</definedName>
    <definedName name="Print_Titles_MI">#REF!</definedName>
    <definedName name="print3pages">#REF!,#REF!,#REF!</definedName>
    <definedName name="PRINT객ITLES">#REF!</definedName>
    <definedName name="PRINT객ITLES강I">#REF!</definedName>
    <definedName name="PRINTㅣREA">#REF!</definedName>
    <definedName name="PRINTㅣREA강I">#REF!</definedName>
    <definedName name="priNumber">#REF!</definedName>
    <definedName name="priOrgn">#REF!</definedName>
    <definedName name="priPayer">#REF!</definedName>
    <definedName name="priSubject1">#REF!</definedName>
    <definedName name="priSubject2">#REF!</definedName>
    <definedName name="priSum">#REF!</definedName>
    <definedName name="priWSum1">#REF!</definedName>
    <definedName name="priWSum2">#REF!</definedName>
    <definedName name="priWSumC">#REF!</definedName>
    <definedName name="ProcDiscount">[6]Store!$B$128</definedName>
    <definedName name="PROJNO">#N/A</definedName>
    <definedName name="PYear2">#N/A</definedName>
    <definedName name="q">{30,140,350,160,"",""}</definedName>
    <definedName name="qn">32</definedName>
    <definedName name="qqq">#REF!</definedName>
    <definedName name="qqqqqqqqqqq">#REF!</definedName>
    <definedName name="QTY">#N/A</definedName>
    <definedName name="qw">{30,140,350,160,"",""}</definedName>
    <definedName name="qwe">{30,140,350,160,"",""}</definedName>
    <definedName name="rasApplication1">#REF!</definedName>
    <definedName name="rasApplication2">#REF!</definedName>
    <definedName name="rasDate1">#REF!</definedName>
    <definedName name="rasDate2">#REF!</definedName>
    <definedName name="rasDoc1">#REF!</definedName>
    <definedName name="rasDoc2">#REF!</definedName>
    <definedName name="Rasmot">#REF!</definedName>
    <definedName name="rasNumber">#REF!</definedName>
    <definedName name="rasOrgn">#REF!</definedName>
    <definedName name="rasRecDay">#REF!</definedName>
    <definedName name="rasReceiver">#REF!</definedName>
    <definedName name="rasRecMonth">#REF!</definedName>
    <definedName name="rasRecYear">#REF!</definedName>
    <definedName name="rasSubject1">#REF!</definedName>
    <definedName name="rasSubject2">#REF!</definedName>
    <definedName name="rasSum">#REF!</definedName>
    <definedName name="rasWRecSum1">#REF!</definedName>
    <definedName name="rasWRecSum2">#REF!</definedName>
    <definedName name="rasWRecSumC">#REF!</definedName>
    <definedName name="rasWSum1">#REF!</definedName>
    <definedName name="rasWSum2">#REF!</definedName>
    <definedName name="rasWSumC">#REF!</definedName>
    <definedName name="razdel">2</definedName>
    <definedName name="RCPTNO">#N/A</definedName>
    <definedName name="re">{30,140,350,160,"",""}</definedName>
    <definedName name="Recorder">#REF!</definedName>
    <definedName name="REFNO">#REF!</definedName>
    <definedName name="REMARK">#N/A</definedName>
    <definedName name="Results">[7]Results!#REF!</definedName>
    <definedName name="rew">{30,140,350,160,"",""}</definedName>
    <definedName name="rexfn">#REF!</definedName>
    <definedName name="rfff">#REF!</definedName>
    <definedName name="rfkmr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RHD">#N/A</definedName>
    <definedName name="RM">#REF!</definedName>
    <definedName name="RNCLTYPE">#N/A</definedName>
    <definedName name="RO">#REF!</definedName>
    <definedName name="rom">#N/A</definedName>
    <definedName name="ROW">#REF!</definedName>
    <definedName name="rs">"20210000600555081001"</definedName>
    <definedName name="RT">#REF!</definedName>
    <definedName name="rtew">{30,140,350,160,"",""}</definedName>
    <definedName name="Rw">#REF!</definedName>
    <definedName name="RY">#REF!</definedName>
    <definedName name="S">#REF!</definedName>
    <definedName name="sa">{30,140,350,160,"",""}</definedName>
    <definedName name="sana">DATE(yil,oy,1)</definedName>
    <definedName name="sc">""</definedName>
    <definedName name="schet">#REF!</definedName>
    <definedName name="sd">{30,140,350,160,"",""}</definedName>
    <definedName name="sdfg">#REF!</definedName>
    <definedName name="sdfsfdf">#REF!</definedName>
    <definedName name="se">{30,140,350,160,"",""}</definedName>
    <definedName name="self">2</definedName>
    <definedName name="SERNO">#N/A</definedName>
    <definedName name="SetBanks">#N/A</definedName>
    <definedName name="SetDay">#N/A</definedName>
    <definedName name="sf">{30,140,350,160,"",""}</definedName>
    <definedName name="shsssreywwet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LRCPTNO">#N/A</definedName>
    <definedName name="SLSERNO">#N/A</definedName>
    <definedName name="spec">5</definedName>
    <definedName name="spis">"База_данных"</definedName>
    <definedName name="ss">{30,140,350,160,"",""}</definedName>
    <definedName name="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S">#N/A</definedName>
    <definedName name="sst">"'[2002 йил.xls]данные'!$A$1:$N#3798"</definedName>
    <definedName name="st">"'[2002 йил.xls]Банклар'!$A$1:$C#24"</definedName>
    <definedName name="StartDate">#REF!</definedName>
    <definedName name="STDATE">#REF!</definedName>
    <definedName name="SUMMARY">#REF!</definedName>
    <definedName name="sung" hidden="1">{"'Monthly 1997'!$A$3:$S$89"}</definedName>
    <definedName name="sung2" hidden="1">{"'Monthly 1997'!$A$3:$S$89"}</definedName>
    <definedName name="t">{30,140,350,160,"",""}</definedName>
    <definedName name="TableName">"Dummy"</definedName>
    <definedName name="Tablica1Структура_рабочих_мест_по_формам_собственности_и_по_видам_деятельности_созданных">#REF!</definedName>
    <definedName name="TANK_BAFFLE">#REF!</definedName>
    <definedName name="TEMPQTY">#N/A</definedName>
    <definedName name="TEST">#REF!</definedName>
    <definedName name="test1">#REF!</definedName>
    <definedName name="test2">#REF!</definedName>
    <definedName name="TFT">#REF!,#REF!,#REF!,#REF!</definedName>
    <definedName name="th">#REF!</definedName>
    <definedName name="title_date">"17.01.96"</definedName>
    <definedName name="titlename">"Выполнение плана реализации по бытовому сектору за 1997 год"</definedName>
    <definedName name="tlfAprt">#REF!</definedName>
    <definedName name="tlfBank">#REF!</definedName>
    <definedName name="tlfCorp">#REF!</definedName>
    <definedName name="tlfCount">#REF!</definedName>
    <definedName name="tlfFIO">#REF!</definedName>
    <definedName name="tlfHouse">#REF!</definedName>
    <definedName name="tlfKAprt">#REF!</definedName>
    <definedName name="tlfKBank">#REF!</definedName>
    <definedName name="tlfKCorp">#REF!</definedName>
    <definedName name="tlfKCount">#REF!</definedName>
    <definedName name="tlfKFio">#REF!</definedName>
    <definedName name="tlfKHouse">#REF!</definedName>
    <definedName name="tlfKMonth">#REF!</definedName>
    <definedName name="tlfKStreet">#REF!</definedName>
    <definedName name="tlfKSum">#REF!</definedName>
    <definedName name="tlfKTarif">#REF!</definedName>
    <definedName name="tlfKTlfNum">#REF!</definedName>
    <definedName name="tlfKTotal">#REF!</definedName>
    <definedName name="tlfKYear">#REF!</definedName>
    <definedName name="tlfMonth">#REF!</definedName>
    <definedName name="tlfStreet">#REF!</definedName>
    <definedName name="tlfSum">#REF!</definedName>
    <definedName name="tlfTarif">#REF!</definedName>
    <definedName name="tlfTlfNum">#REF!</definedName>
    <definedName name="tlfTotal">#REF!</definedName>
    <definedName name="tlfYear">#REF!</definedName>
    <definedName name="tr">{30,140,350,160,"",""}</definedName>
    <definedName name="tre">{30,140,350,160,"",""}</definedName>
    <definedName name="TRUNK_TAILGATE_HANDLE">#REF!</definedName>
    <definedName name="TRXNAMT">#REF!</definedName>
    <definedName name="TRXNDESC">#N/A</definedName>
    <definedName name="TRXNFAMT">#N/A</definedName>
    <definedName name="TRXNQTY">#N/A</definedName>
    <definedName name="tt" hidden="1">{#N/A,#N/A,TRUE,"일정"}</definedName>
    <definedName name="TTT">#REF!</definedName>
    <definedName name="ty">{30,140,350,160,"",""}</definedName>
    <definedName name="TY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tyu">{30,140,350,160,"",""}</definedName>
    <definedName name="u">{30,140,350,160,"",""}</definedName>
    <definedName name="uiy">{30,140,350,160,"",""}</definedName>
    <definedName name="UNIT">#N/A</definedName>
    <definedName name="UOM">#N/A</definedName>
    <definedName name="ure">#N/A</definedName>
    <definedName name="uy">{30,140,350,160,"",""}</definedName>
    <definedName name="uyjh">{30,140,350,160,"",""}</definedName>
    <definedName name="uyt">{30,140,350,160,"",""}</definedName>
    <definedName name="v">{30,140,350,160,"",""}</definedName>
    <definedName name="Values_Entered" localSheetId="7">IF(Loan_Amount*Interest_Rate*Loan_Years*Loan_Start&gt;0,1,0)</definedName>
    <definedName name="Values_Entered" localSheetId="2">IF(Loan_Amount*Interest_Rate*Loan_Years*Loan_Start&gt;0,1,0)</definedName>
    <definedName name="Values_Entered" localSheetId="5">IF(Loan_Amount*Interest_Rate*Loan_Years*Loan_Start&gt;0,1,0)</definedName>
    <definedName name="Values_Entered" localSheetId="4">IF(Loan_Amount*Interest_Rate*Loan_Years*Loan_Start&gt;0,1,0)</definedName>
    <definedName name="Values_Entered" localSheetId="3">IF(Loan_Amount*Interest_Rate*Loan_Years*Loan_Start&gt;0,1,0)</definedName>
    <definedName name="Values_Entered">IF(Loan_Amount*Interest_Rate*Loan_Years*Loan_Start&gt;0,1,0)</definedName>
    <definedName name="vb">#REF!</definedName>
    <definedName name="vbghh">#REF!</definedName>
    <definedName name="vcx">{30,140,350,160,"",""}</definedName>
    <definedName name="VENDOR">#N/A</definedName>
    <definedName name="VNPNO">#N/A</definedName>
    <definedName name="vv">0</definedName>
    <definedName name="vx">#REF!</definedName>
    <definedName name="vxzdgsdfg">#REF!</definedName>
    <definedName name="w">{30,140,350,160,"",""}</definedName>
    <definedName name="W.SHOP">#N/A</definedName>
    <definedName name="wa">#REF!</definedName>
    <definedName name="we">{30,140,350,160,"",""}</definedName>
    <definedName name="weee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er">{30,140,350,160,"",""}</definedName>
    <definedName name="wf">{30,140,350,160,"",""}</definedName>
    <definedName name="WFL">#REF!,#REF!</definedName>
    <definedName name="wgeaw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HNO">#N/A</definedName>
    <definedName name="whole">#REF!</definedName>
    <definedName name="WIL">#REF!,#REF!</definedName>
    <definedName name="WIR">#REF!,#REF!</definedName>
    <definedName name="wn">0.7</definedName>
    <definedName name="wq">#REF!</definedName>
    <definedName name="wqe">{30,140,350,160,"",""}</definedName>
    <definedName name="wr" localSheetId="2" hidden="1">#REF!</definedName>
    <definedName name="wr" localSheetId="6" hidden="1">#REF!</definedName>
    <definedName name="wr" localSheetId="5" hidden="1">#REF!</definedName>
    <definedName name="wr" localSheetId="4" hidden="1">#REF!</definedName>
    <definedName name="wr" localSheetId="1" hidden="1">#REF!</definedName>
    <definedName name="wr" localSheetId="3" hidden="1">#REF!</definedName>
    <definedName name="wr" hidden="1">#REF!</definedName>
    <definedName name="wrn.ccr." hidden="1">{#N/A,#N/A,FALSE,"BODY"}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Financial._.Projections." hidden="1">{"Table 1 - Summary Financial Projections",#N/A,FALSE,"FINANCIAL PROJECTIONS";"Table 2 - KPI",#N/A,FALSE,"FINANCIAL PROJECTIONS";"Table 3 - Wastewater Tariffs",#N/A,FALSE,"FINANCIAL PROJECTIONS";"Table 4 - Income Statements",#N/A,FALSE,"FINANCIAL PROJECTIONS";"Table 5 - Cash Flow Statements",#N/A,FALSE,"FINANCIAL PROJECTIONS";"Table 6 - Balance Sheets",#N/A,FALSE,"FINANCIAL PROJECTIONS";"Table 7 - Unit Cost Structure",#N/A,FALSE,"FINANCIAL PROJECTIONS"}</definedName>
    <definedName name="wrn.Input._.Report." hidden="1">{"Income",#N/A,TRUE,"Income ";"Balance",#N/A,TRUE,"Balance";"Deposits by Client Type",#N/A,TRUE,"Deposits by Client";"Commitments and Contingencies",#N/A,TRUE,"Commitments";"Analysis of Interest",#N/A,TRUE,"Analysis of Inerest";"Liquidity Analysis",#N/A,TRUE,"Liquidity Analysis";"Investment Securities",#N/A,TRUE,"Investment Securities";"Miscellaneous",#N/A,TRUE,"Miscellaneous";"Changes in Equity Capital",#N/A,TRUE,"Changes in Equity";"Aging Analysis",#N/A,TRUE,"Aging Analysis";"Loans Receivable",#N/A,TRUE,"Loans Receivable";"Calculation of Risk Weighted Assets",#N/A,TRUE,"Calculation of Risk Weighted As";"Bank Capital Calculation",#N/A,TRUE,"Bank Capital Calc.";"Bank Asset Analysis",#N/A,TRUE,"Bank Assets Analysis";"Twenty Largest",#N/A,TRUE,"Twenty Largest";"Reconciliation",#N/A,TRUE,"Recociliation ";"Loans to Affiliated Persons",#N/A,TRUE,"Loans to Affiliated P.";"Loan Classification",#N/A,TRUE,"Loan Classification";"Bank Liabilities",#N/A,TRUE,"Bank Liabilities Analysis";"Charge Offs",#N/A,TRUE,"Charge-offs and Recoveries"}</definedName>
    <definedName name="wrn.Print._.All." hidden="1">{#N/A,#N/A,FALSE,"SUMMARIZATION";#N/A,#N/A,FALSE,"INC_STAT";#N/A,#N/A,FALSE,"2 Sales &amp; Stock";#N/A,#N/A,FALSE,"3 Forecast98";#N/A,#N/A,FALSE,"4 Plan99";#N/A,#N/A,FALSE,"5 Purchase_Plan";#N/A,#N/A,FALSE,"7 Marketing";#N/A,#N/A,FALSE,"8 Non Op Inc Exp";#N/A,#N/A,FALSE,"9 Extord Gain &amp; Loss";#N/A,#N/A,FALSE,"Bal Sheet";#N/A,#N/A,FALSE,"Investment";#N/A,#N/A,FALSE,"Cash_Flow";#N/A,#N/A,FALSE,"IV Organisation";#N/A,#N/A,FALSE,"V Price Struct";#N/A,#N/A,FALSE,"V Bus Performance";#N/A,#N/A,FALSE,"V 5 Year Plan"}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주간._.보고." hidden="1">{#N/A,#N/A,TRUE,"일정"}</definedName>
    <definedName name="ws">{30,140,350,160,"",""}</definedName>
    <definedName name="wsd">#REF!</definedName>
    <definedName name="wt">{30,140,350,160,"",""}</definedName>
    <definedName name="wv">{30,140,350,160,"",""}</definedName>
    <definedName name="www">#N/A</definedName>
    <definedName name="WWWW" hidden="1">{#N/A,#N/A,TRUE,"일정"}</definedName>
    <definedName name="wx">{30,140,350,160,"",""}</definedName>
    <definedName name="wy">{30,140,350,160,"",""}</definedName>
    <definedName name="wz">#REF!</definedName>
    <definedName name="x">{30,140,350,160,"",""}</definedName>
    <definedName name="xcv">{30,140,350,160,"",""}</definedName>
    <definedName name="xczx">{30,140,350,160,"",""}</definedName>
    <definedName name="xvcvcxzdsfs">#REF!</definedName>
    <definedName name="XXX">#REF!</definedName>
    <definedName name="y">{30,140,350,160,"",""}</definedName>
    <definedName name="yil">#N/A</definedName>
    <definedName name="yt">{30,140,350,160,"",""}</definedName>
    <definedName name="ytr">{30,140,350,160,"",""}</definedName>
    <definedName name="ytu">{30,140,350,160,"",""}</definedName>
    <definedName name="yy">#N/A</definedName>
    <definedName name="z">{30,140,350,160,"",""}</definedName>
    <definedName name="Z_1D408E72_59E9_4981_9A27_AF423D050CDD_.wvu.Cols" localSheetId="2" hidden="1">#REF!</definedName>
    <definedName name="Z_1D408E72_59E9_4981_9A27_AF423D050CDD_.wvu.Cols" localSheetId="6" hidden="1">#REF!</definedName>
    <definedName name="Z_1D408E72_59E9_4981_9A27_AF423D050CDD_.wvu.Cols" localSheetId="5" hidden="1">#REF!</definedName>
    <definedName name="Z_1D408E72_59E9_4981_9A27_AF423D050CDD_.wvu.Cols" localSheetId="4" hidden="1">#REF!</definedName>
    <definedName name="Z_1D408E72_59E9_4981_9A27_AF423D050CDD_.wvu.Cols" localSheetId="1" hidden="1">#REF!</definedName>
    <definedName name="Z_1D408E72_59E9_4981_9A27_AF423D050CDD_.wvu.Cols" localSheetId="3" hidden="1">#REF!</definedName>
    <definedName name="Z_1D408E72_59E9_4981_9A27_AF423D050CDD_.wvu.Cols" hidden="1">#REF!</definedName>
    <definedName name="Z_1D408E72_59E9_4981_9A27_AF423D050CDD_.wvu.PrintArea" localSheetId="2" hidden="1">#REF!</definedName>
    <definedName name="Z_1D408E72_59E9_4981_9A27_AF423D050CDD_.wvu.PrintArea" localSheetId="6" hidden="1">#REF!</definedName>
    <definedName name="Z_1D408E72_59E9_4981_9A27_AF423D050CDD_.wvu.PrintArea" localSheetId="5" hidden="1">#REF!</definedName>
    <definedName name="Z_1D408E72_59E9_4981_9A27_AF423D050CDD_.wvu.PrintArea" localSheetId="4" hidden="1">#REF!</definedName>
    <definedName name="Z_1D408E72_59E9_4981_9A27_AF423D050CDD_.wvu.PrintArea" localSheetId="1" hidden="1">#REF!</definedName>
    <definedName name="Z_1D408E72_59E9_4981_9A27_AF423D050CDD_.wvu.PrintArea" localSheetId="3" hidden="1">#REF!</definedName>
    <definedName name="Z_1D408E72_59E9_4981_9A27_AF423D050CDD_.wvu.PrintArea" hidden="1">#REF!</definedName>
    <definedName name="Z_1D408E72_59E9_4981_9A27_AF423D050CDD_.wvu.Rows" localSheetId="2" hidden="1">#REF!,#REF!</definedName>
    <definedName name="Z_1D408E72_59E9_4981_9A27_AF423D050CDD_.wvu.Rows" localSheetId="6" hidden="1">#REF!,#REF!</definedName>
    <definedName name="Z_1D408E72_59E9_4981_9A27_AF423D050CDD_.wvu.Rows" localSheetId="5" hidden="1">#REF!,#REF!</definedName>
    <definedName name="Z_1D408E72_59E9_4981_9A27_AF423D050CDD_.wvu.Rows" localSheetId="4" hidden="1">#REF!,#REF!</definedName>
    <definedName name="Z_1D408E72_59E9_4981_9A27_AF423D050CDD_.wvu.Rows" localSheetId="1" hidden="1">#REF!,#REF!</definedName>
    <definedName name="Z_1D408E72_59E9_4981_9A27_AF423D050CDD_.wvu.Rows" localSheetId="3" hidden="1">#REF!,#REF!</definedName>
    <definedName name="Z_1D408E72_59E9_4981_9A27_AF423D050CDD_.wvu.Rows" hidden="1">#REF!,#REF!</definedName>
    <definedName name="Z_28E99C00_2E50_4A25_9D21_7801798C21BD_.wvu.PrintArea" localSheetId="2" hidden="1">#REF!</definedName>
    <definedName name="Z_28E99C00_2E50_4A25_9D21_7801798C21BD_.wvu.PrintArea" localSheetId="6" hidden="1">#REF!</definedName>
    <definedName name="Z_28E99C00_2E50_4A25_9D21_7801798C21BD_.wvu.PrintArea" localSheetId="5" hidden="1">#REF!</definedName>
    <definedName name="Z_28E99C00_2E50_4A25_9D21_7801798C21BD_.wvu.PrintArea" localSheetId="4" hidden="1">#REF!</definedName>
    <definedName name="Z_28E99C00_2E50_4A25_9D21_7801798C21BD_.wvu.PrintArea" localSheetId="1" hidden="1">#REF!</definedName>
    <definedName name="Z_28E99C00_2E50_4A25_9D21_7801798C21BD_.wvu.PrintArea" localSheetId="3" hidden="1">#REF!</definedName>
    <definedName name="Z_28E99C00_2E50_4A25_9D21_7801798C21BD_.wvu.PrintArea" hidden="1">#REF!</definedName>
    <definedName name="Z_363221E4_558F_4717_B6AD_63B76229A86A_.wvu.PrintArea" localSheetId="2" hidden="1">#REF!</definedName>
    <definedName name="Z_363221E4_558F_4717_B6AD_63B76229A86A_.wvu.PrintArea" localSheetId="6" hidden="1">#REF!</definedName>
    <definedName name="Z_363221E4_558F_4717_B6AD_63B76229A86A_.wvu.PrintArea" localSheetId="5" hidden="1">#REF!</definedName>
    <definedName name="Z_363221E4_558F_4717_B6AD_63B76229A86A_.wvu.PrintArea" localSheetId="4" hidden="1">#REF!</definedName>
    <definedName name="Z_363221E4_558F_4717_B6AD_63B76229A86A_.wvu.PrintArea" localSheetId="1" hidden="1">#REF!</definedName>
    <definedName name="Z_363221E4_558F_4717_B6AD_63B76229A86A_.wvu.PrintArea" localSheetId="3" hidden="1">#REF!</definedName>
    <definedName name="Z_363221E4_558F_4717_B6AD_63B76229A86A_.wvu.PrintArea" hidden="1">#REF!</definedName>
    <definedName name="Z_3A9B8CE0_90FE_45F7_B16A_6C9B6CFEF69B_.wvu.PrintTitles" hidden="1">[8]оборот!$A$1:$B$65536,[8]оборот!$A$1:$IV$1</definedName>
    <definedName name="Z_5167EBEB_44EA_47B0_97C1_BDFB74A1E9C1_.wvu.PrintArea" localSheetId="2" hidden="1">#REF!</definedName>
    <definedName name="Z_5167EBEB_44EA_47B0_97C1_BDFB74A1E9C1_.wvu.PrintArea" localSheetId="6" hidden="1">#REF!</definedName>
    <definedName name="Z_5167EBEB_44EA_47B0_97C1_BDFB74A1E9C1_.wvu.PrintArea" localSheetId="5" hidden="1">#REF!</definedName>
    <definedName name="Z_5167EBEB_44EA_47B0_97C1_BDFB74A1E9C1_.wvu.PrintArea" localSheetId="4" hidden="1">#REF!</definedName>
    <definedName name="Z_5167EBEB_44EA_47B0_97C1_BDFB74A1E9C1_.wvu.PrintArea" localSheetId="1" hidden="1">#REF!</definedName>
    <definedName name="Z_5167EBEB_44EA_47B0_97C1_BDFB74A1E9C1_.wvu.PrintArea" localSheetId="3" hidden="1">#REF!</definedName>
    <definedName name="Z_5167EBEB_44EA_47B0_97C1_BDFB74A1E9C1_.wvu.PrintArea" hidden="1">#REF!</definedName>
    <definedName name="Z_52A70739_45F6_4D94_BB2B_E6CE9DB3F670_.wvu.PrintArea" localSheetId="2" hidden="1">#REF!</definedName>
    <definedName name="Z_52A70739_45F6_4D94_BB2B_E6CE9DB3F670_.wvu.PrintArea" localSheetId="6" hidden="1">#REF!</definedName>
    <definedName name="Z_52A70739_45F6_4D94_BB2B_E6CE9DB3F670_.wvu.PrintArea" localSheetId="5" hidden="1">#REF!</definedName>
    <definedName name="Z_52A70739_45F6_4D94_BB2B_E6CE9DB3F670_.wvu.PrintArea" localSheetId="4" hidden="1">#REF!</definedName>
    <definedName name="Z_52A70739_45F6_4D94_BB2B_E6CE9DB3F670_.wvu.PrintArea" localSheetId="1" hidden="1">#REF!</definedName>
    <definedName name="Z_52A70739_45F6_4D94_BB2B_E6CE9DB3F670_.wvu.PrintArea" localSheetId="3" hidden="1">#REF!</definedName>
    <definedName name="Z_52A70739_45F6_4D94_BB2B_E6CE9DB3F670_.wvu.PrintArea" hidden="1">#REF!</definedName>
    <definedName name="Z_7567EFF5_A760_4BD2_9783_0E4DA1CF40E5_.wvu.PrintArea" localSheetId="2" hidden="1">#REF!</definedName>
    <definedName name="Z_7567EFF5_A760_4BD2_9783_0E4DA1CF40E5_.wvu.PrintArea" localSheetId="6" hidden="1">#REF!</definedName>
    <definedName name="Z_7567EFF5_A760_4BD2_9783_0E4DA1CF40E5_.wvu.PrintArea" localSheetId="5" hidden="1">#REF!</definedName>
    <definedName name="Z_7567EFF5_A760_4BD2_9783_0E4DA1CF40E5_.wvu.PrintArea" localSheetId="4" hidden="1">#REF!</definedName>
    <definedName name="Z_7567EFF5_A760_4BD2_9783_0E4DA1CF40E5_.wvu.PrintArea" localSheetId="1" hidden="1">#REF!</definedName>
    <definedName name="Z_7567EFF5_A760_4BD2_9783_0E4DA1CF40E5_.wvu.PrintArea" localSheetId="3" hidden="1">#REF!</definedName>
    <definedName name="Z_7567EFF5_A760_4BD2_9783_0E4DA1CF40E5_.wvu.PrintArea" hidden="1">#REF!</definedName>
    <definedName name="Z_86A21AE1_D222_11D6_8098_444553540000_.wvu.Cols" hidden="1">#N/A</definedName>
    <definedName name="Z_90AC4916_08D5_4B9F_B8B9_D84EFD8CA14D_.wvu.PrintArea" localSheetId="2" hidden="1">#REF!</definedName>
    <definedName name="Z_90AC4916_08D5_4B9F_B8B9_D84EFD8CA14D_.wvu.PrintArea" localSheetId="6" hidden="1">#REF!</definedName>
    <definedName name="Z_90AC4916_08D5_4B9F_B8B9_D84EFD8CA14D_.wvu.PrintArea" localSheetId="5" hidden="1">#REF!</definedName>
    <definedName name="Z_90AC4916_08D5_4B9F_B8B9_D84EFD8CA14D_.wvu.PrintArea" localSheetId="4" hidden="1">#REF!</definedName>
    <definedName name="Z_90AC4916_08D5_4B9F_B8B9_D84EFD8CA14D_.wvu.PrintArea" localSheetId="1" hidden="1">#REF!</definedName>
    <definedName name="Z_90AC4916_08D5_4B9F_B8B9_D84EFD8CA14D_.wvu.PrintArea" localSheetId="3" hidden="1">#REF!</definedName>
    <definedName name="Z_90AC4916_08D5_4B9F_B8B9_D84EFD8CA14D_.wvu.PrintArea" hidden="1">#REF!</definedName>
    <definedName name="Z_90AC4916_08D5_4B9F_B8B9_D84EFD8CA14D_.wvu.Rows" localSheetId="2" hidden="1">#REF!,#REF!</definedName>
    <definedName name="Z_90AC4916_08D5_4B9F_B8B9_D84EFD8CA14D_.wvu.Rows" localSheetId="6" hidden="1">#REF!,#REF!</definedName>
    <definedName name="Z_90AC4916_08D5_4B9F_B8B9_D84EFD8CA14D_.wvu.Rows" localSheetId="5" hidden="1">#REF!,#REF!</definedName>
    <definedName name="Z_90AC4916_08D5_4B9F_B8B9_D84EFD8CA14D_.wvu.Rows" localSheetId="4" hidden="1">#REF!,#REF!</definedName>
    <definedName name="Z_90AC4916_08D5_4B9F_B8B9_D84EFD8CA14D_.wvu.Rows" localSheetId="1" hidden="1">#REF!,#REF!</definedName>
    <definedName name="Z_90AC4916_08D5_4B9F_B8B9_D84EFD8CA14D_.wvu.Rows" localSheetId="3" hidden="1">#REF!,#REF!</definedName>
    <definedName name="Z_90AC4916_08D5_4B9F_B8B9_D84EFD8CA14D_.wvu.Rows" hidden="1">#REF!,#REF!</definedName>
    <definedName name="Z_A4A9DF7B_AB71_4A4B_9F81_D0DED06B6979_.wvu.PrintArea" localSheetId="2" hidden="1">#REF!</definedName>
    <definedName name="Z_A4A9DF7B_AB71_4A4B_9F81_D0DED06B6979_.wvu.PrintArea" localSheetId="6" hidden="1">#REF!</definedName>
    <definedName name="Z_A4A9DF7B_AB71_4A4B_9F81_D0DED06B6979_.wvu.PrintArea" localSheetId="5" hidden="1">#REF!</definedName>
    <definedName name="Z_A4A9DF7B_AB71_4A4B_9F81_D0DED06B6979_.wvu.PrintArea" localSheetId="4" hidden="1">#REF!</definedName>
    <definedName name="Z_A4A9DF7B_AB71_4A4B_9F81_D0DED06B6979_.wvu.PrintArea" localSheetId="1" hidden="1">#REF!</definedName>
    <definedName name="Z_A4A9DF7B_AB71_4A4B_9F81_D0DED06B6979_.wvu.PrintArea" localSheetId="3" hidden="1">#REF!</definedName>
    <definedName name="Z_A4A9DF7B_AB71_4A4B_9F81_D0DED06B6979_.wvu.PrintArea" hidden="1">#REF!</definedName>
    <definedName name="Z_A4A9DF7B_AB71_4A4B_9F81_D0DED06B6979_.wvu.Rows" localSheetId="2" hidden="1">#REF!,#REF!</definedName>
    <definedName name="Z_A4A9DF7B_AB71_4A4B_9F81_D0DED06B6979_.wvu.Rows" localSheetId="6" hidden="1">#REF!,#REF!</definedName>
    <definedName name="Z_A4A9DF7B_AB71_4A4B_9F81_D0DED06B6979_.wvu.Rows" localSheetId="5" hidden="1">#REF!,#REF!</definedName>
    <definedName name="Z_A4A9DF7B_AB71_4A4B_9F81_D0DED06B6979_.wvu.Rows" localSheetId="4" hidden="1">#REF!,#REF!</definedName>
    <definedName name="Z_A4A9DF7B_AB71_4A4B_9F81_D0DED06B6979_.wvu.Rows" localSheetId="1" hidden="1">#REF!,#REF!</definedName>
    <definedName name="Z_A4A9DF7B_AB71_4A4B_9F81_D0DED06B6979_.wvu.Rows" localSheetId="3" hidden="1">#REF!,#REF!</definedName>
    <definedName name="Z_A4A9DF7B_AB71_4A4B_9F81_D0DED06B6979_.wvu.Rows" hidden="1">#REF!,#REF!</definedName>
    <definedName name="Z_A72D7F17_E843_45F5_A257_DC060914C37A_.wvu.PrintArea" localSheetId="2" hidden="1">#REF!</definedName>
    <definedName name="Z_A72D7F17_E843_45F5_A257_DC060914C37A_.wvu.PrintArea" localSheetId="6" hidden="1">#REF!</definedName>
    <definedName name="Z_A72D7F17_E843_45F5_A257_DC060914C37A_.wvu.PrintArea" localSheetId="5" hidden="1">#REF!</definedName>
    <definedName name="Z_A72D7F17_E843_45F5_A257_DC060914C37A_.wvu.PrintArea" localSheetId="4" hidden="1">#REF!</definedName>
    <definedName name="Z_A72D7F17_E843_45F5_A257_DC060914C37A_.wvu.PrintArea" localSheetId="1" hidden="1">#REF!</definedName>
    <definedName name="Z_A72D7F17_E843_45F5_A257_DC060914C37A_.wvu.PrintArea" localSheetId="3" hidden="1">#REF!</definedName>
    <definedName name="Z_A72D7F17_E843_45F5_A257_DC060914C37A_.wvu.PrintArea" hidden="1">#REF!</definedName>
    <definedName name="Z_A72D7F17_E843_45F5_A257_DC060914C37A_.wvu.Rows" localSheetId="2" hidden="1">#REF!,#REF!</definedName>
    <definedName name="Z_A72D7F17_E843_45F5_A257_DC060914C37A_.wvu.Rows" localSheetId="6" hidden="1">#REF!,#REF!</definedName>
    <definedName name="Z_A72D7F17_E843_45F5_A257_DC060914C37A_.wvu.Rows" localSheetId="5" hidden="1">#REF!,#REF!</definedName>
    <definedName name="Z_A72D7F17_E843_45F5_A257_DC060914C37A_.wvu.Rows" localSheetId="4" hidden="1">#REF!,#REF!</definedName>
    <definedName name="Z_A72D7F17_E843_45F5_A257_DC060914C37A_.wvu.Rows" localSheetId="1" hidden="1">#REF!,#REF!</definedName>
    <definedName name="Z_A72D7F17_E843_45F5_A257_DC060914C37A_.wvu.Rows" localSheetId="3" hidden="1">#REF!,#REF!</definedName>
    <definedName name="Z_A72D7F17_E843_45F5_A257_DC060914C37A_.wvu.Rows" hidden="1">#REF!,#REF!</definedName>
    <definedName name="Z_AC797E33_BB07_440F_920C_8A9426261027_.wvu.PrintArea" localSheetId="2" hidden="1">#REF!</definedName>
    <definedName name="Z_AC797E33_BB07_440F_920C_8A9426261027_.wvu.PrintArea" localSheetId="6" hidden="1">#REF!</definedName>
    <definedName name="Z_AC797E33_BB07_440F_920C_8A9426261027_.wvu.PrintArea" localSheetId="5" hidden="1">#REF!</definedName>
    <definedName name="Z_AC797E33_BB07_440F_920C_8A9426261027_.wvu.PrintArea" localSheetId="4" hidden="1">#REF!</definedName>
    <definedName name="Z_AC797E33_BB07_440F_920C_8A9426261027_.wvu.PrintArea" localSheetId="1" hidden="1">#REF!</definedName>
    <definedName name="Z_AC797E33_BB07_440F_920C_8A9426261027_.wvu.PrintArea" localSheetId="3" hidden="1">#REF!</definedName>
    <definedName name="Z_AC797E33_BB07_440F_920C_8A9426261027_.wvu.PrintArea" hidden="1">#REF!</definedName>
    <definedName name="Z_B01F82C8_E2BF_11D8_BD33_0000F8781956_.wvu.Cols" localSheetId="2" hidden="1">#REF!,#REF!,#REF!,#REF!,#REF!,#REF!,#REF!,#REF!,#REF!,#REF!,#REF!,#REF!,#REF!,#REF!</definedName>
    <definedName name="Z_B01F82C8_E2BF_11D8_BD33_0000F8781956_.wvu.Cols" localSheetId="6" hidden="1">#REF!,#REF!,#REF!,#REF!,#REF!,#REF!,#REF!,#REF!,#REF!,#REF!,#REF!,#REF!,#REF!,#REF!</definedName>
    <definedName name="Z_B01F82C8_E2BF_11D8_BD33_0000F8781956_.wvu.Cols" localSheetId="5" hidden="1">#REF!,#REF!,#REF!,#REF!,#REF!,#REF!,#REF!,#REF!,#REF!,#REF!,#REF!,#REF!,#REF!,#REF!</definedName>
    <definedName name="Z_B01F82C8_E2BF_11D8_BD33_0000F8781956_.wvu.Cols" localSheetId="4" hidden="1">#REF!,#REF!,#REF!,#REF!,#REF!,#REF!,#REF!,#REF!,#REF!,#REF!,#REF!,#REF!,#REF!,#REF!</definedName>
    <definedName name="Z_B01F82C8_E2BF_11D8_BD33_0000F8781956_.wvu.Cols" localSheetId="1" hidden="1">#REF!,#REF!,#REF!,#REF!,#REF!,#REF!,#REF!,#REF!,#REF!,#REF!,#REF!,#REF!,#REF!,#REF!</definedName>
    <definedName name="Z_B01F82C8_E2BF_11D8_BD33_0000F8781956_.wvu.Cols" localSheetId="3" hidden="1">#REF!,#REF!,#REF!,#REF!,#REF!,#REF!,#REF!,#REF!,#REF!,#REF!,#REF!,#REF!,#REF!,#REF!</definedName>
    <definedName name="Z_B01F82C8_E2BF_11D8_BD33_0000F8781956_.wvu.Cols" hidden="1">#REF!,#REF!,#REF!,#REF!,#REF!,#REF!,#REF!,#REF!,#REF!,#REF!,#REF!,#REF!,#REF!,#REF!</definedName>
    <definedName name="Z_B01F82C8_E2BF_11D8_BD33_0000F8781956_.wvu.PrintTitles" localSheetId="2" hidden="1">#REF!</definedName>
    <definedName name="Z_B01F82C8_E2BF_11D8_BD33_0000F8781956_.wvu.PrintTitles" localSheetId="6" hidden="1">#REF!</definedName>
    <definedName name="Z_B01F82C8_E2BF_11D8_BD33_0000F8781956_.wvu.PrintTitles" localSheetId="5" hidden="1">#REF!</definedName>
    <definedName name="Z_B01F82C8_E2BF_11D8_BD33_0000F8781956_.wvu.PrintTitles" localSheetId="4" hidden="1">#REF!</definedName>
    <definedName name="Z_B01F82C8_E2BF_11D8_BD33_0000F8781956_.wvu.PrintTitles" localSheetId="1" hidden="1">#REF!</definedName>
    <definedName name="Z_B01F82C8_E2BF_11D8_BD33_0000F8781956_.wvu.PrintTitles" localSheetId="3" hidden="1">#REF!</definedName>
    <definedName name="Z_B01F82C8_E2BF_11D8_BD33_0000F8781956_.wvu.PrintTitles" hidden="1">#REF!</definedName>
    <definedName name="Z_B1C6911B_1389_4D1E_B480_46B2A5907C37_.wvu.FilterData" localSheetId="2" hidden="1">#REF!</definedName>
    <definedName name="Z_B1C6911B_1389_4D1E_B480_46B2A5907C37_.wvu.FilterData" localSheetId="6" hidden="1">#REF!</definedName>
    <definedName name="Z_B1C6911B_1389_4D1E_B480_46B2A5907C37_.wvu.FilterData" localSheetId="5" hidden="1">#REF!</definedName>
    <definedName name="Z_B1C6911B_1389_4D1E_B480_46B2A5907C37_.wvu.FilterData" localSheetId="4" hidden="1">#REF!</definedName>
    <definedName name="Z_B1C6911B_1389_4D1E_B480_46B2A5907C37_.wvu.FilterData" localSheetId="1" hidden="1">#REF!</definedName>
    <definedName name="Z_B1C6911B_1389_4D1E_B480_46B2A5907C37_.wvu.FilterData" localSheetId="3" hidden="1">#REF!</definedName>
    <definedName name="Z_B1C6911B_1389_4D1E_B480_46B2A5907C37_.wvu.FilterData" hidden="1">#REF!</definedName>
    <definedName name="Z_B1C6911B_1389_4D1E_B480_46B2A5907C37_.wvu.PrintArea" localSheetId="2" hidden="1">#REF!</definedName>
    <definedName name="Z_B1C6911B_1389_4D1E_B480_46B2A5907C37_.wvu.PrintArea" localSheetId="6" hidden="1">#REF!</definedName>
    <definedName name="Z_B1C6911B_1389_4D1E_B480_46B2A5907C37_.wvu.PrintArea" localSheetId="5" hidden="1">#REF!</definedName>
    <definedName name="Z_B1C6911B_1389_4D1E_B480_46B2A5907C37_.wvu.PrintArea" localSheetId="4" hidden="1">#REF!</definedName>
    <definedName name="Z_B1C6911B_1389_4D1E_B480_46B2A5907C37_.wvu.PrintArea" localSheetId="1" hidden="1">#REF!</definedName>
    <definedName name="Z_B1C6911B_1389_4D1E_B480_46B2A5907C37_.wvu.PrintArea" localSheetId="3" hidden="1">#REF!</definedName>
    <definedName name="Z_B1C6911B_1389_4D1E_B480_46B2A5907C37_.wvu.PrintArea" hidden="1">#REF!</definedName>
    <definedName name="Z_B1C6911B_1389_4D1E_B480_46B2A5907C37_.wvu.Rows" localSheetId="2" hidden="1">#REF!,#REF!</definedName>
    <definedName name="Z_B1C6911B_1389_4D1E_B480_46B2A5907C37_.wvu.Rows" localSheetId="6" hidden="1">#REF!,#REF!</definedName>
    <definedName name="Z_B1C6911B_1389_4D1E_B480_46B2A5907C37_.wvu.Rows" localSheetId="5" hidden="1">#REF!,#REF!</definedName>
    <definedName name="Z_B1C6911B_1389_4D1E_B480_46B2A5907C37_.wvu.Rows" localSheetId="4" hidden="1">#REF!,#REF!</definedName>
    <definedName name="Z_B1C6911B_1389_4D1E_B480_46B2A5907C37_.wvu.Rows" localSheetId="1" hidden="1">#REF!,#REF!</definedName>
    <definedName name="Z_B1C6911B_1389_4D1E_B480_46B2A5907C37_.wvu.Rows" localSheetId="3" hidden="1">#REF!,#REF!</definedName>
    <definedName name="Z_B1C6911B_1389_4D1E_B480_46B2A5907C37_.wvu.Rows" hidden="1">#REF!,#REF!</definedName>
    <definedName name="Z_BBC1F061_EFA5_11D6_819E_0050BFE70486_.wvu.FilterData" localSheetId="2" hidden="1">#REF!</definedName>
    <definedName name="Z_BBC1F061_EFA5_11D6_819E_0050BFE70486_.wvu.FilterData" localSheetId="6" hidden="1">#REF!</definedName>
    <definedName name="Z_BBC1F061_EFA5_11D6_819E_0050BFE70486_.wvu.FilterData" localSheetId="5" hidden="1">#REF!</definedName>
    <definedName name="Z_BBC1F061_EFA5_11D6_819E_0050BFE70486_.wvu.FilterData" localSheetId="4" hidden="1">#REF!</definedName>
    <definedName name="Z_BBC1F061_EFA5_11D6_819E_0050BFE70486_.wvu.FilterData" localSheetId="1" hidden="1">#REF!</definedName>
    <definedName name="Z_BBC1F061_EFA5_11D6_819E_0050BFE70486_.wvu.FilterData" localSheetId="3" hidden="1">#REF!</definedName>
    <definedName name="Z_BBC1F061_EFA5_11D6_819E_0050BFE70486_.wvu.FilterData" hidden="1">#REF!</definedName>
    <definedName name="Z_BD879655_49FA_40EC_B48C_A3116A0C7DFC_.wvu.PrintArea" localSheetId="2" hidden="1">#REF!</definedName>
    <definedName name="Z_BD879655_49FA_40EC_B48C_A3116A0C7DFC_.wvu.PrintArea" localSheetId="6" hidden="1">#REF!</definedName>
    <definedName name="Z_BD879655_49FA_40EC_B48C_A3116A0C7DFC_.wvu.PrintArea" localSheetId="5" hidden="1">#REF!</definedName>
    <definedName name="Z_BD879655_49FA_40EC_B48C_A3116A0C7DFC_.wvu.PrintArea" localSheetId="4" hidden="1">#REF!</definedName>
    <definedName name="Z_BD879655_49FA_40EC_B48C_A3116A0C7DFC_.wvu.PrintArea" localSheetId="1" hidden="1">#REF!</definedName>
    <definedName name="Z_BD879655_49FA_40EC_B48C_A3116A0C7DFC_.wvu.PrintArea" localSheetId="3" hidden="1">#REF!</definedName>
    <definedName name="Z_BD879655_49FA_40EC_B48C_A3116A0C7DFC_.wvu.PrintArea" hidden="1">#REF!</definedName>
    <definedName name="Z_C06073AE_7EF9_4843_A3E3_AB58B1214D42_.wvu.PrintArea" localSheetId="2" hidden="1">#REF!</definedName>
    <definedName name="Z_C06073AE_7EF9_4843_A3E3_AB58B1214D42_.wvu.PrintArea" localSheetId="6" hidden="1">#REF!</definedName>
    <definedName name="Z_C06073AE_7EF9_4843_A3E3_AB58B1214D42_.wvu.PrintArea" localSheetId="5" hidden="1">#REF!</definedName>
    <definedName name="Z_C06073AE_7EF9_4843_A3E3_AB58B1214D42_.wvu.PrintArea" localSheetId="4" hidden="1">#REF!</definedName>
    <definedName name="Z_C06073AE_7EF9_4843_A3E3_AB58B1214D42_.wvu.PrintArea" localSheetId="1" hidden="1">#REF!</definedName>
    <definedName name="Z_C06073AE_7EF9_4843_A3E3_AB58B1214D42_.wvu.PrintArea" localSheetId="3" hidden="1">#REF!</definedName>
    <definedName name="Z_C06073AE_7EF9_4843_A3E3_AB58B1214D42_.wvu.PrintArea" hidden="1">#REF!</definedName>
    <definedName name="Z_D205962A_A136_4D1E_8153_3458A266DBC1_.wvu.PrintArea" localSheetId="2" hidden="1">#REF!</definedName>
    <definedName name="Z_D205962A_A136_4D1E_8153_3458A266DBC1_.wvu.PrintArea" localSheetId="6" hidden="1">#REF!</definedName>
    <definedName name="Z_D205962A_A136_4D1E_8153_3458A266DBC1_.wvu.PrintArea" localSheetId="5" hidden="1">#REF!</definedName>
    <definedName name="Z_D205962A_A136_4D1E_8153_3458A266DBC1_.wvu.PrintArea" localSheetId="4" hidden="1">#REF!</definedName>
    <definedName name="Z_D205962A_A136_4D1E_8153_3458A266DBC1_.wvu.PrintArea" localSheetId="1" hidden="1">#REF!</definedName>
    <definedName name="Z_D205962A_A136_4D1E_8153_3458A266DBC1_.wvu.PrintArea" localSheetId="3" hidden="1">#REF!</definedName>
    <definedName name="Z_D205962A_A136_4D1E_8153_3458A266DBC1_.wvu.PrintArea" hidden="1">#REF!</definedName>
    <definedName name="Z_D4F8E9F6_5FCD_431C_A367_31DAEB399AF5_.wvu.FilterData" localSheetId="2" hidden="1">#REF!</definedName>
    <definedName name="Z_D4F8E9F6_5FCD_431C_A367_31DAEB399AF5_.wvu.FilterData" localSheetId="6" hidden="1">#REF!</definedName>
    <definedName name="Z_D4F8E9F6_5FCD_431C_A367_31DAEB399AF5_.wvu.FilterData" localSheetId="5" hidden="1">#REF!</definedName>
    <definedName name="Z_D4F8E9F6_5FCD_431C_A367_31DAEB399AF5_.wvu.FilterData" localSheetId="4" hidden="1">#REF!</definedName>
    <definedName name="Z_D4F8E9F6_5FCD_431C_A367_31DAEB399AF5_.wvu.FilterData" localSheetId="1" hidden="1">#REF!</definedName>
    <definedName name="Z_D4F8E9F6_5FCD_431C_A367_31DAEB399AF5_.wvu.FilterData" localSheetId="3" hidden="1">#REF!</definedName>
    <definedName name="Z_D4F8E9F6_5FCD_431C_A367_31DAEB399AF5_.wvu.FilterData" hidden="1">#REF!</definedName>
    <definedName name="Z_D851514D_BBEB_4B79_8707_98EE9C125F6D_.wvu.PrintArea" localSheetId="2" hidden="1">#REF!</definedName>
    <definedName name="Z_D851514D_BBEB_4B79_8707_98EE9C125F6D_.wvu.PrintArea" localSheetId="6" hidden="1">#REF!</definedName>
    <definedName name="Z_D851514D_BBEB_4B79_8707_98EE9C125F6D_.wvu.PrintArea" localSheetId="5" hidden="1">#REF!</definedName>
    <definedName name="Z_D851514D_BBEB_4B79_8707_98EE9C125F6D_.wvu.PrintArea" localSheetId="4" hidden="1">#REF!</definedName>
    <definedName name="Z_D851514D_BBEB_4B79_8707_98EE9C125F6D_.wvu.PrintArea" localSheetId="1" hidden="1">#REF!</definedName>
    <definedName name="Z_D851514D_BBEB_4B79_8707_98EE9C125F6D_.wvu.PrintArea" localSheetId="3" hidden="1">#REF!</definedName>
    <definedName name="Z_D851514D_BBEB_4B79_8707_98EE9C125F6D_.wvu.PrintArea" hidden="1">#REF!</definedName>
    <definedName name="Z_E1467D9E_08D8_4B26_A1A2_A7B2112B5B89_.wvu.PrintArea" localSheetId="2" hidden="1">#REF!</definedName>
    <definedName name="Z_E1467D9E_08D8_4B26_A1A2_A7B2112B5B89_.wvu.PrintArea" localSheetId="6" hidden="1">#REF!</definedName>
    <definedName name="Z_E1467D9E_08D8_4B26_A1A2_A7B2112B5B89_.wvu.PrintArea" localSheetId="5" hidden="1">#REF!</definedName>
    <definedName name="Z_E1467D9E_08D8_4B26_A1A2_A7B2112B5B89_.wvu.PrintArea" localSheetId="4" hidden="1">#REF!</definedName>
    <definedName name="Z_E1467D9E_08D8_4B26_A1A2_A7B2112B5B89_.wvu.PrintArea" localSheetId="1" hidden="1">#REF!</definedName>
    <definedName name="Z_E1467D9E_08D8_4B26_A1A2_A7B2112B5B89_.wvu.PrintArea" localSheetId="3" hidden="1">#REF!</definedName>
    <definedName name="Z_E1467D9E_08D8_4B26_A1A2_A7B2112B5B89_.wvu.PrintArea" hidden="1">#REF!</definedName>
    <definedName name="Z_E90A5213_D3DE_4C04_A09A_42130CCA258A_.wvu.Cols" localSheetId="2" hidden="1">#REF!</definedName>
    <definedName name="Z_E90A5213_D3DE_4C04_A09A_42130CCA258A_.wvu.Cols" localSheetId="6" hidden="1">#REF!</definedName>
    <definedName name="Z_E90A5213_D3DE_4C04_A09A_42130CCA258A_.wvu.Cols" localSheetId="5" hidden="1">#REF!</definedName>
    <definedName name="Z_E90A5213_D3DE_4C04_A09A_42130CCA258A_.wvu.Cols" localSheetId="4" hidden="1">#REF!</definedName>
    <definedName name="Z_E90A5213_D3DE_4C04_A09A_42130CCA258A_.wvu.Cols" localSheetId="1" hidden="1">#REF!</definedName>
    <definedName name="Z_E90A5213_D3DE_4C04_A09A_42130CCA258A_.wvu.Cols" localSheetId="3" hidden="1">#REF!</definedName>
    <definedName name="Z_E90A5213_D3DE_4C04_A09A_42130CCA258A_.wvu.Cols" hidden="1">#REF!</definedName>
    <definedName name="Z_E90A5213_D3DE_4C04_A09A_42130CCA258A_.wvu.PrintArea" localSheetId="2" hidden="1">#REF!</definedName>
    <definedName name="Z_E90A5213_D3DE_4C04_A09A_42130CCA258A_.wvu.PrintArea" localSheetId="6" hidden="1">#REF!</definedName>
    <definedName name="Z_E90A5213_D3DE_4C04_A09A_42130CCA258A_.wvu.PrintArea" localSheetId="5" hidden="1">#REF!</definedName>
    <definedName name="Z_E90A5213_D3DE_4C04_A09A_42130CCA258A_.wvu.PrintArea" localSheetId="4" hidden="1">#REF!</definedName>
    <definedName name="Z_E90A5213_D3DE_4C04_A09A_42130CCA258A_.wvu.PrintArea" localSheetId="1" hidden="1">#REF!</definedName>
    <definedName name="Z_E90A5213_D3DE_4C04_A09A_42130CCA258A_.wvu.PrintArea" localSheetId="3" hidden="1">#REF!</definedName>
    <definedName name="Z_E90A5213_D3DE_4C04_A09A_42130CCA258A_.wvu.PrintArea" hidden="1">#REF!</definedName>
    <definedName name="Z_E90A5213_D3DE_4C04_A09A_42130CCA258A_.wvu.Rows" localSheetId="2" hidden="1">#REF!,#REF!</definedName>
    <definedName name="Z_E90A5213_D3DE_4C04_A09A_42130CCA258A_.wvu.Rows" localSheetId="6" hidden="1">#REF!,#REF!</definedName>
    <definedName name="Z_E90A5213_D3DE_4C04_A09A_42130CCA258A_.wvu.Rows" localSheetId="5" hidden="1">#REF!,#REF!</definedName>
    <definedName name="Z_E90A5213_D3DE_4C04_A09A_42130CCA258A_.wvu.Rows" localSheetId="4" hidden="1">#REF!,#REF!</definedName>
    <definedName name="Z_E90A5213_D3DE_4C04_A09A_42130CCA258A_.wvu.Rows" localSheetId="1" hidden="1">#REF!,#REF!</definedName>
    <definedName name="Z_E90A5213_D3DE_4C04_A09A_42130CCA258A_.wvu.Rows" localSheetId="3" hidden="1">#REF!,#REF!</definedName>
    <definedName name="Z_E90A5213_D3DE_4C04_A09A_42130CCA258A_.wvu.Rows" hidden="1">#REF!,#REF!</definedName>
    <definedName name="Z_EAC59BBB_1142_473E_AA30_776C99FD5953_.wvu.PrintArea" localSheetId="2" hidden="1">#REF!</definedName>
    <definedName name="Z_EAC59BBB_1142_473E_AA30_776C99FD5953_.wvu.PrintArea" localSheetId="6" hidden="1">#REF!</definedName>
    <definedName name="Z_EAC59BBB_1142_473E_AA30_776C99FD5953_.wvu.PrintArea" localSheetId="5" hidden="1">#REF!</definedName>
    <definedName name="Z_EAC59BBB_1142_473E_AA30_776C99FD5953_.wvu.PrintArea" localSheetId="4" hidden="1">#REF!</definedName>
    <definedName name="Z_EAC59BBB_1142_473E_AA30_776C99FD5953_.wvu.PrintArea" localSheetId="1" hidden="1">#REF!</definedName>
    <definedName name="Z_EAC59BBB_1142_473E_AA30_776C99FD5953_.wvu.PrintArea" localSheetId="3" hidden="1">#REF!</definedName>
    <definedName name="Z_EAC59BBB_1142_473E_AA30_776C99FD5953_.wvu.PrintArea" hidden="1">#REF!</definedName>
    <definedName name="Z_F93FC798_0AC9_4DC8_A37A_5AC4EB838A1D_.wvu.PrintArea" localSheetId="2" hidden="1">#REF!</definedName>
    <definedName name="Z_F93FC798_0AC9_4DC8_A37A_5AC4EB838A1D_.wvu.PrintArea" localSheetId="6" hidden="1">#REF!</definedName>
    <definedName name="Z_F93FC798_0AC9_4DC8_A37A_5AC4EB838A1D_.wvu.PrintArea" localSheetId="5" hidden="1">#REF!</definedName>
    <definedName name="Z_F93FC798_0AC9_4DC8_A37A_5AC4EB838A1D_.wvu.PrintArea" localSheetId="4" hidden="1">#REF!</definedName>
    <definedName name="Z_F93FC798_0AC9_4DC8_A37A_5AC4EB838A1D_.wvu.PrintArea" localSheetId="1" hidden="1">#REF!</definedName>
    <definedName name="Z_F93FC798_0AC9_4DC8_A37A_5AC4EB838A1D_.wvu.PrintArea" localSheetId="3" hidden="1">#REF!</definedName>
    <definedName name="Z_F93FC798_0AC9_4DC8_A37A_5AC4EB838A1D_.wvu.PrintArea" hidden="1">#REF!</definedName>
    <definedName name="za">{30,140,350,160,"",""}</definedName>
    <definedName name="ZRATEINDC">#N/A</definedName>
    <definedName name="zx">{30,140,350,160,"",""}</definedName>
    <definedName name="а">{30,140,350,160,"",""}</definedName>
    <definedName name="А1">#REF!</definedName>
    <definedName name="А10">#REF!</definedName>
    <definedName name="А12">#REF!</definedName>
    <definedName name="А17">#REF!</definedName>
    <definedName name="а2">#REF!</definedName>
    <definedName name="а209">#REF!</definedName>
    <definedName name="а65555">#REF!</definedName>
    <definedName name="А65656">#REF!</definedName>
    <definedName name="А9">#REF!</definedName>
    <definedName name="аа" localSheetId="2" hidden="1">#REF!</definedName>
    <definedName name="аа" localSheetId="6" hidden="1">#REF!</definedName>
    <definedName name="аа" localSheetId="5" hidden="1">#REF!</definedName>
    <definedName name="аа" localSheetId="4" hidden="1">#REF!</definedName>
    <definedName name="аа" localSheetId="1" hidden="1">#REF!</definedName>
    <definedName name="аа" localSheetId="3" hidden="1">#REF!</definedName>
    <definedName name="аа" hidden="1">#REF!</definedName>
    <definedName name="аа1">'[9]Зан-ть(р-ны)'!$5:$5</definedName>
    <definedName name="ааа">'[10]Фориш 2003'!$O$4</definedName>
    <definedName name="аааа">#REF!</definedName>
    <definedName name="ааааа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аааааааааааа">#REF!</definedName>
    <definedName name="ааааппримека">#N/A</definedName>
    <definedName name="ааав">#REF!</definedName>
    <definedName name="Аббаз">#REF!</definedName>
    <definedName name="абду">#REF!</definedName>
    <definedName name="ав">#REF!</definedName>
    <definedName name="ава">#REF!</definedName>
    <definedName name="аваав">{30,140,350,160,"",""}</definedName>
    <definedName name="ававпаррпор">{30,140,350,160,"",""}</definedName>
    <definedName name="август">#REF!</definedName>
    <definedName name="авиви">#N/A</definedName>
    <definedName name="авипвапи">#N/A</definedName>
    <definedName name="авлб">#REF!</definedName>
    <definedName name="авыпмвмыв">#N/A</definedName>
    <definedName name="авьлолалоа">{30,140,350,160,"",""}</definedName>
    <definedName name="Адил">#REF!</definedName>
    <definedName name="адр">"$A$3"</definedName>
    <definedName name="АЕН">#REF!</definedName>
    <definedName name="аенре">#REF!</definedName>
    <definedName name="аиа">#N/A</definedName>
    <definedName name="аитпир">#N/A</definedName>
    <definedName name="АК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академик">#REF!</definedName>
    <definedName name="акциз">#REF!</definedName>
    <definedName name="Албина">#REF!</definedName>
    <definedName name="Албиничка">#REF!</definedName>
    <definedName name="Амударья">#REF!</definedName>
    <definedName name="Анд">TRUNC((oy-1)/3+1)</definedName>
    <definedName name="Анди">TRUNC((oy-1)/3+1)</definedName>
    <definedName name="Андижон">#REF!</definedName>
    <definedName name="аолпровор">#N/A</definedName>
    <definedName name="аолрб">#N/A</definedName>
    <definedName name="аопрот">#N/A</definedName>
    <definedName name="АП">#REF!</definedName>
    <definedName name="апа">#REF!</definedName>
    <definedName name="апавлпо">{30,140,350,160,"",""}</definedName>
    <definedName name="апаппв">{30,140,350,160,"",""}</definedName>
    <definedName name="апв">#N/A</definedName>
    <definedName name="апвкап">#REF!</definedName>
    <definedName name="апеоапраоне">#N/A</definedName>
    <definedName name="апорпол">#N/A</definedName>
    <definedName name="апп">{30,140,350,160,"",""}</definedName>
    <definedName name="апр">{30,140,350,160,"",""}</definedName>
    <definedName name="апрел">#REF!</definedName>
    <definedName name="апреререререр">#REF!</definedName>
    <definedName name="апрлролдол">#N/A</definedName>
    <definedName name="апро">{30,140,350,160,"",""}</definedName>
    <definedName name="апрол">#REF!</definedName>
    <definedName name="апшгпол">#N/A</definedName>
    <definedName name="апшлгнлнг">#N/A</definedName>
    <definedName name="апшлнл">#N/A</definedName>
    <definedName name="апы">#N/A</definedName>
    <definedName name="арапоопропр">#REF!</definedName>
    <definedName name="арлогалгнг">#N/A</definedName>
    <definedName name="ародло.юлпд">#N/A</definedName>
    <definedName name="ас">#REF!</definedName>
    <definedName name="асчапр">{30,140,350,160,"",""}</definedName>
    <definedName name="Ахмад">{30,140,350,160,"",""}</definedName>
    <definedName name="аывап">{30,140,350,160,"",""}</definedName>
    <definedName name="б">{30,140,350,160,"",""}</definedName>
    <definedName name="баж.">#N/A</definedName>
    <definedName name="бажарилган">#REF!</definedName>
    <definedName name="База">#REF!</definedName>
    <definedName name="База__данных">#REF!</definedName>
    <definedName name="База_данних">#REF!</definedName>
    <definedName name="_xlnm.Database">#REF!</definedName>
    <definedName name="Баха">#REF!</definedName>
    <definedName name="Бахмал">#REF!</definedName>
    <definedName name="Бахриддин">#REF!</definedName>
    <definedName name="бахром">{30,140,350,160,"",""}</definedName>
    <definedName name="ббб">#REF!</definedName>
    <definedName name="бббб">#REF!</definedName>
    <definedName name="беенок">{30,140,350,160,"",""}</definedName>
    <definedName name="Беруний">#REF!</definedName>
    <definedName name="бир">'[11]Ер Ресурс'!#REF!</definedName>
    <definedName name="бо">{30,140,350,160,"",""}</definedName>
    <definedName name="БОГОТТУМАН">#REF!</definedName>
    <definedName name="Бустонлик_договор">#REF!</definedName>
    <definedName name="Бустонлик_семена">#REF!</definedName>
    <definedName name="Бух">TRUNC((oy-1)/3+1)</definedName>
    <definedName name="Бухоро">#REF!</definedName>
    <definedName name="бь">{30,140,350,160,"",""}</definedName>
    <definedName name="бю">{30,140,350,160,"",""}</definedName>
    <definedName name="в">{30,140,350,160,"",""}</definedName>
    <definedName name="В5">#REF!</definedName>
    <definedName name="ва">#REF!</definedName>
    <definedName name="вава" localSheetId="2" hidden="1">#REF!</definedName>
    <definedName name="вава" localSheetId="6" hidden="1">#REF!</definedName>
    <definedName name="вава" localSheetId="5" hidden="1">#REF!</definedName>
    <definedName name="вава" localSheetId="4" hidden="1">#REF!</definedName>
    <definedName name="вава" localSheetId="1" hidden="1">#REF!</definedName>
    <definedName name="вава" localSheetId="3" hidden="1">#REF!</definedName>
    <definedName name="вава" hidden="1">#REF!</definedName>
    <definedName name="вавав">{30,140,350,160,"",""}</definedName>
    <definedName name="ваватири">#N/A</definedName>
    <definedName name="ваиттиваир">#N/A</definedName>
    <definedName name="вап">#REF!</definedName>
    <definedName name="вапр">#N/A</definedName>
    <definedName name="вар">#REF!</definedName>
    <definedName name="вв">#REF!</definedName>
    <definedName name="вва">{30,140,350,160,"",""}</definedName>
    <definedName name="ввв">{30,140,350,160,"",""}</definedName>
    <definedName name="вввава">#REF!</definedName>
    <definedName name="вввв">#REF!</definedName>
    <definedName name="ввввв">TRUNC((oy-1)/3+1)</definedName>
    <definedName name="вввввв">#REF!</definedName>
    <definedName name="вегрроп">#N/A</definedName>
    <definedName name="вкрпрап">#N/A</definedName>
    <definedName name="вқв">#REF!</definedName>
    <definedName name="вқва">#REF!</definedName>
    <definedName name="вқввқа">#REF!</definedName>
    <definedName name="вқвқв">#REF!</definedName>
    <definedName name="вмм">{30,140,350,160,"",""}</definedName>
    <definedName name="вова">#REF!</definedName>
    <definedName name="врпороро">#REF!</definedName>
    <definedName name="всмвап">{30,140,350,160,"",""}</definedName>
    <definedName name="вфвф">#REF!</definedName>
    <definedName name="вфывфыв">#REF!</definedName>
    <definedName name="вы">{30,140,350,160,"",""}</definedName>
    <definedName name="выбыло">0</definedName>
    <definedName name="выв">#N/A</definedName>
    <definedName name="вывыв">#REF!</definedName>
    <definedName name="вывывыв">{30,140,350,160,"",""}</definedName>
    <definedName name="вывывывывыв">#REF!</definedName>
    <definedName name="вывывывывывыв">#REF!</definedName>
    <definedName name="вып">[12]режа!$A$1:$R$862</definedName>
    <definedName name="выпвпваып" localSheetId="2" hidden="1">#REF!</definedName>
    <definedName name="выпвпваып" localSheetId="6" hidden="1">#REF!</definedName>
    <definedName name="выпвпваып" localSheetId="5" hidden="1">#REF!</definedName>
    <definedName name="выпвпваып" localSheetId="4" hidden="1">#REF!</definedName>
    <definedName name="выпвпваып" localSheetId="1" hidden="1">#REF!</definedName>
    <definedName name="выпвпваып" localSheetId="3" hidden="1">#REF!</definedName>
    <definedName name="выпвпваып" hidden="1">#REF!</definedName>
    <definedName name="г">{30,140,350,160,"",""}</definedName>
    <definedName name="Ғ">#REF!</definedName>
    <definedName name="гажк">#REF!</definedName>
    <definedName name="газ">#REF!</definedName>
    <definedName name="гал" localSheetId="7">IF(Loan_Amount*Interest_Rate*Loan_Years*Loan_Start&gt;0,1,0)</definedName>
    <definedName name="гал" localSheetId="2">IF(Loan_Amount*Interest_Rate*Loan_Years*Loan_Start&gt;0,1,0)</definedName>
    <definedName name="гал" localSheetId="5">IF(Loan_Amount*Interest_Rate*Loan_Years*Loan_Start&gt;0,1,0)</definedName>
    <definedName name="гал" localSheetId="4">IF(Loan_Amount*Interest_Rate*Loan_Years*Loan_Start&gt;0,1,0)</definedName>
    <definedName name="гал" localSheetId="3">IF(Loan_Amount*Interest_Rate*Loan_Years*Loan_Start&gt;0,1,0)</definedName>
    <definedName name="гал">IF(Loan_Amount*Interest_Rate*Loan_Years*Loan_Start&gt;0,1,0)</definedName>
    <definedName name="галла">#N/A</definedName>
    <definedName name="галла_нархи">'[13]Фориш 2003'!$O$4</definedName>
    <definedName name="галлаааа">'[14]Фориш 2003'!$O$4</definedName>
    <definedName name="гг">#N/A</definedName>
    <definedName name="ггг">#REF!</definedName>
    <definedName name="ггггг">#REF!</definedName>
    <definedName name="гн">{30,140,350,160,"",""}</definedName>
    <definedName name="гн6ровортнорт" localSheetId="7">IF(Loan_Amount*Interest_Rate*Loan_Years*Loan_Start&gt;0,1,0)</definedName>
    <definedName name="гн6ровортнорт" localSheetId="2">IF(Loan_Amount*Interest_Rate*Loan_Years*Loan_Start&gt;0,1,0)</definedName>
    <definedName name="гн6ровортнорт" localSheetId="5">IF(Loan_Amount*Interest_Rate*Loan_Years*Loan_Start&gt;0,1,0)</definedName>
    <definedName name="гн6ровортнорт" localSheetId="4">IF(Loan_Amount*Interest_Rate*Loan_Years*Loan_Start&gt;0,1,0)</definedName>
    <definedName name="гн6ровортнорт" localSheetId="3">IF(Loan_Amount*Interest_Rate*Loan_Years*Loan_Start&gt;0,1,0)</definedName>
    <definedName name="гн6ровортнорт">IF(Loan_Amount*Interest_Rate*Loan_Years*Loan_Start&gt;0,1,0)</definedName>
    <definedName name="гне">{30,140,350,160,"",""}</definedName>
    <definedName name="гншлно">#N/A</definedName>
    <definedName name="гншщг">#N/A</definedName>
    <definedName name="го">#REF!</definedName>
    <definedName name="год">'[15]Зан-ть(р-ны)'!$5:$5</definedName>
    <definedName name="Голышев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Голышев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город">#REF!</definedName>
    <definedName name="гр">#REF!</definedName>
    <definedName name="гуза">{30,140,350,160,"",""}</definedName>
    <definedName name="ГУРЛАНТУМАН">#REF!</definedName>
    <definedName name="гшаорл">#N/A</definedName>
    <definedName name="гшдгшд">#N/A</definedName>
    <definedName name="гшеашп">#N/A</definedName>
    <definedName name="гшенгкг">#N/A</definedName>
    <definedName name="гшзлдж">#N/A</definedName>
    <definedName name="гшзлод">#N/A</definedName>
    <definedName name="гшлго">#N/A</definedName>
    <definedName name="гшлдод">#N/A</definedName>
    <definedName name="гшлпло">#N/A</definedName>
    <definedName name="гшлрлдр">#N/A</definedName>
    <definedName name="гшщзгщ">#N/A</definedName>
    <definedName name="гщлгл">#N/A</definedName>
    <definedName name="д">#REF!</definedName>
    <definedName name="д5">#N/A</definedName>
    <definedName name="да">{30,140,350,160,"",""}</definedName>
    <definedName name="Дата">#REF!</definedName>
    <definedName name="ддд">#REF!</definedName>
    <definedName name="дддд">TRUNC((oy-1)/3+1)</definedName>
    <definedName name="ддддд" localSheetId="2" hidden="1">#REF!,#REF!,#REF!,#REF!</definedName>
    <definedName name="ддддд" localSheetId="6" hidden="1">#REF!,#REF!,#REF!,#REF!</definedName>
    <definedName name="ддддд" localSheetId="5" hidden="1">#REF!,#REF!,#REF!,#REF!</definedName>
    <definedName name="ддддд" localSheetId="4" hidden="1">#REF!,#REF!,#REF!,#REF!</definedName>
    <definedName name="ддддд" localSheetId="1" hidden="1">#REF!,#REF!,#REF!,#REF!</definedName>
    <definedName name="ддддд" localSheetId="3" hidden="1">#REF!,#REF!,#REF!,#REF!</definedName>
    <definedName name="ддддд" hidden="1">#REF!,#REF!,#REF!,#REF!</definedName>
    <definedName name="дебитор">#N/A</definedName>
    <definedName name="действующий">#REF!</definedName>
    <definedName name="Действующий_4">#REF!</definedName>
    <definedName name="дехконобод" hidden="1">{#N/A,#N/A,FALSE,"BODY"}</definedName>
    <definedName name="дзку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диап">#REF!</definedName>
    <definedName name="диёр">{30,140,350,160,"",""}</definedName>
    <definedName name="дИРЕКЦИЯ_ПО_СТР_ВУ_РЕГ.ВОДОПРОВОДОВ">#REF!</definedName>
    <definedName name="Дислок.2008">{30,140,350,160,"",""}</definedName>
    <definedName name="длдпржпрдоьж">#REF!</definedName>
    <definedName name="дло">#REF!</definedName>
    <definedName name="длоолл30">#N/A</definedName>
    <definedName name="днгшшен">#N/A</definedName>
    <definedName name="долг">#REF!</definedName>
    <definedName name="доллар">[16]c!$C$1</definedName>
    <definedName name="дтр">#REF!</definedName>
    <definedName name="дустл">{30,140,350,160,"",""}</definedName>
    <definedName name="е">#N/A</definedName>
    <definedName name="ё">{30,140,350,160,"",""}</definedName>
    <definedName name="еаншпроо">#N/A</definedName>
    <definedName name="ёё" localSheetId="2" hidden="1">#REF!</definedName>
    <definedName name="ёё" localSheetId="6" hidden="1">#REF!</definedName>
    <definedName name="ёё" localSheetId="5" hidden="1">#REF!</definedName>
    <definedName name="ёё" localSheetId="4" hidden="1">#REF!</definedName>
    <definedName name="ёё" localSheetId="1" hidden="1">#REF!</definedName>
    <definedName name="ёё" localSheetId="3" hidden="1">#REF!</definedName>
    <definedName name="ёё" hidden="1">#REF!</definedName>
    <definedName name="еее">#REF!</definedName>
    <definedName name="ёёё">#N/A</definedName>
    <definedName name="ек">{30,140,350,160,"",""}</definedName>
    <definedName name="еке">{30,140,350,160,"",""}</definedName>
    <definedName name="ен">{30,140,350,160,"",""}</definedName>
    <definedName name="енгео">#N/A</definedName>
    <definedName name="енгкен">#N/A</definedName>
    <definedName name="енгншлпрд">#N/A</definedName>
    <definedName name="енгоелорл">#N/A</definedName>
    <definedName name="енгоошен">#N/A</definedName>
    <definedName name="енгопро">#N/A</definedName>
    <definedName name="енгопроапеол">#N/A</definedName>
    <definedName name="енгшно">#N/A</definedName>
    <definedName name="енгшпроп">#N/A</definedName>
    <definedName name="енгшшлрл">#N/A</definedName>
    <definedName name="енен">#N/A</definedName>
    <definedName name="енолроо">#N/A</definedName>
    <definedName name="енопаолол">#N/A</definedName>
    <definedName name="енопрлол">#N/A</definedName>
    <definedName name="енр" localSheetId="2" hidden="1">#REF!</definedName>
    <definedName name="енр" localSheetId="6" hidden="1">#REF!</definedName>
    <definedName name="енр" localSheetId="5" hidden="1">#REF!</definedName>
    <definedName name="енр" localSheetId="4" hidden="1">#REF!</definedName>
    <definedName name="енр" localSheetId="1" hidden="1">#REF!</definedName>
    <definedName name="енр" localSheetId="3" hidden="1">#REF!</definedName>
    <definedName name="енр" hidden="1">#REF!</definedName>
    <definedName name="еншгл">#N/A</definedName>
    <definedName name="еншнглрол">#N/A</definedName>
    <definedName name="еншолодл">#N/A</definedName>
    <definedName name="еоуено">#N/A</definedName>
    <definedName name="еркер">#N/A</definedName>
    <definedName name="ешггкв">#N/A</definedName>
    <definedName name="ешгщшщ">#N/A</definedName>
    <definedName name="ешегкег">#N/A</definedName>
    <definedName name="ж">#N/A</definedName>
    <definedName name="жалаб">#REF!</definedName>
    <definedName name="жами">#REF!</definedName>
    <definedName name="жамол">#REF!</definedName>
    <definedName name="жд">#REF!</definedName>
    <definedName name="жжж">#REF!</definedName>
    <definedName name="жжжжжжж" localSheetId="2" hidden="1">#REF!</definedName>
    <definedName name="жжжжжжж" localSheetId="6" hidden="1">#REF!</definedName>
    <definedName name="жжжжжжж" localSheetId="5" hidden="1">#REF!</definedName>
    <definedName name="жжжжжжж" localSheetId="4" hidden="1">#REF!</definedName>
    <definedName name="жжжжжжж" localSheetId="1" hidden="1">#REF!</definedName>
    <definedName name="жжжжжжж" localSheetId="3" hidden="1">#REF!</definedName>
    <definedName name="жжжжжжж" hidden="1">#REF!</definedName>
    <definedName name="жиз">#REF!</definedName>
    <definedName name="Жиззах">{30,140,350,160,"",""}</definedName>
    <definedName name="жиззсвод">#REF!</definedName>
    <definedName name="жл">#REF!</definedName>
    <definedName name="жура">#REF!</definedName>
    <definedName name="з">#REF!</definedName>
    <definedName name="_xlnm.Print_Titles">#REF!</definedName>
    <definedName name="Закрытый359">#REF!</definedName>
    <definedName name="зал">{30,140,350,160,"",""}</definedName>
    <definedName name="Запрос1">#REF!</definedName>
    <definedName name="Зарплата_1">#REF!</definedName>
    <definedName name="Зарплата_2">#REF!</definedName>
    <definedName name="зафар">{30,140,350,160,"",""}</definedName>
    <definedName name="зд">#REF!,#REF!,#REF!</definedName>
    <definedName name="земельный" localSheetId="2" hidden="1">[17]фев!#REF!</definedName>
    <definedName name="земельный" localSheetId="6" hidden="1">[17]фев!#REF!</definedName>
    <definedName name="земельный" localSheetId="5" hidden="1">[17]фев!#REF!</definedName>
    <definedName name="земельный" localSheetId="4" hidden="1">[17]фев!#REF!</definedName>
    <definedName name="земельный" localSheetId="1" hidden="1">[17]фев!#REF!</definedName>
    <definedName name="земельный" localSheetId="3" hidden="1">[17]фев!#REF!</definedName>
    <definedName name="земельный" hidden="1">[17]фев!#REF!</definedName>
    <definedName name="зж">{30,140,350,160,"",""}</definedName>
    <definedName name="зоо">#REF!</definedName>
    <definedName name="зщ">{30,140,350,160,"",""}</definedName>
    <definedName name="и">#REF!</definedName>
    <definedName name="идёт">#REF!</definedName>
    <definedName name="иепр">#REF!</definedName>
    <definedName name="избос">#REF!</definedName>
    <definedName name="ИЗВЛЕЧЕНИЕ_ИМ">#REF!</definedName>
    <definedName name="_xlnm.Extract">#REF!</definedName>
    <definedName name="ИЗН">460</definedName>
    <definedName name="износом">43508</definedName>
    <definedName name="иииииитт">{30,140,350,160,"",""}</definedName>
    <definedName name="икки">'[11]Ер Ресурс'!#REF!</definedName>
    <definedName name="илова">#N/A</definedName>
    <definedName name="илхом">#REF!</definedName>
    <definedName name="ИЛЬЯС">#REF!</definedName>
    <definedName name="им">#N/A</definedName>
    <definedName name="имиттампа">{30,140,350,160,"",""}</definedName>
    <definedName name="имп">#REF!</definedName>
    <definedName name="импорт">#REF!</definedName>
    <definedName name="импорт222">#REF!</definedName>
    <definedName name="имспрп">{30,140,350,160,"",""}</definedName>
    <definedName name="имтим">#N/A</definedName>
    <definedName name="имывяол">{30,140,350,160,"",""}</definedName>
    <definedName name="имыясм">{30,140,350,160,"",""}</definedName>
    <definedName name="ин">#REF!</definedName>
    <definedName name="инвестиция">#REF!</definedName>
    <definedName name="инкасса">{30,140,350,160,"",""}</definedName>
    <definedName name="ип">#N/A</definedName>
    <definedName name="ипак">#N/A</definedName>
    <definedName name="ипр">{30,140,350,160,"",""}</definedName>
    <definedName name="ипрол" localSheetId="2" hidden="1">#REF!</definedName>
    <definedName name="ипрол" localSheetId="6" hidden="1">#REF!</definedName>
    <definedName name="ипрол" localSheetId="5" hidden="1">#REF!</definedName>
    <definedName name="ипрол" localSheetId="4" hidden="1">#REF!</definedName>
    <definedName name="ипрол" localSheetId="1" hidden="1">#REF!</definedName>
    <definedName name="ипрол" localSheetId="3" hidden="1">#REF!</definedName>
    <definedName name="ипрол" hidden="1">#REF!</definedName>
    <definedName name="ислом">{30,140,350,160,"",""}</definedName>
    <definedName name="исм">{30,140,350,160,"",""}</definedName>
    <definedName name="итог">#N/A</definedName>
    <definedName name="июл">#REF!</definedName>
    <definedName name="июн">#REF!</definedName>
    <definedName name="й">#N/A</definedName>
    <definedName name="йил">#REF!</definedName>
    <definedName name="йй">#REF!</definedName>
    <definedName name="ййй">#REF!</definedName>
    <definedName name="ЙЙЙЙ" localSheetId="2" hidden="1">#REF!</definedName>
    <definedName name="ЙЙЙЙ" localSheetId="6" hidden="1">#REF!</definedName>
    <definedName name="ЙЙЙЙ" localSheetId="5" hidden="1">#REF!</definedName>
    <definedName name="ЙЙЙЙ" localSheetId="4" hidden="1">#REF!</definedName>
    <definedName name="ЙЙЙЙ" localSheetId="1" hidden="1">#REF!</definedName>
    <definedName name="ЙЙЙЙ" localSheetId="3" hidden="1">#REF!</definedName>
    <definedName name="ЙЙЙЙ" hidden="1">#REF!</definedName>
    <definedName name="ййййййййййййййййййй">TRUNC((oy-1)/3+1)</definedName>
    <definedName name="йййййййййййййййййййййййй">TRUNC((oy-1)/3+1)</definedName>
    <definedName name="йуке">#REF!</definedName>
    <definedName name="Йуклама">{30,140,350,160,"",""}</definedName>
    <definedName name="йфя">#REF!</definedName>
    <definedName name="йц">{30,140,350,160,"",""}</definedName>
    <definedName name="к">#N/A</definedName>
    <definedName name="как">#REF!</definedName>
    <definedName name="каккк">#REF!</definedName>
    <definedName name="КАР">#REF!</definedName>
    <definedName name="Карбамид" hidden="1">{"'Monthly 1997'!$A$3:$S$89"}</definedName>
    <definedName name="карз">#REF!</definedName>
    <definedName name="каук">#REF!</definedName>
    <definedName name="каф">#REF!</definedName>
    <definedName name="кахрамон">#REF!</definedName>
    <definedName name="кацуац">{30,140,350,160,"",""}</definedName>
    <definedName name="каш">#REF!</definedName>
    <definedName name="Кашк">TRUNC((oy-1)/3+1)</definedName>
    <definedName name="кашка">#REF!</definedName>
    <definedName name="Кашкадарё">#REF!</definedName>
    <definedName name="кв">'[15]Зан-ть(р-ны)'!$5:$5</definedName>
    <definedName name="кгшн">#N/A</definedName>
    <definedName name="кгшншг">#N/A</definedName>
    <definedName name="ке">{30,140,350,160,"",""}</definedName>
    <definedName name="кеглоь">#N/A</definedName>
    <definedName name="кегнг">#N/A</definedName>
    <definedName name="кейс">#REF!</definedName>
    <definedName name="кек">#REF!</definedName>
    <definedName name="кекен">#N/A</definedName>
    <definedName name="келес">#REF!</definedName>
    <definedName name="кен">{30,140,350,160,"",""}</definedName>
    <definedName name="кенпа">#N/A</definedName>
    <definedName name="кирим">{30,140,350,160,"",""}</definedName>
    <definedName name="кк">{30,140,350,160,"",""}</definedName>
    <definedName name="ккк">#REF!</definedName>
    <definedName name="км">#REF!</definedName>
    <definedName name="кн4у5г" localSheetId="7">MATCH(0.01,End_Bal,-1)+1</definedName>
    <definedName name="кн4у5г" localSheetId="2">MATCH(0.01,End_Bal,-1)+1</definedName>
    <definedName name="кн4у5г" localSheetId="5">MATCH(0.01,End_Bal,-1)+1</definedName>
    <definedName name="кн4у5г" localSheetId="4">MATCH(0.01,End_Bal,-1)+1</definedName>
    <definedName name="кн4у5г" localSheetId="3">MATCH(0.01,End_Bal,-1)+1</definedName>
    <definedName name="кн4у5г">MATCH(0.01,End_Bal,-1)+1</definedName>
    <definedName name="Кодир">#REF!</definedName>
    <definedName name="Кол2010">#REF!</definedName>
    <definedName name="константы">#REF!,#REF!,#REF!,#REF!,#REF!,#REF!,#REF!,#REF!,#REF!</definedName>
    <definedName name="копия">#REF!</definedName>
    <definedName name="Кораколпок">#REF!</definedName>
    <definedName name="коха">#REF!</definedName>
    <definedName name="кре">#N/A</definedName>
    <definedName name="кредит">DATE(yil,oy,1)</definedName>
    <definedName name="_xlnm.Criteria">#REF!</definedName>
    <definedName name="ку">{30,140,350,160,"",""}</definedName>
    <definedName name="Куйичирчик_договор">#REF!</definedName>
    <definedName name="Куйичирчик_семена">#REF!</definedName>
    <definedName name="кук">#REF!</definedName>
    <definedName name="кукук">#REF!</definedName>
    <definedName name="кул">#REF!</definedName>
    <definedName name="Кулок">{30,140,350,160,"",""}</definedName>
    <definedName name="кулоко">{30,140,350,160,"",""}</definedName>
    <definedName name="култивация">#REF!</definedName>
    <definedName name="культи">'[18]Фориш 2003'!$O$4</definedName>
    <definedName name="кунда">#REF!</definedName>
    <definedName name="купкари">#REF!</definedName>
    <definedName name="куподлоқпждлвао" localSheetId="2" hidden="1">#REF!</definedName>
    <definedName name="куподлоқпждлвао" localSheetId="6" hidden="1">#REF!</definedName>
    <definedName name="куподлоқпждлвао" localSheetId="5" hidden="1">#REF!</definedName>
    <definedName name="куподлоқпждлвао" localSheetId="4" hidden="1">#REF!</definedName>
    <definedName name="куподлоқпждлвао" localSheetId="1" hidden="1">#REF!</definedName>
    <definedName name="куподлоқпждлвао" localSheetId="3" hidden="1">#REF!</definedName>
    <definedName name="куподлоқпждлвао" hidden="1">#REF!</definedName>
    <definedName name="Кўрсаткичлар">#N/A</definedName>
    <definedName name="кутча">{30,140,350,160,"",""}</definedName>
    <definedName name="куш">'[19]Зан-ть(р-ны)'!$5:$5</definedName>
    <definedName name="кц">{30,140,350,160,"",""}</definedName>
    <definedName name="қВа">#REF!</definedName>
    <definedName name="ҚВП">#REF!</definedName>
    <definedName name="ҚВПлар">#REF!</definedName>
    <definedName name="қққ">#REF!</definedName>
    <definedName name="қукрқаифпафв">#REF!</definedName>
    <definedName name="л">#N/A</definedName>
    <definedName name="лвлл">#REF!</definedName>
    <definedName name="лд">#REF!</definedName>
    <definedName name="лджрпж">#REF!</definedName>
    <definedName name="лдлд">#N/A</definedName>
    <definedName name="лдлдбитлб">#N/A</definedName>
    <definedName name="лдлшш">#N/A</definedName>
    <definedName name="лдэ">#REF!</definedName>
    <definedName name="ликвид">TRUNC((oy-1)/3+1)</definedName>
    <definedName name="лист">#REF!</definedName>
    <definedName name="Лист_1">#N/A</definedName>
    <definedName name="лист2">#N/A</definedName>
    <definedName name="лит">{30,140,350,160,"",""}</definedName>
    <definedName name="лл">{30,140,350,160,"",""}</definedName>
    <definedName name="ЛЛЛЛ" localSheetId="2" hidden="1">#REF!</definedName>
    <definedName name="ЛЛЛЛ" localSheetId="6" hidden="1">#REF!</definedName>
    <definedName name="ЛЛЛЛ" localSheetId="5" hidden="1">#REF!</definedName>
    <definedName name="ЛЛЛЛ" localSheetId="4" hidden="1">#REF!</definedName>
    <definedName name="ЛЛЛЛ" localSheetId="1" hidden="1">#REF!</definedName>
    <definedName name="ЛЛЛЛ" localSheetId="3" hidden="1">#REF!</definedName>
    <definedName name="ЛЛЛЛ" hidden="1">#REF!</definedName>
    <definedName name="лллллллллллллл">#N/A</definedName>
    <definedName name="ло">{30,140,350,160,"",""}</definedName>
    <definedName name="лодрт">#REF!</definedName>
    <definedName name="лойихалар">#REF!</definedName>
    <definedName name="ЛокализацияBPU">#REF!</definedName>
    <definedName name="ЛокализацияDAMAS">#REF!,#REF!,#REF!</definedName>
    <definedName name="ЛокализацияLGLL">#REF!</definedName>
    <definedName name="ЛокализацияTICO">#REF!</definedName>
    <definedName name="ЛокализацияWFL">#REF!</definedName>
    <definedName name="ЛокализацияWFR">#REF!</definedName>
    <definedName name="ЛОЛО">#REF!</definedName>
    <definedName name="лорлд">#N/A</definedName>
    <definedName name="лоюолоапр">#N/A</definedName>
    <definedName name="лр">#REF!</definedName>
    <definedName name="льорл">#N/A</definedName>
    <definedName name="м">#REF!</definedName>
    <definedName name="М000000000">#REF!</definedName>
    <definedName name="М50.12">#REF!</definedName>
    <definedName name="май">#REF!</definedName>
    <definedName name="Макрос1">#N/A</definedName>
    <definedName name="Макрос2">#REF!</definedName>
    <definedName name="Макрос3">#REF!</definedName>
    <definedName name="манзилли">#REF!</definedName>
    <definedName name="марка">[20]s!$Q$124</definedName>
    <definedName name="март">#REF!</definedName>
    <definedName name="маруф">#REF!</definedName>
    <definedName name="Массив_обл">#N/A</definedName>
    <definedName name="Массив_СвС">#N/A</definedName>
    <definedName name="машина">{30,140,350,160,"",""}</definedName>
    <definedName name="МАЪЛУМОТ">#REF!</definedName>
    <definedName name="мева">#REF!</definedName>
    <definedName name="мест">#REF!</definedName>
    <definedName name="местний">#REF!</definedName>
    <definedName name="мз">#REF!</definedName>
    <definedName name="МЗ_1">#REF!</definedName>
    <definedName name="МЗ_2">#REF!</definedName>
    <definedName name="миит">#REF!</definedName>
    <definedName name="минг">#REF!</definedName>
    <definedName name="мингта">#REF!</definedName>
    <definedName name="мингча">#REF!</definedName>
    <definedName name="Минимал_1">#REF!</definedName>
    <definedName name="Минимал_2">#REF!</definedName>
    <definedName name="миоо">#N/A</definedName>
    <definedName name="миоро">#N/A</definedName>
    <definedName name="мир">#REF!</definedName>
    <definedName name="мирз">{30,140,350,160,"",""}</definedName>
    <definedName name="Мирзачул">'[21]Фориш 2003'!$O$4</definedName>
    <definedName name="мм">#REF!</definedName>
    <definedName name="ммм">#REF!</definedName>
    <definedName name="мммм">#REF!</definedName>
    <definedName name="ммммм">#REF!</definedName>
    <definedName name="Монетиз">#N/A</definedName>
    <definedName name="мссиииисс">{30,140,350,160,"",""}</definedName>
    <definedName name="МССЯВВАВВФФ">{30,140,350,160,"",""}</definedName>
    <definedName name="мухабат">#REF!</definedName>
    <definedName name="мф">#REF!</definedName>
    <definedName name="мфу02">#REF!</definedName>
    <definedName name="н">#N/A</definedName>
    <definedName name="нав" localSheetId="7">IF(Loan_Amount*Interest_Rate*Loan_Years*Loan_Start&gt;0,1,0)</definedName>
    <definedName name="нав" localSheetId="2">IF(Loan_Amount*Interest_Rate*Loan_Years*Loan_Start&gt;0,1,0)</definedName>
    <definedName name="нав" localSheetId="5">IF(Loan_Amount*Interest_Rate*Loan_Years*Loan_Start&gt;0,1,0)</definedName>
    <definedName name="нав" localSheetId="4">IF(Loan_Amount*Interest_Rate*Loan_Years*Loan_Start&gt;0,1,0)</definedName>
    <definedName name="нав" localSheetId="3">IF(Loan_Amount*Interest_Rate*Loan_Years*Loan_Start&gt;0,1,0)</definedName>
    <definedName name="нав">IF(Loan_Amount*Interest_Rate*Loan_Years*Loan_Start&gt;0,1,0)</definedName>
    <definedName name="навои">#REF!</definedName>
    <definedName name="Навоий">#REF!</definedName>
    <definedName name="наман">#REF!</definedName>
    <definedName name="наманган">#REF!</definedName>
    <definedName name="нар26" hidden="1">#N/A</definedName>
    <definedName name="нац">#N/A</definedName>
    <definedName name="нбу">#N/A</definedName>
    <definedName name="нгшгке">#N/A</definedName>
    <definedName name="нгщд">#N/A</definedName>
    <definedName name="нгщдлод">#N/A</definedName>
    <definedName name="нгщдолд">#N/A</definedName>
    <definedName name="нгщшдл">#N/A</definedName>
    <definedName name="не">{30,140,350,160,"",""}</definedName>
    <definedName name="негнопо">#N/A</definedName>
    <definedName name="неукв">#N/A</definedName>
    <definedName name="нилуфа">#REF!</definedName>
    <definedName name="нилуфар">#REF!</definedName>
    <definedName name="нк">{30,140,350,160,"",""}</definedName>
    <definedName name="нн">#REF!</definedName>
    <definedName name="ннн">#REF!</definedName>
    <definedName name="нннн">#REF!</definedName>
    <definedName name="новое">#REF!</definedName>
    <definedName name="нод">#N/A</definedName>
    <definedName name="Норма">[22]Нарх!$A$1:$P$248</definedName>
    <definedName name="нояб">#REF!</definedName>
    <definedName name="нргшщ">#N/A</definedName>
    <definedName name="нук">TRUNC((oy-1)/3+1)</definedName>
    <definedName name="нур">#REF!</definedName>
    <definedName name="о">{30,140,350,160,"",""}</definedName>
    <definedName name="О42">#REF!</definedName>
    <definedName name="оаовао">#REF!</definedName>
    <definedName name="_xlnm.Print_Area" localSheetId="7">'Қўшимча ишга тушган'!$A$1:$BX$15</definedName>
    <definedName name="_xlnm.Print_Area" localSheetId="0">манзилли!$A$1:$AD$974</definedName>
    <definedName name="_xlnm.Print_Area" localSheetId="2">'свод (банк)'!$A$1:$BL$26</definedName>
    <definedName name="_xlnm.Print_Area" localSheetId="6">'свод (сектор вилоят)'!$A$1:$BL$81</definedName>
    <definedName name="_xlnm.Print_Area" localSheetId="5">'свод (сектор)'!$A$1:$BL$27</definedName>
    <definedName name="_xlnm.Print_Area" localSheetId="4">'свод (соҳа)'!$A$1:$BL$47</definedName>
    <definedName name="_xlnm.Print_Area" localSheetId="1">'свод (худуд)'!$A$1:$BL$26</definedName>
    <definedName name="_xlnm.Print_Area" localSheetId="3">'свод(тахлил)'!$A$1:$AR$26</definedName>
    <definedName name="_xlnm.Print_Area">#REF!</definedName>
    <definedName name="областя" hidden="1">{"Income",#N/A,TRUE,"Income ";"Balance",#N/A,TRUE,"Balance";"Deposits by Client Type",#N/A,TRUE,"Deposits by Client";"Commitments and Contingencies",#N/A,TRUE,"Commitments";"Analysis of Interest",#N/A,TRUE,"Analysis of Inerest";"Liquidity Analysis",#N/A,TRUE,"Liquidity Analysis";"Investment Securities",#N/A,TRUE,"Investment Securities";"Miscellaneous",#N/A,TRUE,"Miscellaneous";"Changes in Equity Capital",#N/A,TRUE,"Changes in Equity";"Aging Analysis",#N/A,TRUE,"Aging Analysis";"Loans Receivable",#N/A,TRUE,"Loans Receivable";"Calculation of Risk Weighted Assets",#N/A,TRUE,"Calculation of Risk Weighted As";"Bank Capital Calculation",#N/A,TRUE,"Bank Capital Calc.";"Bank Asset Analysis",#N/A,TRUE,"Bank Assets Analysis";"Twenty Largest",#N/A,TRUE,"Twenty Largest";"Reconciliation",#N/A,TRUE,"Recociliation ";"Loans to Affiliated Persons",#N/A,TRUE,"Loans to Affiliated P.";"Loan Classification",#N/A,TRUE,"Loan Classification";"Bank Liabilities",#N/A,TRUE,"Bank Liabilities Analysis";"Charge Offs",#N/A,TRUE,"Charge-offs and Recoveries"}</definedName>
    <definedName name="Оболожка">{30,140,350,160,"",""}</definedName>
    <definedName name="овкей">#REF!</definedName>
    <definedName name="од">#REF!</definedName>
    <definedName name="Одил">#REF!</definedName>
    <definedName name="окей">#REF!</definedName>
    <definedName name="Оккургон_договор">#REF!</definedName>
    <definedName name="Оккургон_семена">#REF!</definedName>
    <definedName name="ол">{30,140,350,160,"",""}</definedName>
    <definedName name="ола">'[23]Гай пахта'!#REF!</definedName>
    <definedName name="олг">#REF!</definedName>
    <definedName name="олдордлро">#N/A</definedName>
    <definedName name="олл">#N/A</definedName>
    <definedName name="олма" localSheetId="2" hidden="1">#REF!</definedName>
    <definedName name="олма" localSheetId="6" hidden="1">#REF!</definedName>
    <definedName name="олма" localSheetId="5" hidden="1">#REF!</definedName>
    <definedName name="олма" localSheetId="4" hidden="1">#REF!</definedName>
    <definedName name="олма" localSheetId="1" hidden="1">#REF!</definedName>
    <definedName name="олма" localSheetId="3" hidden="1">#REF!</definedName>
    <definedName name="олма" hidden="1">#REF!</definedName>
    <definedName name="олмалик" localSheetId="2" hidden="1">#REF!</definedName>
    <definedName name="олмалик" localSheetId="6" hidden="1">#REF!</definedName>
    <definedName name="олмалик" localSheetId="5" hidden="1">#REF!</definedName>
    <definedName name="олмалик" localSheetId="4" hidden="1">#REF!</definedName>
    <definedName name="олмалик" localSheetId="1" hidden="1">#REF!</definedName>
    <definedName name="олмалик" localSheetId="3" hidden="1">#REF!</definedName>
    <definedName name="олмалик" hidden="1">#REF!</definedName>
    <definedName name="олмос">'[23]Гай пахта'!#REF!</definedName>
    <definedName name="олполднгл">#N/A</definedName>
    <definedName name="олтин_дала">#REF!</definedName>
    <definedName name="Олувчи">#REF!</definedName>
    <definedName name="ольга" hidden="1">{#N/A,#N/A,FALSE,"BODY"}</definedName>
    <definedName name="оля">#REF!</definedName>
    <definedName name="ооллолол" localSheetId="2" hidden="1">#REF!</definedName>
    <definedName name="ооллолол" localSheetId="6" hidden="1">#REF!</definedName>
    <definedName name="ооллолол" localSheetId="5" hidden="1">#REF!</definedName>
    <definedName name="ооллолол" localSheetId="4" hidden="1">#REF!</definedName>
    <definedName name="ооллолол" localSheetId="1" hidden="1">#REF!</definedName>
    <definedName name="ооллолол" localSheetId="3" hidden="1">#REF!</definedName>
    <definedName name="ооллолол" hidden="1">#REF!</definedName>
    <definedName name="оолол">#REF!</definedName>
    <definedName name="ооо">#REF!</definedName>
    <definedName name="оооо">TRUNC((oy-1)/3+1)</definedName>
    <definedName name="ооооо">#REF!</definedName>
    <definedName name="опдбродролд">#N/A</definedName>
    <definedName name="ор">#REF!,#REF!,#REF!</definedName>
    <definedName name="орде">#REF!</definedName>
    <definedName name="ордлжд">#N/A</definedName>
    <definedName name="орлдапелапл">#N/A</definedName>
    <definedName name="орлдлд">#N/A</definedName>
    <definedName name="орлоддб">#N/A</definedName>
    <definedName name="орлорлд">#N/A</definedName>
    <definedName name="орлролр">#REF!</definedName>
    <definedName name="ОРОРО1">#REF!</definedName>
    <definedName name="орпр">#N/A</definedName>
    <definedName name="ОСТ">0</definedName>
    <definedName name="отажонов">#REF!</definedName>
    <definedName name="отпро">#REF!</definedName>
    <definedName name="отработано" localSheetId="7">[0]!_a1Z,[0]!_a2Z</definedName>
    <definedName name="отработано" localSheetId="2">[0]!_a1Z,[0]!_a2Z</definedName>
    <definedName name="отработано" localSheetId="5">[0]!_a1Z,[0]!_a2Z</definedName>
    <definedName name="отработано" localSheetId="4">[0]!_a1Z,[0]!_a2Z</definedName>
    <definedName name="отработано" localSheetId="3">[0]!_a1Z,[0]!_a2Z</definedName>
    <definedName name="отработано">[0]!_a1Z,[0]!_a2Z</definedName>
    <definedName name="оьтлодламп">{30,140,350,160,"",""}</definedName>
    <definedName name="п">#N/A</definedName>
    <definedName name="п1">36525</definedName>
    <definedName name="п2">5</definedName>
    <definedName name="п3">43508</definedName>
    <definedName name="п4">43508</definedName>
    <definedName name="п5">36982</definedName>
    <definedName name="п6">36281</definedName>
    <definedName name="п7">36982</definedName>
    <definedName name="па" localSheetId="7">MATCH(0.01,End_Bal,-1)+1</definedName>
    <definedName name="па" localSheetId="2">MATCH(0.01,End_Bal,-1)+1</definedName>
    <definedName name="па" localSheetId="5">MATCH(0.01,End_Bal,-1)+1</definedName>
    <definedName name="па" localSheetId="4">MATCH(0.01,End_Bal,-1)+1</definedName>
    <definedName name="па" localSheetId="3">MATCH(0.01,End_Bal,-1)+1</definedName>
    <definedName name="па">MATCH(0.01,End_Bal,-1)+1</definedName>
    <definedName name="пап">#REF!</definedName>
    <definedName name="паур">#REF!</definedName>
    <definedName name="пах">#N/A</definedName>
    <definedName name="пахта">{30,140,350,160,"",""}</definedName>
    <definedName name="пахта2">{30,140,350,160,"",""}</definedName>
    <definedName name="пахта3">{30,140,350,160,"",""}</definedName>
    <definedName name="ПЕНСИЯ">#REF!</definedName>
    <definedName name="период">1</definedName>
    <definedName name="печать">#N/A</definedName>
    <definedName name="ПИР">#REF!</definedName>
    <definedName name="ПИРА">#REF!</definedName>
    <definedName name="пмрп">#N/A</definedName>
    <definedName name="Полигон">#REF!</definedName>
    <definedName name="полордол">#N/A</definedName>
    <definedName name="пор">#REF!</definedName>
    <definedName name="поступило">36525</definedName>
    <definedName name="Поток2004">#REF!</definedName>
    <definedName name="пп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ппп">#REF!</definedName>
    <definedName name="пппп">#REF!</definedName>
    <definedName name="ппппп">#REF!</definedName>
    <definedName name="пппр">#REF!</definedName>
    <definedName name="пр">#N/A</definedName>
    <definedName name="пренгш">#REF!</definedName>
    <definedName name="Прил.9..">'[24]Зан-ть(р-ны)'!$5:$5</definedName>
    <definedName name="ПРИХ">35000</definedName>
    <definedName name="прлордлюдл">#N/A</definedName>
    <definedName name="про">'[25]уюшмага10,09 холатига'!#REF!</definedName>
    <definedName name="про1">#REF!</definedName>
    <definedName name="проба" localSheetId="2" hidden="1">#REF!,#REF!</definedName>
    <definedName name="проба" localSheetId="6" hidden="1">#REF!,#REF!</definedName>
    <definedName name="проба" localSheetId="5" hidden="1">#REF!,#REF!</definedName>
    <definedName name="проба" localSheetId="4" hidden="1">#REF!,#REF!</definedName>
    <definedName name="проба" localSheetId="1" hidden="1">#REF!,#REF!</definedName>
    <definedName name="проба" localSheetId="3" hidden="1">#REF!,#REF!</definedName>
    <definedName name="проба" hidden="1">#REF!,#REF!</definedName>
    <definedName name="Прог">TRUNC((oy-1)/3+1)</definedName>
    <definedName name="Прогноз">#REF!</definedName>
    <definedName name="ПРОГНОЗНЫЕ_ПАРАМЕТРЫ_РАСХОДОВ">#N/A</definedName>
    <definedName name="программа">TRUNC((oy-1)/3+1)</definedName>
    <definedName name="прод">#N/A</definedName>
    <definedName name="прок">#REF!</definedName>
    <definedName name="проч">TRUNC((oy-1)/3+1)</definedName>
    <definedName name="прпо">#N/A</definedName>
    <definedName name="прпр123">#REF!</definedName>
    <definedName name="прпрпр">#N/A</definedName>
    <definedName name="прпрпрпр">#REF!</definedName>
    <definedName name="прпрпрпрпрпрпрпрпрп" hidden="1">{"'Monthly 1997'!$A$3:$S$89"}</definedName>
    <definedName name="псб">#N/A</definedName>
    <definedName name="пт">#N/A</definedName>
    <definedName name="пункт">[22]Пункт!$A$1:$B$9</definedName>
    <definedName name="пх">#REF!</definedName>
    <definedName name="пшднгшгн">#N/A</definedName>
    <definedName name="р">{30,140,350,160,"",""}</definedName>
    <definedName name="район">{30,140,350,160,"",""}</definedName>
    <definedName name="рассмотрительная2">#REF!</definedName>
    <definedName name="РАСХ">0</definedName>
    <definedName name="Расход_2004_Лист3__2__Таблица">#REF!</definedName>
    <definedName name="Расход_2004_Лист3__2__Таблица1">#REF!</definedName>
    <definedName name="Расход_2004_Лист3__2__Таблица2">#REF!,#REF!</definedName>
    <definedName name="расчета">36465</definedName>
    <definedName name="рдр" localSheetId="7">MATCH(0.01,End_Bal,-1)+1</definedName>
    <definedName name="рдр" localSheetId="2">MATCH(0.01,End_Bal,-1)+1</definedName>
    <definedName name="рдр" localSheetId="5">MATCH(0.01,End_Bal,-1)+1</definedName>
    <definedName name="рдр" localSheetId="4">MATCH(0.01,End_Bal,-1)+1</definedName>
    <definedName name="рдр" localSheetId="3">MATCH(0.01,End_Bal,-1)+1</definedName>
    <definedName name="рдр">MATCH(0.01,End_Bal,-1)+1</definedName>
    <definedName name="ре">#REF!</definedName>
    <definedName name="рег_1">#REF!</definedName>
    <definedName name="рег_2">#REF!</definedName>
    <definedName name="рег1">#REF!</definedName>
    <definedName name="рег2">#REF!</definedName>
    <definedName name="режа">{30,140,350,160,"",""}</definedName>
    <definedName name="Рек">#REF!</definedName>
    <definedName name="_xlnm.Recorder">#REF!</definedName>
    <definedName name="рес">TRUNC((oy-1)/3+1)</definedName>
    <definedName name="респ">TRUNC((oy-1)/3+1)</definedName>
    <definedName name="респуб">#REF!</definedName>
    <definedName name="рке">#REF!</definedName>
    <definedName name="рл">#N/A</definedName>
    <definedName name="рлжлджролд">#N/A</definedName>
    <definedName name="рлр">TRUNC((oy-1)/3+1)</definedName>
    <definedName name="робюлюб">#N/A</definedName>
    <definedName name="розжзщ">#N/A</definedName>
    <definedName name="рол">#REF!</definedName>
    <definedName name="ролбрп">#N/A</definedName>
    <definedName name="ролдгнш">#N/A</definedName>
    <definedName name="ролдорбд">#N/A</definedName>
    <definedName name="ролр">#N/A</definedName>
    <definedName name="роол">#REF!</definedName>
    <definedName name="роопропроп">TRUNC((oy-1)/3+1)</definedName>
    <definedName name="ропо">{30,140,350,160,"",""}</definedName>
    <definedName name="ропопролегл">#N/A</definedName>
    <definedName name="ропропро">#N/A</definedName>
    <definedName name="рор">#REF!</definedName>
    <definedName name="рорпрр">{30,140,350,160,"",""}</definedName>
    <definedName name="рпаврпаравравр">#REF!</definedName>
    <definedName name="рподлоол">#N/A</definedName>
    <definedName name="рполпролпол">#REF!</definedName>
    <definedName name="рпр">#REF!</definedName>
    <definedName name="РПРПРРПР">#REF!</definedName>
    <definedName name="рпт">#N/A</definedName>
    <definedName name="рр">{30,140,350,160,"",""}</definedName>
    <definedName name="рркере">#REF!</definedName>
    <definedName name="рррр">#N/A</definedName>
    <definedName name="ррррр">#REF!</definedName>
    <definedName name="рррррррррррр">#REF!</definedName>
    <definedName name="рыва">#REF!</definedName>
    <definedName name="рывр">#REF!</definedName>
    <definedName name="рын">'[5]Зан-ть(р-ны)'!$5:$5</definedName>
    <definedName name="рынок">'[26]Зан-ть(р-ны)'!$5:$5</definedName>
    <definedName name="с" localSheetId="2" hidden="1">#REF!</definedName>
    <definedName name="с" localSheetId="6" hidden="1">#REF!</definedName>
    <definedName name="с" localSheetId="5" hidden="1">#REF!</definedName>
    <definedName name="с" localSheetId="4" hidden="1">#REF!</definedName>
    <definedName name="с" localSheetId="1" hidden="1">#REF!</definedName>
    <definedName name="с" localSheetId="3" hidden="1">#REF!</definedName>
    <definedName name="с" hidden="1">#REF!</definedName>
    <definedName name="С29">#REF!</definedName>
    <definedName name="с519">#REF!</definedName>
    <definedName name="с52">#REF!</definedName>
    <definedName name="с53">#REF!</definedName>
    <definedName name="с86">#REF!</definedName>
    <definedName name="сам">{30,140,350,160,"",""}</definedName>
    <definedName name="Самарканд">#REF!</definedName>
    <definedName name="Сана1">#REF!</definedName>
    <definedName name="Сана2">#REF!</definedName>
    <definedName name="Санжар">{30,140,350,160,"",""}</definedName>
    <definedName name="свод">#REF!,#REF!,#REF!</definedName>
    <definedName name="сводка">{30,140,350,160,"",""}</definedName>
    <definedName name="свока">#REF!</definedName>
    <definedName name="СВП">#REF!</definedName>
    <definedName name="сел">{30,140,350,160,"",""}</definedName>
    <definedName name="Сельхоз">#N/A</definedName>
    <definedName name="сен">#REF!</definedName>
    <definedName name="сент">#REF!</definedName>
    <definedName name="Сирдарё">#REF!</definedName>
    <definedName name="см">#N/A</definedName>
    <definedName name="смавввсмсм">{30,140,350,160,"",""}</definedName>
    <definedName name="смимими">{30,140,350,160,"",""}</definedName>
    <definedName name="сопос">#REF!</definedName>
    <definedName name="сохалар" localSheetId="2" hidden="1">#REF!</definedName>
    <definedName name="сохалар" localSheetId="6" hidden="1">#REF!</definedName>
    <definedName name="сохалар" localSheetId="5" hidden="1">#REF!</definedName>
    <definedName name="сохалар" localSheetId="4" hidden="1">#REF!</definedName>
    <definedName name="сохалар" localSheetId="1" hidden="1">#REF!</definedName>
    <definedName name="сохалар" localSheetId="3" hidden="1">#REF!</definedName>
    <definedName name="сохалар" hidden="1">#REF!</definedName>
    <definedName name="соьро">#N/A</definedName>
    <definedName name="спн">#REF!</definedName>
    <definedName name="Спорт">#REF!</definedName>
    <definedName name="Спортлар">#REF!</definedName>
    <definedName name="Срок">#REF!</definedName>
    <definedName name="срочно">#N/A</definedName>
    <definedName name="срропар">#N/A</definedName>
    <definedName name="Сртук_ДАгр">#N/A</definedName>
    <definedName name="ссмсмва">{30,140,350,160,"",""}</definedName>
    <definedName name="ссмсчисисисим">{30,140,350,160,"",""}</definedName>
    <definedName name="ссс">#REF!</definedName>
    <definedName name="сссс" localSheetId="7">[0]!_a1Z,[0]!_a2Z</definedName>
    <definedName name="сссс" localSheetId="2">[0]!_a1Z,[0]!_a2Z</definedName>
    <definedName name="сссс" localSheetId="5">[0]!_a1Z,[0]!_a2Z</definedName>
    <definedName name="сссс" localSheetId="4">[0]!_a1Z,[0]!_a2Z</definedName>
    <definedName name="сссс" localSheetId="3">[0]!_a1Z,[0]!_a2Z</definedName>
    <definedName name="сссс">[0]!_a1Z,[0]!_a2Z</definedName>
    <definedName name="ставка_05_2_1">#REF!</definedName>
    <definedName name="ставка_05_2_10">#REF!</definedName>
    <definedName name="ставка_05_2_2">#REF!</definedName>
    <definedName name="ставка_05_2_3">#REF!</definedName>
    <definedName name="ставка_05_2_4">#REF!</definedName>
    <definedName name="ставка_05_2_5">#REF!</definedName>
    <definedName name="ставка_05_2_6">#REF!</definedName>
    <definedName name="ставка_05_2_7">#REF!</definedName>
    <definedName name="ставка_05_2_8">#REF!</definedName>
    <definedName name="ставка_05_2_9">#REF!</definedName>
    <definedName name="ставка_05_3_1">#REF!</definedName>
    <definedName name="ставка_05_3_10">#REF!</definedName>
    <definedName name="ставка_05_3_2">#REF!</definedName>
    <definedName name="ставка_05_3_3">#REF!</definedName>
    <definedName name="ставка_05_3_4">#REF!</definedName>
    <definedName name="ставка_05_3_5">#REF!</definedName>
    <definedName name="ставка_05_3_6">#REF!</definedName>
    <definedName name="ставка_05_3_7">#REF!</definedName>
    <definedName name="ставка_05_3_8">#REF!</definedName>
    <definedName name="ставка_05_3_9">#REF!</definedName>
    <definedName name="ставка_06_2_1">#REF!</definedName>
    <definedName name="ставка_06_2_10">#REF!</definedName>
    <definedName name="ставка_06_2_2">#REF!</definedName>
    <definedName name="ставка_06_2_3">#REF!</definedName>
    <definedName name="ставка_06_2_4">#REF!</definedName>
    <definedName name="ставка_06_2_5">#REF!</definedName>
    <definedName name="ставка_06_2_6">#REF!</definedName>
    <definedName name="ставка_06_2_7">#REF!</definedName>
    <definedName name="ставка_06_2_8">#REF!</definedName>
    <definedName name="ставка_06_2_9">#REF!</definedName>
    <definedName name="ставка_06_3_1">#REF!</definedName>
    <definedName name="ставка_06_3_10">#REF!</definedName>
    <definedName name="ставка_06_3_2">#REF!</definedName>
    <definedName name="ставка_06_3_3">#REF!</definedName>
    <definedName name="ставка_06_3_4">#REF!</definedName>
    <definedName name="ставка_06_3_5">#REF!</definedName>
    <definedName name="ставка_06_3_6">#REF!</definedName>
    <definedName name="ставка_06_3_7">#REF!</definedName>
    <definedName name="ставка_06_3_8">#REF!</definedName>
    <definedName name="ставка_06_3_9">#REF!</definedName>
    <definedName name="ставка_07_2_1">#REF!</definedName>
    <definedName name="ставка_07_2_10">#REF!</definedName>
    <definedName name="ставка_07_2_2">#REF!</definedName>
    <definedName name="ставка_07_2_3">#REF!</definedName>
    <definedName name="ставка_07_2_4">#REF!</definedName>
    <definedName name="ставка_07_2_5">#REF!</definedName>
    <definedName name="ставка_07_2_6">#REF!</definedName>
    <definedName name="ставка_07_2_7">#REF!</definedName>
    <definedName name="ставка_07_2_8">#REF!</definedName>
    <definedName name="ставка_07_2_9">#REF!</definedName>
    <definedName name="ставка_07_3_1">#REF!</definedName>
    <definedName name="ставка_07_3_10">#REF!</definedName>
    <definedName name="ставка_07_3_2">#REF!</definedName>
    <definedName name="ставка_07_3_3">#REF!</definedName>
    <definedName name="ставка_07_3_4">#REF!</definedName>
    <definedName name="ставка_07_3_5">#REF!</definedName>
    <definedName name="ставка_07_3_6">#REF!</definedName>
    <definedName name="ставка_07_3_7">#REF!</definedName>
    <definedName name="ставка_07_3_8">#REF!</definedName>
    <definedName name="ставка_07_3_9">#REF!</definedName>
    <definedName name="сто">#REF!</definedName>
    <definedName name="стоимость">43508</definedName>
    <definedName name="сув">{30,140,350,160,"",""}</definedName>
    <definedName name="сугор">{30,140,350,160,"",""}</definedName>
    <definedName name="сугориш">{30,140,350,160,"",""}</definedName>
    <definedName name="сўм">#REF!</definedName>
    <definedName name="Сурхон_тажриба_станцияси">#REF!</definedName>
    <definedName name="Сурхондарё">#REF!</definedName>
    <definedName name="Сфакторы">TRUNC((oy-1)/3+1)</definedName>
    <definedName name="сферы">#REF!</definedName>
    <definedName name="сФЙЧВФвчыфсч">{30,140,350,160,"",""}</definedName>
    <definedName name="схк">#REF!</definedName>
    <definedName name="считас">#N/A</definedName>
    <definedName name="счмипсмти">{30,140,350,160,"",""}</definedName>
    <definedName name="тара">{30,140,350,160,"",""}</definedName>
    <definedName name="тахлил">{30,140,350,160,"",""}</definedName>
    <definedName name="Ташкилий_чора_тадбирлар__номи_ва_ишлаб_чиўариладиганг_ма?сулот">#N/A</definedName>
    <definedName name="Ташкилий_чора_тадбирлар__номи_ва_ишлаб_чиўариладиганг_маҳсулот">#N/A</definedName>
    <definedName name="ТекПерес">#REF!</definedName>
    <definedName name="Термиз_шаҳри">#REF!</definedName>
    <definedName name="ТермоКузов35">#REF!</definedName>
    <definedName name="Территории" localSheetId="2" hidden="1">#REF!</definedName>
    <definedName name="Территории" localSheetId="6" hidden="1">#REF!</definedName>
    <definedName name="Территории" localSheetId="5" hidden="1">#REF!</definedName>
    <definedName name="Территории" localSheetId="4" hidden="1">#REF!</definedName>
    <definedName name="Территории" localSheetId="1" hidden="1">#REF!</definedName>
    <definedName name="Территории" localSheetId="3" hidden="1">#REF!</definedName>
    <definedName name="Территории" hidden="1">#REF!</definedName>
    <definedName name="ти">{30,140,350,160,"",""}</definedName>
    <definedName name="ТНВЭД">#REF!</definedName>
    <definedName name="тов">#REF!</definedName>
    <definedName name="Товар">#REF!</definedName>
    <definedName name="тога">#REF!</definedName>
    <definedName name="Тошкент">#REF!</definedName>
    <definedName name="Транш">#REF!</definedName>
    <definedName name="трип">[27]ном!#REF!</definedName>
    <definedName name="тт">[7]Results!#REF!</definedName>
    <definedName name="ттт">#REF!</definedName>
    <definedName name="ТУЛОВ">#REF!</definedName>
    <definedName name="Турткуль">#REF!</definedName>
    <definedName name="тушум.">#N/A</definedName>
    <definedName name="тьютьб">#N/A</definedName>
    <definedName name="Ћ__ЂЃ_Ѓ_Џ_ОЂ__">#REF!</definedName>
    <definedName name="у">#REF!</definedName>
    <definedName name="уапукпаа">{30,140,350,160,"",""}</definedName>
    <definedName name="ув">#REF!</definedName>
    <definedName name="увап">'[28]Зан-ть(р-ны)'!$5:$5</definedName>
    <definedName name="уеке">#REF!</definedName>
    <definedName name="уекуегу">#REF!</definedName>
    <definedName name="ўзбекистон">#REF!</definedName>
    <definedName name="узи">{30,140,350,160,"",""}</definedName>
    <definedName name="ук">{30,140,350,160,"",""}</definedName>
    <definedName name="укгенг">#N/A</definedName>
    <definedName name="укеглоло">#N/A</definedName>
    <definedName name="укегшнешлор">#N/A</definedName>
    <definedName name="укенук">#N/A</definedName>
    <definedName name="укнукнек">#N/A</definedName>
    <definedName name="УКС">#REF!</definedName>
    <definedName name="укц">{30,140,350,160,"",""}</definedName>
    <definedName name="укшгн">#N/A</definedName>
    <definedName name="улм">{30,140,350,160,"",""}</definedName>
    <definedName name="улмас">{30,140,350,160,"",""}</definedName>
    <definedName name="улу">{30,140,350,160,"",""}</definedName>
    <definedName name="Умарова456">#REF!</definedName>
    <definedName name="ункшгол">#N/A</definedName>
    <definedName name="УРГАНЧТУМАН">#REF!</definedName>
    <definedName name="УРГАНЧШАХАР">#REF!</definedName>
    <definedName name="урта" localSheetId="2" hidden="1">#REF!</definedName>
    <definedName name="урта" localSheetId="6" hidden="1">#REF!</definedName>
    <definedName name="урта" localSheetId="5" hidden="1">#REF!</definedName>
    <definedName name="урта" localSheetId="4" hidden="1">#REF!</definedName>
    <definedName name="урта" localSheetId="1" hidden="1">#REF!</definedName>
    <definedName name="урта" localSheetId="3" hidden="1">#REF!</definedName>
    <definedName name="урта" hidden="1">#REF!</definedName>
    <definedName name="уртачирчик" localSheetId="2" hidden="1">#REF!</definedName>
    <definedName name="уртачирчик" localSheetId="6" hidden="1">#REF!</definedName>
    <definedName name="уртачирчик" localSheetId="5" hidden="1">#REF!</definedName>
    <definedName name="уртачирчик" localSheetId="4" hidden="1">#REF!</definedName>
    <definedName name="уртачирчик" localSheetId="1" hidden="1">#REF!</definedName>
    <definedName name="уртачирчик" localSheetId="3" hidden="1">#REF!</definedName>
    <definedName name="уртачирчик" hidden="1">#REF!</definedName>
    <definedName name="ўртачирчик" localSheetId="2" hidden="1">#REF!</definedName>
    <definedName name="ўртачирчик" localSheetId="6" hidden="1">#REF!</definedName>
    <definedName name="ўртачирчик" localSheetId="5" hidden="1">#REF!</definedName>
    <definedName name="ўртачирчик" localSheetId="4" hidden="1">#REF!</definedName>
    <definedName name="ўртачирчик" localSheetId="1" hidden="1">#REF!</definedName>
    <definedName name="ўртачирчик" localSheetId="3" hidden="1">#REF!</definedName>
    <definedName name="ўртачирчик" hidden="1">#REF!</definedName>
    <definedName name="утв2">#REF!</definedName>
    <definedName name="Уткир">{30,140,350,160,"",""}</definedName>
    <definedName name="уу">#REF!</definedName>
    <definedName name="ууу">#REF!</definedName>
    <definedName name="уууу">{30,140,350,160,"",""}</definedName>
    <definedName name="уууууууууууууууууу">DATE(yil,oy,1)</definedName>
    <definedName name="уууууууууууууууууууу">TRUNC((oy-1)/3+1)</definedName>
    <definedName name="ууууууууууууууууууууу">TRUNC((oy-1)/3+1)</definedName>
    <definedName name="ууууууууууууууууууууууу">TRUNC((oy-1)/3+1)</definedName>
    <definedName name="уц">{30,140,350,160,"",""}</definedName>
    <definedName name="ф">#REF!</definedName>
    <definedName name="ф5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Факторы">TRUNC((oy-1)/3+1)</definedName>
    <definedName name="Фаргона">#REF!</definedName>
    <definedName name="фвыавп">{30,140,350,160,"",""}</definedName>
    <definedName name="феврал">#REF!</definedName>
    <definedName name="февраль">#REF!</definedName>
    <definedName name="февраль_фактор">TRUNC((oy-1)/3+1)</definedName>
    <definedName name="ФЗСЖЧШ__ХЛЭЖШО">#REF!</definedName>
    <definedName name="флт">{30,140,350,160,"",""}</definedName>
    <definedName name="фоиз">#REF!</definedName>
    <definedName name="форма_таб0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Формир">#REF!</definedName>
    <definedName name="ффф">#REF!</definedName>
    <definedName name="фффф">#REF!</definedName>
    <definedName name="ФФФФФФ">#REF!</definedName>
    <definedName name="ффффффф">TRUNC((oy-1)/3+1)</definedName>
    <definedName name="фы">'[29]Фориш 2003'!$O$4</definedName>
    <definedName name="фыавыфа">{30,140,350,160,"",""}</definedName>
    <definedName name="фывчыйывчйы">{30,140,350,160,"",""}</definedName>
    <definedName name="фыфы">#REF!</definedName>
    <definedName name="фыы">TRUNC((oy-1)/3+1)</definedName>
    <definedName name="фяфчфчфч">{30,140,350,160,"",""}</definedName>
    <definedName name="ха">#REF!</definedName>
    <definedName name="хж">#REF!</definedName>
    <definedName name="хз">{30,140,350,160,"",""}</definedName>
    <definedName name="ХИВАТУМАН">#REF!</definedName>
    <definedName name="Ходжейли">#REF!</definedName>
    <definedName name="ХОНКАТУМАН">#REF!</definedName>
    <definedName name="Хоразм">#REF!</definedName>
    <definedName name="хр">#REF!</definedName>
    <definedName name="Хужайли1">{30,140,350,160,"",""}</definedName>
    <definedName name="хусанжон">#REF!</definedName>
    <definedName name="хх">#REF!</definedName>
    <definedName name="ххх">#REF!</definedName>
    <definedName name="ҳҳҳ">#REF!</definedName>
    <definedName name="ц">{30,140,350,160,"",""}</definedName>
    <definedName name="ЦенаЗакоытого">#REF!</definedName>
    <definedName name="ЦенаЗакрытого">#REF!</definedName>
    <definedName name="центр">#REF!</definedName>
    <definedName name="центр1">#REF!</definedName>
    <definedName name="цй">{30,140,350,160,"",""}</definedName>
    <definedName name="цйц">{30,140,350,160,"",""}</definedName>
    <definedName name="ЦУК" hidden="1">{"Income",#N/A,TRUE,"Income ";"Balance",#N/A,TRUE,"Balance";"Deposits by Client Type",#N/A,TRUE,"Deposits by Client";"Commitments and Contingencies",#N/A,TRUE,"Commitments";"Analysis of Interest",#N/A,TRUE,"Analysis of Inerest";"Liquidity Analysis",#N/A,TRUE,"Liquidity Analysis";"Investment Securities",#N/A,TRUE,"Investment Securities";"Miscellaneous",#N/A,TRUE,"Miscellaneous";"Changes in Equity Capital",#N/A,TRUE,"Changes in Equity";"Aging Analysis",#N/A,TRUE,"Aging Analysis";"Loans Receivable",#N/A,TRUE,"Loans Receivable";"Calculation of Risk Weighted Assets",#N/A,TRUE,"Calculation of Risk Weighted As";"Bank Capital Calculation",#N/A,TRUE,"Bank Capital Calc.";"Bank Asset Analysis",#N/A,TRUE,"Bank Assets Analysis";"Twenty Largest",#N/A,TRUE,"Twenty Largest";"Reconciliation",#N/A,TRUE,"Recociliation ";"Loans to Affiliated Persons",#N/A,TRUE,"Loans to Affiliated P.";"Loan Classification",#N/A,TRUE,"Loan Classification";"Bank Liabilities",#N/A,TRUE,"Bank Liabilities Analysis";"Charge Offs",#N/A,TRUE,"Charge-offs and Recoveries"}</definedName>
    <definedName name="цук2">{30,140,350,160,"",""}</definedName>
    <definedName name="цукцкцк" localSheetId="2" hidden="1">#REF!</definedName>
    <definedName name="цукцкцк" localSheetId="6" hidden="1">#REF!</definedName>
    <definedName name="цукцкцк" localSheetId="5" hidden="1">#REF!</definedName>
    <definedName name="цукцкцк" localSheetId="4" hidden="1">#REF!</definedName>
    <definedName name="цукцкцк" localSheetId="1" hidden="1">#REF!</definedName>
    <definedName name="цукцкцк" localSheetId="3" hidden="1">#REF!</definedName>
    <definedName name="цукцкцк" hidden="1">#REF!</definedName>
    <definedName name="цц">#REF!</definedName>
    <definedName name="ццц">TRUNC((oy-1)/3+1)</definedName>
    <definedName name="ЦЦЦЦ">#N/A</definedName>
    <definedName name="ч">#N/A</definedName>
    <definedName name="Чакирув">#REF!</definedName>
    <definedName name="чапртва">#N/A</definedName>
    <definedName name="чаптрпи">#N/A</definedName>
    <definedName name="чаптсмит">#N/A</definedName>
    <definedName name="чвртит">#N/A</definedName>
    <definedName name="Чиноз_договор">#REF!</definedName>
    <definedName name="Чиноз_семена">#REF!</definedName>
    <definedName name="чмсмичтмит">{30,140,350,160,"",""}</definedName>
    <definedName name="чрипаорп">#N/A</definedName>
    <definedName name="чс">{30,140,350,160,"",""}</definedName>
    <definedName name="чсм">{30,140,350,160,"",""}</definedName>
    <definedName name="чсчсчсчсч">#REF!</definedName>
    <definedName name="чукур">{30,140,350,160,"",""}</definedName>
    <definedName name="ччч">#REF!</definedName>
    <definedName name="ш">{30,140,350,160,"",""}</definedName>
    <definedName name="ш.ж._счетчик__сиз">#REF!</definedName>
    <definedName name="шарбат">{30,140,350,160,"",""}</definedName>
    <definedName name="Шахар">#REF!</definedName>
    <definedName name="шгн">{30,140,350,160,"",""}</definedName>
    <definedName name="шгщдшгдрол">#N/A</definedName>
    <definedName name="шддлл">#N/A</definedName>
    <definedName name="шо">#REF!</definedName>
    <definedName name="шур">{30,140,350,160,"",""}</definedName>
    <definedName name="шурик">#REF!</definedName>
    <definedName name="шухрат">#REF!</definedName>
    <definedName name="шщдшгдж">#N/A</definedName>
    <definedName name="щ">#N/A</definedName>
    <definedName name="щгшзжролгша">#N/A</definedName>
    <definedName name="щд">#REF!</definedName>
    <definedName name="щзш">#REF!</definedName>
    <definedName name="щщщщ">#REF!</definedName>
    <definedName name="ъ">#N/A</definedName>
    <definedName name="ы">{30,140,350,160,"",""}</definedName>
    <definedName name="ыанено">#N/A</definedName>
    <definedName name="ыафыафывафыафыафыа" localSheetId="2" hidden="1">#REF!</definedName>
    <definedName name="ыафыафывафыафыафыа" localSheetId="6" hidden="1">#REF!</definedName>
    <definedName name="ыафыафывафыафыафыа" localSheetId="5" hidden="1">#REF!</definedName>
    <definedName name="ыафыафывафыафыафыа" localSheetId="4" hidden="1">#REF!</definedName>
    <definedName name="ыафыафывафыафыафыа" localSheetId="1" hidden="1">#REF!</definedName>
    <definedName name="ыафыафывафыафыафыа" localSheetId="3" hidden="1">#REF!</definedName>
    <definedName name="ыафыафывафыафыафыа" hidden="1">#REF!</definedName>
    <definedName name="ыв">{30,140,350,160,"",""}</definedName>
    <definedName name="ыва">{30,140,350,160,"",""}</definedName>
    <definedName name="ывавы">#REF!</definedName>
    <definedName name="ывап">#REF!</definedName>
    <definedName name="ывапролд">#REF!</definedName>
    <definedName name="ывкпирц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ывпрпар">#N/A</definedName>
    <definedName name="ывсвапть">{30,140,350,160,"",""}</definedName>
    <definedName name="ывы">#REF!</definedName>
    <definedName name="ывывавававав">#REF!</definedName>
    <definedName name="ыеугнеоен">#N/A</definedName>
    <definedName name="ыр">#N/A</definedName>
    <definedName name="ЫСЫСЫС">{30,140,350,160,"",""}</definedName>
    <definedName name="ыфв">{30,140,350,160,"",""}</definedName>
    <definedName name="ыцвуц">#REF!</definedName>
    <definedName name="ыцйц">TRUNC((oy-1)/3+1)</definedName>
    <definedName name="ыыы">#REF!</definedName>
    <definedName name="ЫЫЫЫ">#REF!</definedName>
    <definedName name="ыыыыыыыыыы">TRUNC((oy-1)/3+1)</definedName>
    <definedName name="ь">{30,140,350,160,"",""}</definedName>
    <definedName name="ьд">#REF!</definedName>
    <definedName name="ьььь">TRUNC((oy-1)/3+1)</definedName>
    <definedName name="э">DATE(yil,oy,1)</definedName>
    <definedName name="экс">TRUNC((oy-1)/3+1)</definedName>
    <definedName name="экспор">TRUNC((oy-1)/3+1)</definedName>
    <definedName name="экспорт">TRUNC((oy-1)/3+1)</definedName>
    <definedName name="Электр">#REF!</definedName>
    <definedName name="Элликкала">#REF!</definedName>
    <definedName name="ЭХА">#REF!</definedName>
    <definedName name="эээ">#REF!</definedName>
    <definedName name="ээээээ" localSheetId="2" hidden="1">#REF!</definedName>
    <definedName name="ээээээ" localSheetId="6" hidden="1">#REF!</definedName>
    <definedName name="ээээээ" localSheetId="5" hidden="1">#REF!</definedName>
    <definedName name="ээээээ" localSheetId="4" hidden="1">#REF!</definedName>
    <definedName name="ээээээ" localSheetId="1" hidden="1">#REF!</definedName>
    <definedName name="ээээээ" localSheetId="3" hidden="1">#REF!</definedName>
    <definedName name="ээээээ" hidden="1">#REF!</definedName>
    <definedName name="ю1">#REF!</definedName>
    <definedName name="ю11">2</definedName>
    <definedName name="ю12">#REF!</definedName>
    <definedName name="ю14">"=ПРОМЕЖУТОЧНЫЕ.ИТОГИ(9;R1C5:RC5)"</definedName>
    <definedName name="ю4">"2453"</definedName>
    <definedName name="ю5">65000</definedName>
    <definedName name="ю6">"20210"</definedName>
    <definedName name="ю7">#REF!</definedName>
    <definedName name="ю9">"23202"</definedName>
    <definedName name="юб">#REF!</definedName>
    <definedName name="юбк">#REF!</definedName>
    <definedName name="юкори" localSheetId="2" hidden="1">#REF!</definedName>
    <definedName name="юкори" localSheetId="6" hidden="1">#REF!</definedName>
    <definedName name="юкори" localSheetId="5" hidden="1">#REF!</definedName>
    <definedName name="юкори" localSheetId="4" hidden="1">#REF!</definedName>
    <definedName name="юкори" localSheetId="1" hidden="1">#REF!</definedName>
    <definedName name="юкори" localSheetId="3" hidden="1">#REF!</definedName>
    <definedName name="юкори" hidden="1">#REF!</definedName>
    <definedName name="юмшатиш">{30,140,350,160,"",""}</definedName>
    <definedName name="юмшок">{30,140,350,160,"",""}</definedName>
    <definedName name="юод">{30,140,350,160,"",""}</definedName>
    <definedName name="юю">#REF!</definedName>
    <definedName name="я">{30,140,350,160,"",""}</definedName>
    <definedName name="я.и.у.жадвал">#REF!</definedName>
    <definedName name="я\чсячсячсячсячсячсячсмячс" localSheetId="2" hidden="1">#REF!</definedName>
    <definedName name="я\чсячсячсячсячсячсячсмячс" localSheetId="6" hidden="1">#REF!</definedName>
    <definedName name="я\чсячсячсячсячсячсячсмячс" localSheetId="5" hidden="1">#REF!</definedName>
    <definedName name="я\чсячсячсячсячсячсячсмячс" localSheetId="4" hidden="1">#REF!</definedName>
    <definedName name="я\чсячсячсячсячсячсячсмячс" localSheetId="1" hidden="1">#REF!</definedName>
    <definedName name="я\чсячсячсячсячсячсячсмячс" localSheetId="3" hidden="1">#REF!</definedName>
    <definedName name="я\чсячсячсячсячсячсячсмячс" hidden="1">#REF!</definedName>
    <definedName name="яапрварыавпры">#REF!</definedName>
    <definedName name="явчақвақвақва">#REF!</definedName>
    <definedName name="ягана">{30,140,350,160,"",""}</definedName>
    <definedName name="январ">#REF!</definedName>
    <definedName name="январапрель">#REF!</definedName>
    <definedName name="янги">{30,140,350,160,"",""}</definedName>
    <definedName name="янгиааа">{30,140,350,160,"",""}</definedName>
    <definedName name="янгиаааа">{30,140,350,160,"",""}</definedName>
    <definedName name="ЯНГИАРИКТУМАН">#REF!</definedName>
    <definedName name="ЯНГИБОЗОРТУМАН">#REF!</definedName>
    <definedName name="яхк">#REF!</definedName>
    <definedName name="ячсячсячсячсячс" localSheetId="2" hidden="1">#REF!</definedName>
    <definedName name="ячсячсячсячсячс" localSheetId="6" hidden="1">#REF!</definedName>
    <definedName name="ячсячсячсячсячс" localSheetId="5" hidden="1">#REF!</definedName>
    <definedName name="ячсячсячсячсячс" localSheetId="4" hidden="1">#REF!</definedName>
    <definedName name="ячсячсячсячсячс" localSheetId="1" hidden="1">#REF!</definedName>
    <definedName name="ячсячсячсячсячс" localSheetId="3" hidden="1">#REF!</definedName>
    <definedName name="ячсячсячсячсячс" hidden="1">#REF!</definedName>
    <definedName name="ячфячфф">{30,140,350,160,"",""}</definedName>
    <definedName name="яяя">#N/A</definedName>
    <definedName name="가격">#REF!</definedName>
    <definedName name="개발차종">#N/A</definedName>
    <definedName name="경영계획">#REF!</definedName>
    <definedName name="계획" localSheetId="2" hidden="1">#REF!</definedName>
    <definedName name="계획" localSheetId="6" hidden="1">#REF!</definedName>
    <definedName name="계획" localSheetId="5" hidden="1">#REF!</definedName>
    <definedName name="계획" localSheetId="4" hidden="1">#REF!</definedName>
    <definedName name="계획" localSheetId="1" hidden="1">#REF!</definedName>
    <definedName name="계획" localSheetId="3" hidden="1">#REF!</definedName>
    <definedName name="계획" hidden="1">#REF!</definedName>
    <definedName name="구조조정계획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구조조정계획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권">#N/A</definedName>
    <definedName name="권종원">#N/A</definedName>
    <definedName name="김">#REF!</definedName>
    <definedName name="김세일">#N/A</definedName>
    <definedName name="김일">#N/A</definedName>
    <definedName name="ㄴㄴㄴㄴㄴㄴ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단가" hidden="1">{#N/A,#N/A,FALSE,"BODY"}</definedName>
    <definedName name="ㅁㅇㄹㄹㄼㅂㅈㄷ113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미" hidden="1">{#N/A,#N/A,TRUE,"일정"}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병수3" hidden="1">{#N/A,#N/A,FALSE,"BODY"}</definedName>
    <definedName name="부채현황">#N/A</definedName>
    <definedName name="비교2">#REF!</definedName>
    <definedName name="사업환경" hidden="1">{#N/A,#N/A,FALSE,"BODY"}</definedName>
    <definedName name="새일정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생산능력">#REF!</definedName>
    <definedName name="성명">#REF!</definedName>
    <definedName name="세일">#N/A</definedName>
    <definedName name="손익" hidden="1">{#N/A,#N/A,FALSE,"BODY"}</definedName>
    <definedName name="시기조정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시설투자" localSheetId="7">[0]!_a1Z,[0]!_a2Z</definedName>
    <definedName name="시설투자" localSheetId="2">[0]!_a1Z,[0]!_a2Z</definedName>
    <definedName name="시설투자" localSheetId="5">[0]!_a1Z,[0]!_a2Z</definedName>
    <definedName name="시설투자" localSheetId="4">[0]!_a1Z,[0]!_a2Z</definedName>
    <definedName name="시설투자" localSheetId="3">[0]!_a1Z,[0]!_a2Z</definedName>
    <definedName name="시설투자">[0]!_a1Z,[0]!_a2Z</definedName>
    <definedName name="시설투자2" localSheetId="7">[0]!_a1Z,[0]!_a2Z</definedName>
    <definedName name="시설투자2" localSheetId="2">[0]!_a1Z,[0]!_a2Z</definedName>
    <definedName name="시설투자2" localSheetId="5">[0]!_a1Z,[0]!_a2Z</definedName>
    <definedName name="시설투자2" localSheetId="4">[0]!_a1Z,[0]!_a2Z</definedName>
    <definedName name="시설투자2" localSheetId="3">[0]!_a1Z,[0]!_a2Z</definedName>
    <definedName name="시설투자2">[0]!_a1Z,[0]!_a2Z</definedName>
    <definedName name="시장">#REF!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ㅇㅇ">#REF!</definedName>
    <definedName name="ㅇㅇㅇㅇㅇ" hidden="1">{#VALUE!,#N/A,TRUE,0}</definedName>
    <definedName name="ㅇㅇㅇㅇㅇㅇㅇㅇㅇㅇㅇ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원가계획" hidden="1">{#N/A,#N/A,FALSE,"BODY"}</definedName>
    <definedName name="이명철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이천년비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인쇄제목">#REF!</definedName>
    <definedName name="일">#N/A</definedName>
    <definedName name="일정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입범석">#REF!</definedName>
    <definedName name="재료비" hidden="1">{#N/A,#N/A,FALSE,"BODY"}</definedName>
    <definedName name="전장su">#REF!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종원">#N/A</definedName>
    <definedName name="차종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차차" hidden="1">{#N/A,#N/A,TRUE,"일정"}</definedName>
    <definedName name="차체2">#REF!</definedName>
    <definedName name="초ㅐ" hidden="1">{"'Monthly 1997'!$A$3:$S$89"}</definedName>
    <definedName name="커버" localSheetId="7">[0]!_a1Z,[0]!_a2Z</definedName>
    <definedName name="커버" localSheetId="2">[0]!_a1Z,[0]!_a2Z</definedName>
    <definedName name="커버" localSheetId="5">[0]!_a1Z,[0]!_a2Z</definedName>
    <definedName name="커버" localSheetId="4">[0]!_a1Z,[0]!_a2Z</definedName>
    <definedName name="커버" localSheetId="3">[0]!_a1Z,[0]!_a2Z</definedName>
    <definedName name="커버">[0]!_a1Z,[0]!_a2Z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품목">#REF!</definedName>
  </definedNames>
  <calcPr calcId="145621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58" l="1"/>
  <c r="J6" i="58" l="1"/>
  <c r="I6" i="58"/>
  <c r="H6" i="58"/>
  <c r="D6" i="58"/>
  <c r="C6" i="58"/>
  <c r="B6" i="58"/>
  <c r="AJ81" i="85" l="1"/>
  <c r="AF81" i="85"/>
  <c r="AI80" i="85"/>
  <c r="AE80" i="85"/>
  <c r="AH79" i="85"/>
  <c r="AD79" i="85"/>
  <c r="AG78" i="85"/>
  <c r="AJ76" i="85"/>
  <c r="AF76" i="85"/>
  <c r="AI75" i="85"/>
  <c r="AE75" i="85"/>
  <c r="AH74" i="85"/>
  <c r="AD74" i="85"/>
  <c r="AG73" i="85"/>
  <c r="AJ71" i="85"/>
  <c r="AF71" i="85"/>
  <c r="AI70" i="85"/>
  <c r="AE70" i="85"/>
  <c r="AH69" i="85"/>
  <c r="AD69" i="85"/>
  <c r="AG68" i="85"/>
  <c r="AJ66" i="85"/>
  <c r="AF66" i="85"/>
  <c r="AI65" i="85"/>
  <c r="AE65" i="85"/>
  <c r="AH64" i="85"/>
  <c r="AD64" i="85"/>
  <c r="AG63" i="85"/>
  <c r="AJ61" i="85"/>
  <c r="AF61" i="85"/>
  <c r="AI60" i="85"/>
  <c r="AE60" i="85"/>
  <c r="AH59" i="85"/>
  <c r="AD59" i="85"/>
  <c r="AG58" i="85"/>
  <c r="AJ56" i="85"/>
  <c r="AF56" i="85"/>
  <c r="AI55" i="85"/>
  <c r="AE55" i="85"/>
  <c r="AH54" i="85"/>
  <c r="AD54" i="85"/>
  <c r="AG53" i="85"/>
  <c r="AJ51" i="85"/>
  <c r="AF51" i="85"/>
  <c r="AI50" i="85"/>
  <c r="AE50" i="85"/>
  <c r="AH49" i="85"/>
  <c r="AD49" i="85"/>
  <c r="AG48" i="85"/>
  <c r="AJ46" i="85"/>
  <c r="AF46" i="85"/>
  <c r="AI45" i="85"/>
  <c r="AH44" i="85"/>
  <c r="AD44" i="85"/>
  <c r="AG43" i="85"/>
  <c r="AJ41" i="85"/>
  <c r="AF41" i="85"/>
  <c r="AI40" i="85"/>
  <c r="AH39" i="85"/>
  <c r="AD39" i="85"/>
  <c r="AG38" i="85"/>
  <c r="AJ36" i="85"/>
  <c r="AF36" i="85"/>
  <c r="AI35" i="85"/>
  <c r="AH34" i="85"/>
  <c r="AD34" i="85"/>
  <c r="AG33" i="85"/>
  <c r="AJ31" i="85"/>
  <c r="AF31" i="85"/>
  <c r="AI30" i="85"/>
  <c r="AH29" i="85"/>
  <c r="AD29" i="85"/>
  <c r="AG28" i="85"/>
  <c r="AJ26" i="85"/>
  <c r="AF26" i="85"/>
  <c r="AI25" i="85"/>
  <c r="AH24" i="85"/>
  <c r="AD24" i="85"/>
  <c r="AG23" i="85"/>
  <c r="AJ21" i="85"/>
  <c r="AI81" i="85"/>
  <c r="AE81" i="85"/>
  <c r="AH80" i="85"/>
  <c r="AD80" i="85"/>
  <c r="AG79" i="85"/>
  <c r="AJ78" i="85"/>
  <c r="AF78" i="85"/>
  <c r="AI76" i="85"/>
  <c r="AH75" i="85"/>
  <c r="AD75" i="85"/>
  <c r="AG74" i="85"/>
  <c r="AJ73" i="85"/>
  <c r="AF73" i="85"/>
  <c r="AI71" i="85"/>
  <c r="AE71" i="85"/>
  <c r="AH70" i="85"/>
  <c r="AD70" i="85"/>
  <c r="AG69" i="85"/>
  <c r="AJ68" i="85"/>
  <c r="AF68" i="85"/>
  <c r="AI66" i="85"/>
  <c r="AH65" i="85"/>
  <c r="AD65" i="85"/>
  <c r="AG64" i="85"/>
  <c r="AJ63" i="85"/>
  <c r="AF63" i="85"/>
  <c r="AI61" i="85"/>
  <c r="AH60" i="85"/>
  <c r="AD60" i="85"/>
  <c r="AG59" i="85"/>
  <c r="AJ58" i="85"/>
  <c r="AF58" i="85"/>
  <c r="AI56" i="85"/>
  <c r="AE56" i="85"/>
  <c r="AH55" i="85"/>
  <c r="AD55" i="85"/>
  <c r="AG54" i="85"/>
  <c r="AJ53" i="85"/>
  <c r="AF53" i="85"/>
  <c r="AI51" i="85"/>
  <c r="AE51" i="85"/>
  <c r="AH50" i="85"/>
  <c r="AD50" i="85"/>
  <c r="AG49" i="85"/>
  <c r="AJ48" i="85"/>
  <c r="AF48" i="85"/>
  <c r="AI46" i="85"/>
  <c r="AE46" i="85"/>
  <c r="AH45" i="85"/>
  <c r="AD45" i="85"/>
  <c r="AG44" i="85"/>
  <c r="AJ43" i="85"/>
  <c r="AF43" i="85"/>
  <c r="AI41" i="85"/>
  <c r="AH40" i="85"/>
  <c r="AD40" i="85"/>
  <c r="AG39" i="85"/>
  <c r="AJ38" i="85"/>
  <c r="AF38" i="85"/>
  <c r="AI36" i="85"/>
  <c r="AH35" i="85"/>
  <c r="AD35" i="85"/>
  <c r="AG34" i="85"/>
  <c r="AJ33" i="85"/>
  <c r="AF33" i="85"/>
  <c r="AI31" i="85"/>
  <c r="AE31" i="85"/>
  <c r="AH30" i="85"/>
  <c r="AD30" i="85"/>
  <c r="AG29" i="85"/>
  <c r="AJ28" i="85"/>
  <c r="AF28" i="85"/>
  <c r="AI26" i="85"/>
  <c r="AH25" i="85"/>
  <c r="AD25" i="85"/>
  <c r="AG24" i="85"/>
  <c r="AJ23" i="85"/>
  <c r="AF23" i="85"/>
  <c r="AI21" i="85"/>
  <c r="AH81" i="85"/>
  <c r="AD81" i="85"/>
  <c r="AG80" i="85"/>
  <c r="AJ79" i="85"/>
  <c r="AF79" i="85"/>
  <c r="AI78" i="85"/>
  <c r="AE78" i="85"/>
  <c r="AH76" i="85"/>
  <c r="AD76" i="85"/>
  <c r="AG75" i="85"/>
  <c r="AJ74" i="85"/>
  <c r="AF74" i="85"/>
  <c r="AI73" i="85"/>
  <c r="AE73" i="85"/>
  <c r="AH71" i="85"/>
  <c r="AD71" i="85"/>
  <c r="AG70" i="85"/>
  <c r="AJ69" i="85"/>
  <c r="AF69" i="85"/>
  <c r="AI68" i="85"/>
  <c r="AE68" i="85"/>
  <c r="AH66" i="85"/>
  <c r="AD66" i="85"/>
  <c r="AG65" i="85"/>
  <c r="AJ64" i="85"/>
  <c r="AF64" i="85"/>
  <c r="AI63" i="85"/>
  <c r="AH61" i="85"/>
  <c r="AD61" i="85"/>
  <c r="AG60" i="85"/>
  <c r="AJ59" i="85"/>
  <c r="AF59" i="85"/>
  <c r="AI58" i="85"/>
  <c r="AE58" i="85"/>
  <c r="AH56" i="85"/>
  <c r="AD56" i="85"/>
  <c r="AG55" i="85"/>
  <c r="AJ54" i="85"/>
  <c r="AF54" i="85"/>
  <c r="AI53" i="85"/>
  <c r="AE53" i="85"/>
  <c r="AH51" i="85"/>
  <c r="AD51" i="85"/>
  <c r="AG50" i="85"/>
  <c r="AJ49" i="85"/>
  <c r="AF49" i="85"/>
  <c r="AI48" i="85"/>
  <c r="AE48" i="85"/>
  <c r="AH46" i="85"/>
  <c r="AD46" i="85"/>
  <c r="AG45" i="85"/>
  <c r="AJ44" i="85"/>
  <c r="AF44" i="85"/>
  <c r="AI43" i="85"/>
  <c r="AE43" i="85"/>
  <c r="AH41" i="85"/>
  <c r="AD41" i="85"/>
  <c r="AG40" i="85"/>
  <c r="AJ39" i="85"/>
  <c r="AF39" i="85"/>
  <c r="AI38" i="85"/>
  <c r="AH36" i="85"/>
  <c r="AD36" i="85"/>
  <c r="AG35" i="85"/>
  <c r="AJ34" i="85"/>
  <c r="AF34" i="85"/>
  <c r="AI33" i="85"/>
  <c r="AH31" i="85"/>
  <c r="AD31" i="85"/>
  <c r="AG30" i="85"/>
  <c r="AJ29" i="85"/>
  <c r="AF29" i="85"/>
  <c r="AI28" i="85"/>
  <c r="AH26" i="85"/>
  <c r="AD26" i="85"/>
  <c r="AG25" i="85"/>
  <c r="AJ24" i="85"/>
  <c r="AF24" i="85"/>
  <c r="AI23" i="85"/>
  <c r="AH21" i="85"/>
  <c r="AG81" i="85"/>
  <c r="AJ80" i="85"/>
  <c r="AF80" i="85"/>
  <c r="AI79" i="85"/>
  <c r="AE79" i="85"/>
  <c r="AH78" i="85"/>
  <c r="AD78" i="85"/>
  <c r="AG76" i="85"/>
  <c r="AJ75" i="85"/>
  <c r="AF75" i="85"/>
  <c r="AI74" i="85"/>
  <c r="AE74" i="85"/>
  <c r="AH73" i="85"/>
  <c r="AD73" i="85"/>
  <c r="AG71" i="85"/>
  <c r="AJ70" i="85"/>
  <c r="AF70" i="85"/>
  <c r="AI69" i="85"/>
  <c r="AH68" i="85"/>
  <c r="AD68" i="85"/>
  <c r="AG66" i="85"/>
  <c r="AJ65" i="85"/>
  <c r="AF65" i="85"/>
  <c r="AI64" i="85"/>
  <c r="AE64" i="85"/>
  <c r="AH63" i="85"/>
  <c r="AD63" i="85"/>
  <c r="AG61" i="85"/>
  <c r="AJ60" i="85"/>
  <c r="AF60" i="85"/>
  <c r="AI59" i="85"/>
  <c r="AE59" i="85"/>
  <c r="AH58" i="85"/>
  <c r="AD58" i="85"/>
  <c r="AG56" i="85"/>
  <c r="AJ55" i="85"/>
  <c r="AF55" i="85"/>
  <c r="AI54" i="85"/>
  <c r="AH53" i="85"/>
  <c r="AD53" i="85"/>
  <c r="AG51" i="85"/>
  <c r="AJ50" i="85"/>
  <c r="AF50" i="85"/>
  <c r="AI49" i="85"/>
  <c r="AE49" i="85"/>
  <c r="AH48" i="85"/>
  <c r="AD48" i="85"/>
  <c r="AG46" i="85"/>
  <c r="AJ45" i="85"/>
  <c r="AF45" i="85"/>
  <c r="AI44" i="85"/>
  <c r="AE44" i="85"/>
  <c r="AH43" i="85"/>
  <c r="AD43" i="85"/>
  <c r="AG41" i="85"/>
  <c r="AJ40" i="85"/>
  <c r="AF40" i="85"/>
  <c r="AI39" i="85"/>
  <c r="AH38" i="85"/>
  <c r="AD38" i="85"/>
  <c r="AG36" i="85"/>
  <c r="AJ35" i="85"/>
  <c r="AF35" i="85"/>
  <c r="AI34" i="85"/>
  <c r="AE34" i="85"/>
  <c r="AH33" i="85"/>
  <c r="AD33" i="85"/>
  <c r="AG31" i="85"/>
  <c r="AJ30" i="85"/>
  <c r="AF30" i="85"/>
  <c r="AI29" i="85"/>
  <c r="AH28" i="85"/>
  <c r="AD28" i="85"/>
  <c r="AG26" i="85"/>
  <c r="AJ25" i="85"/>
  <c r="AF25" i="85"/>
  <c r="AI24" i="85"/>
  <c r="AE24" i="85"/>
  <c r="AH23" i="85"/>
  <c r="AD23" i="85"/>
  <c r="AG21" i="85"/>
  <c r="AF21" i="85"/>
  <c r="AI20" i="85"/>
  <c r="AE20" i="85"/>
  <c r="AH19" i="85"/>
  <c r="AD19" i="85"/>
  <c r="AG18" i="85"/>
  <c r="AJ16" i="85"/>
  <c r="AF16" i="85"/>
  <c r="AI15" i="85"/>
  <c r="AE15" i="85"/>
  <c r="AH14" i="85"/>
  <c r="AD14" i="85"/>
  <c r="AG13" i="85"/>
  <c r="AJ11" i="85"/>
  <c r="AF11" i="85"/>
  <c r="AI10" i="85"/>
  <c r="AE10" i="85"/>
  <c r="AH9" i="85"/>
  <c r="AD9" i="85"/>
  <c r="AG8" i="85"/>
  <c r="AJ27" i="95"/>
  <c r="AF27" i="95"/>
  <c r="AI26" i="95"/>
  <c r="AH24" i="95"/>
  <c r="AD24" i="95"/>
  <c r="AG23" i="95"/>
  <c r="AJ21" i="95"/>
  <c r="AF21" i="95"/>
  <c r="AI20" i="95"/>
  <c r="AE20" i="95"/>
  <c r="AH18" i="95"/>
  <c r="AD18" i="95"/>
  <c r="AG17" i="95"/>
  <c r="AJ16" i="95"/>
  <c r="AF16" i="95"/>
  <c r="AI14" i="95"/>
  <c r="AE14" i="95"/>
  <c r="AH13" i="95"/>
  <c r="AD13" i="95"/>
  <c r="AG12" i="95"/>
  <c r="AJ10" i="95"/>
  <c r="AF10" i="95"/>
  <c r="AI9" i="95"/>
  <c r="AH8" i="95"/>
  <c r="AD8" i="95"/>
  <c r="AH20" i="85"/>
  <c r="AD20" i="85"/>
  <c r="AG19" i="85"/>
  <c r="AJ18" i="85"/>
  <c r="AF18" i="85"/>
  <c r="AI16" i="85"/>
  <c r="AE16" i="85"/>
  <c r="AH15" i="85"/>
  <c r="AD15" i="85"/>
  <c r="AG14" i="85"/>
  <c r="AJ13" i="85"/>
  <c r="AF13" i="85"/>
  <c r="AI11" i="85"/>
  <c r="AE11" i="85"/>
  <c r="AH10" i="85"/>
  <c r="AD10" i="85"/>
  <c r="AG9" i="85"/>
  <c r="AJ8" i="85"/>
  <c r="AF8" i="85"/>
  <c r="AI27" i="95"/>
  <c r="AH26" i="95"/>
  <c r="AD26" i="95"/>
  <c r="AG24" i="95"/>
  <c r="AJ23" i="95"/>
  <c r="AF23" i="95"/>
  <c r="AI21" i="95"/>
  <c r="AH20" i="95"/>
  <c r="AD20" i="95"/>
  <c r="AG18" i="95"/>
  <c r="AJ17" i="95"/>
  <c r="AF17" i="95"/>
  <c r="AI16" i="95"/>
  <c r="AE16" i="95"/>
  <c r="AH14" i="95"/>
  <c r="AD14" i="95"/>
  <c r="AG13" i="95"/>
  <c r="AJ12" i="95"/>
  <c r="AF12" i="95"/>
  <c r="AI10" i="95"/>
  <c r="AH9" i="95"/>
  <c r="AD9" i="95"/>
  <c r="AG8" i="95"/>
  <c r="AD21" i="85"/>
  <c r="AG20" i="85"/>
  <c r="AJ19" i="85"/>
  <c r="AF19" i="85"/>
  <c r="AI18" i="85"/>
  <c r="AE18" i="85"/>
  <c r="AH16" i="85"/>
  <c r="AD16" i="85"/>
  <c r="AG15" i="85"/>
  <c r="AJ14" i="85"/>
  <c r="AF14" i="85"/>
  <c r="AI13" i="85"/>
  <c r="AH11" i="85"/>
  <c r="AD11" i="85"/>
  <c r="AG10" i="85"/>
  <c r="AJ9" i="85"/>
  <c r="AF9" i="85"/>
  <c r="AI8" i="85"/>
  <c r="AE8" i="85"/>
  <c r="AH27" i="95"/>
  <c r="AD27" i="95"/>
  <c r="AG26" i="95"/>
  <c r="AJ24" i="95"/>
  <c r="AF24" i="95"/>
  <c r="AI23" i="95"/>
  <c r="AH21" i="95"/>
  <c r="AD21" i="95"/>
  <c r="AG20" i="95"/>
  <c r="AJ18" i="95"/>
  <c r="AF18" i="95"/>
  <c r="AI17" i="95"/>
  <c r="AH16" i="95"/>
  <c r="AD16" i="95"/>
  <c r="AG14" i="95"/>
  <c r="AJ13" i="95"/>
  <c r="AF13" i="95"/>
  <c r="AI12" i="95"/>
  <c r="AH10" i="95"/>
  <c r="AD10" i="95"/>
  <c r="AG9" i="95"/>
  <c r="AJ8" i="95"/>
  <c r="AF8" i="95"/>
  <c r="AJ20" i="85"/>
  <c r="AF20" i="85"/>
  <c r="AI19" i="85"/>
  <c r="AH18" i="85"/>
  <c r="AD18" i="85"/>
  <c r="AG16" i="85"/>
  <c r="AJ15" i="85"/>
  <c r="AF15" i="85"/>
  <c r="AI14" i="85"/>
  <c r="AH13" i="85"/>
  <c r="AD13" i="85"/>
  <c r="AG11" i="85"/>
  <c r="AJ10" i="85"/>
  <c r="AF10" i="85"/>
  <c r="AI9" i="85"/>
  <c r="AE9" i="85"/>
  <c r="AH8" i="85"/>
  <c r="AD8" i="85"/>
  <c r="AG27" i="95"/>
  <c r="AJ26" i="95"/>
  <c r="AF26" i="95"/>
  <c r="AI24" i="95"/>
  <c r="AH23" i="95"/>
  <c r="AD23" i="95"/>
  <c r="AG21" i="95"/>
  <c r="AJ20" i="95"/>
  <c r="AF20" i="95"/>
  <c r="AI18" i="95"/>
  <c r="AH17" i="95"/>
  <c r="AD17" i="95"/>
  <c r="AG16" i="95"/>
  <c r="AJ14" i="95"/>
  <c r="AF14" i="95"/>
  <c r="AI13" i="95"/>
  <c r="AH12" i="95"/>
  <c r="AD12" i="95"/>
  <c r="AG10" i="95"/>
  <c r="AJ9" i="95"/>
  <c r="AF9" i="95"/>
  <c r="AI8" i="95"/>
  <c r="AJ21" i="69"/>
  <c r="AF21" i="69"/>
  <c r="AI20" i="69"/>
  <c r="AH19" i="69"/>
  <c r="AD19" i="69"/>
  <c r="AG18" i="69"/>
  <c r="AJ17" i="69"/>
  <c r="AF17" i="69"/>
  <c r="AI16" i="69"/>
  <c r="AH15" i="69"/>
  <c r="AD15" i="69"/>
  <c r="AG14" i="69"/>
  <c r="AJ13" i="69"/>
  <c r="AF13" i="69"/>
  <c r="AI12" i="69"/>
  <c r="AH11" i="69"/>
  <c r="AD11" i="69"/>
  <c r="AG10" i="69"/>
  <c r="AI21" i="69"/>
  <c r="AE21" i="69"/>
  <c r="AH20" i="69"/>
  <c r="AD20" i="69"/>
  <c r="AG19" i="69"/>
  <c r="AJ18" i="69"/>
  <c r="AF18" i="69"/>
  <c r="AI17" i="69"/>
  <c r="AH16" i="69"/>
  <c r="AD16" i="69"/>
  <c r="AG15" i="69"/>
  <c r="AJ14" i="69"/>
  <c r="AF14" i="69"/>
  <c r="AI13" i="69"/>
  <c r="AH12" i="69"/>
  <c r="AD12" i="69"/>
  <c r="AG11" i="69"/>
  <c r="AJ10" i="69"/>
  <c r="AH21" i="69"/>
  <c r="AD21" i="69"/>
  <c r="AG20" i="69"/>
  <c r="AJ19" i="69"/>
  <c r="AF19" i="69"/>
  <c r="AI18" i="69"/>
  <c r="AH17" i="69"/>
  <c r="AD17" i="69"/>
  <c r="AG16" i="69"/>
  <c r="AJ15" i="69"/>
  <c r="AF15" i="69"/>
  <c r="AI14" i="69"/>
  <c r="AH13" i="69"/>
  <c r="AD13" i="69"/>
  <c r="AG12" i="69"/>
  <c r="AJ11" i="69"/>
  <c r="AF11" i="69"/>
  <c r="AI10" i="69"/>
  <c r="AG21" i="69"/>
  <c r="AJ20" i="69"/>
  <c r="AF20" i="69"/>
  <c r="AI19" i="69"/>
  <c r="AH18" i="69"/>
  <c r="AD18" i="69"/>
  <c r="AG17" i="69"/>
  <c r="AJ16" i="69"/>
  <c r="AF16" i="69"/>
  <c r="AI15" i="69"/>
  <c r="AE15" i="69"/>
  <c r="AH14" i="69"/>
  <c r="AD14" i="69"/>
  <c r="AI11" i="69"/>
  <c r="AH9" i="69"/>
  <c r="AD9" i="69"/>
  <c r="AG8" i="69"/>
  <c r="AJ7" i="69"/>
  <c r="AF7" i="69"/>
  <c r="AG13" i="69"/>
  <c r="AD10" i="69"/>
  <c r="AG9" i="69"/>
  <c r="AJ8" i="69"/>
  <c r="AF8" i="69"/>
  <c r="AI7" i="69"/>
  <c r="AE7" i="69"/>
  <c r="AJ12" i="69"/>
  <c r="AH10" i="69"/>
  <c r="AJ9" i="69"/>
  <c r="AF9" i="69"/>
  <c r="AI8" i="69"/>
  <c r="AH7" i="69"/>
  <c r="AD7" i="69"/>
  <c r="AF12" i="69"/>
  <c r="AF10" i="69"/>
  <c r="AI9" i="69"/>
  <c r="AH8" i="69"/>
  <c r="AD8" i="69"/>
  <c r="AG7" i="69"/>
  <c r="AG25" i="93"/>
  <c r="AJ24" i="93"/>
  <c r="AF24" i="93"/>
  <c r="AI23" i="93"/>
  <c r="AI25" i="69"/>
  <c r="AH24" i="69"/>
  <c r="AD24" i="69"/>
  <c r="AG23" i="69"/>
  <c r="AJ25" i="93"/>
  <c r="AF25" i="93"/>
  <c r="AI24" i="93"/>
  <c r="AH23" i="93"/>
  <c r="AD23" i="93"/>
  <c r="AH25" i="69"/>
  <c r="AD25" i="69"/>
  <c r="AG24" i="69"/>
  <c r="AJ23" i="69"/>
  <c r="AF23" i="69"/>
  <c r="AI25" i="93"/>
  <c r="AH24" i="93"/>
  <c r="AD24" i="93"/>
  <c r="AG23" i="93"/>
  <c r="AG25" i="69"/>
  <c r="AJ24" i="69"/>
  <c r="AF24" i="69"/>
  <c r="AI23" i="69"/>
  <c r="AH25" i="93"/>
  <c r="AD25" i="93"/>
  <c r="AG24" i="93"/>
  <c r="AJ23" i="93"/>
  <c r="AF23" i="93"/>
  <c r="AJ25" i="69"/>
  <c r="AF25" i="69"/>
  <c r="AI24" i="69"/>
  <c r="AH23" i="69"/>
  <c r="AD23" i="69"/>
  <c r="AG47" i="94"/>
  <c r="AJ46" i="94"/>
  <c r="AF46" i="94"/>
  <c r="AI45" i="94"/>
  <c r="AH44" i="94"/>
  <c r="AD44" i="94"/>
  <c r="AG43" i="94"/>
  <c r="AJ42" i="94"/>
  <c r="AF42" i="94"/>
  <c r="AI41" i="94"/>
  <c r="AH40" i="94"/>
  <c r="AD40" i="94"/>
  <c r="AG39" i="94"/>
  <c r="AJ38" i="94"/>
  <c r="AF38" i="94"/>
  <c r="AI37" i="94"/>
  <c r="AH36" i="94"/>
  <c r="AD36" i="94"/>
  <c r="AG34" i="94"/>
  <c r="AJ33" i="94"/>
  <c r="AF33" i="94"/>
  <c r="AI32" i="94"/>
  <c r="AH31" i="94"/>
  <c r="AD31" i="94"/>
  <c r="AG30" i="94"/>
  <c r="AJ29" i="94"/>
  <c r="AF29" i="94"/>
  <c r="AI28" i="94"/>
  <c r="AE28" i="94"/>
  <c r="AH27" i="94"/>
  <c r="AD27" i="94"/>
  <c r="AG26" i="94"/>
  <c r="AJ25" i="94"/>
  <c r="AF25" i="94"/>
  <c r="AJ47" i="94"/>
  <c r="AF47" i="94"/>
  <c r="AI46" i="94"/>
  <c r="AE46" i="94"/>
  <c r="AH45" i="94"/>
  <c r="AD45" i="94"/>
  <c r="AG44" i="94"/>
  <c r="AJ43" i="94"/>
  <c r="AF43" i="94"/>
  <c r="AI42" i="94"/>
  <c r="AH41" i="94"/>
  <c r="AD41" i="94"/>
  <c r="AG40" i="94"/>
  <c r="AJ39" i="94"/>
  <c r="AF39" i="94"/>
  <c r="AI38" i="94"/>
  <c r="AH37" i="94"/>
  <c r="AD37" i="94"/>
  <c r="AG36" i="94"/>
  <c r="AJ34" i="94"/>
  <c r="AF34" i="94"/>
  <c r="AI33" i="94"/>
  <c r="AH32" i="94"/>
  <c r="AD32" i="94"/>
  <c r="AG31" i="94"/>
  <c r="AJ30" i="94"/>
  <c r="AF30" i="94"/>
  <c r="AI29" i="94"/>
  <c r="AE29" i="94"/>
  <c r="AH28" i="94"/>
  <c r="AD28" i="94"/>
  <c r="AG27" i="94"/>
  <c r="AJ26" i="94"/>
  <c r="AF26" i="94"/>
  <c r="AI25" i="94"/>
  <c r="AI47" i="94"/>
  <c r="AE47" i="94"/>
  <c r="AH46" i="94"/>
  <c r="AD46" i="94"/>
  <c r="AG45" i="94"/>
  <c r="AJ44" i="94"/>
  <c r="AF44" i="94"/>
  <c r="AI43" i="94"/>
  <c r="AH42" i="94"/>
  <c r="AD42" i="94"/>
  <c r="AG41" i="94"/>
  <c r="AJ40" i="94"/>
  <c r="AF40" i="94"/>
  <c r="AI39" i="94"/>
  <c r="AH38" i="94"/>
  <c r="AD38" i="94"/>
  <c r="AG37" i="94"/>
  <c r="AJ36" i="94"/>
  <c r="AF36" i="94"/>
  <c r="AI34" i="94"/>
  <c r="AH33" i="94"/>
  <c r="AD33" i="94"/>
  <c r="AG32" i="94"/>
  <c r="AJ31" i="94"/>
  <c r="AF31" i="94"/>
  <c r="AI30" i="94"/>
  <c r="AE30" i="94"/>
  <c r="AH29" i="94"/>
  <c r="AD29" i="94"/>
  <c r="AG28" i="94"/>
  <c r="AJ27" i="94"/>
  <c r="AF27" i="94"/>
  <c r="AI26" i="94"/>
  <c r="AH25" i="94"/>
  <c r="AH47" i="94"/>
  <c r="AD47" i="94"/>
  <c r="AG46" i="94"/>
  <c r="AJ45" i="94"/>
  <c r="AF45" i="94"/>
  <c r="AI44" i="94"/>
  <c r="AH43" i="94"/>
  <c r="AD43" i="94"/>
  <c r="AG42" i="94"/>
  <c r="AJ41" i="94"/>
  <c r="AF41" i="94"/>
  <c r="AI40" i="94"/>
  <c r="AE40" i="94"/>
  <c r="AH39" i="94"/>
  <c r="AD39" i="94"/>
  <c r="AG38" i="94"/>
  <c r="AJ37" i="94"/>
  <c r="AF37" i="94"/>
  <c r="AI36" i="94"/>
  <c r="AH34" i="94"/>
  <c r="AD34" i="94"/>
  <c r="AG33" i="94"/>
  <c r="AJ32" i="94"/>
  <c r="AF32" i="94"/>
  <c r="AI31" i="94"/>
  <c r="AH30" i="94"/>
  <c r="AD30" i="94"/>
  <c r="AG29" i="94"/>
  <c r="AJ28" i="94"/>
  <c r="AF28" i="94"/>
  <c r="AI27" i="94"/>
  <c r="AH26" i="94"/>
  <c r="AD26" i="94"/>
  <c r="AG25" i="94"/>
  <c r="AD25" i="94"/>
  <c r="AG24" i="94"/>
  <c r="AJ22" i="94"/>
  <c r="AF22" i="94"/>
  <c r="AI21" i="94"/>
  <c r="AE21" i="94"/>
  <c r="AH20" i="94"/>
  <c r="AD20" i="94"/>
  <c r="AG19" i="94"/>
  <c r="AJ18" i="94"/>
  <c r="AF18" i="94"/>
  <c r="AI17" i="94"/>
  <c r="AE17" i="94"/>
  <c r="AH16" i="94"/>
  <c r="AD16" i="94"/>
  <c r="AG15" i="94"/>
  <c r="AJ14" i="94"/>
  <c r="AF14" i="94"/>
  <c r="AI13" i="94"/>
  <c r="AE13" i="94"/>
  <c r="AH12" i="94"/>
  <c r="AD12" i="94"/>
  <c r="AG11" i="94"/>
  <c r="AJ10" i="94"/>
  <c r="AF10" i="94"/>
  <c r="AI9" i="94"/>
  <c r="AE9" i="94"/>
  <c r="AH8" i="94"/>
  <c r="AD8" i="94"/>
  <c r="AJ24" i="94"/>
  <c r="AF24" i="94"/>
  <c r="AI22" i="94"/>
  <c r="AE22" i="94"/>
  <c r="AH21" i="94"/>
  <c r="AD21" i="94"/>
  <c r="AG20" i="94"/>
  <c r="AJ19" i="94"/>
  <c r="AF19" i="94"/>
  <c r="AI18" i="94"/>
  <c r="AE18" i="94"/>
  <c r="AH17" i="94"/>
  <c r="AD17" i="94"/>
  <c r="AG16" i="94"/>
  <c r="AJ15" i="94"/>
  <c r="AF15" i="94"/>
  <c r="AI14" i="94"/>
  <c r="AH13" i="94"/>
  <c r="AD13" i="94"/>
  <c r="AG12" i="94"/>
  <c r="AJ11" i="94"/>
  <c r="AF11" i="94"/>
  <c r="AI10" i="94"/>
  <c r="AE10" i="94"/>
  <c r="AH9" i="94"/>
  <c r="AD9" i="94"/>
  <c r="AG8" i="94"/>
  <c r="AI24" i="94"/>
  <c r="AE24" i="94"/>
  <c r="AH22" i="94"/>
  <c r="AD22" i="94"/>
  <c r="AG21" i="94"/>
  <c r="AJ20" i="94"/>
  <c r="AF20" i="94"/>
  <c r="AI19" i="94"/>
  <c r="AE19" i="94"/>
  <c r="AH18" i="94"/>
  <c r="AD18" i="94"/>
  <c r="AG17" i="94"/>
  <c r="AJ16" i="94"/>
  <c r="AF16" i="94"/>
  <c r="AI15" i="94"/>
  <c r="AH14" i="94"/>
  <c r="AD14" i="94"/>
  <c r="AG13" i="94"/>
  <c r="AJ12" i="94"/>
  <c r="AF12" i="94"/>
  <c r="AI11" i="94"/>
  <c r="AE11" i="94"/>
  <c r="AH10" i="94"/>
  <c r="AD10" i="94"/>
  <c r="AG9" i="94"/>
  <c r="AJ8" i="94"/>
  <c r="AF8" i="94"/>
  <c r="AH24" i="94"/>
  <c r="AD24" i="94"/>
  <c r="AG22" i="94"/>
  <c r="AJ21" i="94"/>
  <c r="AF21" i="94"/>
  <c r="AI20" i="94"/>
  <c r="AE20" i="94"/>
  <c r="AH19" i="94"/>
  <c r="AD19" i="94"/>
  <c r="AG18" i="94"/>
  <c r="AJ17" i="94"/>
  <c r="AF17" i="94"/>
  <c r="AI16" i="94"/>
  <c r="AH15" i="94"/>
  <c r="AD15" i="94"/>
  <c r="AG14" i="94"/>
  <c r="AJ13" i="94"/>
  <c r="AF13" i="94"/>
  <c r="AI12" i="94"/>
  <c r="AH11" i="94"/>
  <c r="AD11" i="94"/>
  <c r="AG10" i="94"/>
  <c r="AJ9" i="94"/>
  <c r="AF9" i="94"/>
  <c r="AI8" i="94"/>
  <c r="AE8" i="94"/>
  <c r="AR25" i="88"/>
  <c r="AN25" i="88"/>
  <c r="AQ24" i="88"/>
  <c r="AM24" i="88"/>
  <c r="AP23" i="88"/>
  <c r="AL23" i="88"/>
  <c r="AQ25" i="88"/>
  <c r="AM25" i="88"/>
  <c r="AP24" i="88"/>
  <c r="AL24" i="88"/>
  <c r="AO23" i="88"/>
  <c r="AP25" i="88"/>
  <c r="AL25" i="88"/>
  <c r="AO24" i="88"/>
  <c r="AR23" i="88"/>
  <c r="AN23" i="88"/>
  <c r="AO25" i="88"/>
  <c r="AR24" i="88"/>
  <c r="AN24" i="88"/>
  <c r="AQ23" i="88"/>
  <c r="AM23" i="88"/>
  <c r="AO21" i="88"/>
  <c r="AR20" i="88"/>
  <c r="AN20" i="88"/>
  <c r="AQ19" i="88"/>
  <c r="AM19" i="88"/>
  <c r="AP18" i="88"/>
  <c r="AL18" i="88"/>
  <c r="AO17" i="88"/>
  <c r="AR16" i="88"/>
  <c r="AN16" i="88"/>
  <c r="AQ15" i="88"/>
  <c r="AM15" i="88"/>
  <c r="AP14" i="88"/>
  <c r="AL14" i="88"/>
  <c r="AO13" i="88"/>
  <c r="AR12" i="88"/>
  <c r="AN12" i="88"/>
  <c r="AQ11" i="88"/>
  <c r="AM11" i="88"/>
  <c r="AP10" i="88"/>
  <c r="AL10" i="88"/>
  <c r="AO9" i="88"/>
  <c r="AR8" i="88"/>
  <c r="AN8" i="88"/>
  <c r="AR21" i="88"/>
  <c r="AN21" i="88"/>
  <c r="AQ20" i="88"/>
  <c r="AM20" i="88"/>
  <c r="AP19" i="88"/>
  <c r="AL19" i="88"/>
  <c r="AO18" i="88"/>
  <c r="AR17" i="88"/>
  <c r="AN17" i="88"/>
  <c r="AQ16" i="88"/>
  <c r="AM16" i="88"/>
  <c r="AP15" i="88"/>
  <c r="AL15" i="88"/>
  <c r="AO14" i="88"/>
  <c r="AR13" i="88"/>
  <c r="AN13" i="88"/>
  <c r="AQ12" i="88"/>
  <c r="AM12" i="88"/>
  <c r="AP11" i="88"/>
  <c r="AL11" i="88"/>
  <c r="AO10" i="88"/>
  <c r="AR9" i="88"/>
  <c r="AN9" i="88"/>
  <c r="AQ8" i="88"/>
  <c r="AM8" i="88"/>
  <c r="AP7" i="88"/>
  <c r="AL7" i="88"/>
  <c r="AQ21" i="88"/>
  <c r="AM21" i="88"/>
  <c r="AP20" i="88"/>
  <c r="AL20" i="88"/>
  <c r="AO19" i="88"/>
  <c r="AR18" i="88"/>
  <c r="AN18" i="88"/>
  <c r="AQ17" i="88"/>
  <c r="AM17" i="88"/>
  <c r="AP16" i="88"/>
  <c r="AL16" i="88"/>
  <c r="AO15" i="88"/>
  <c r="AR14" i="88"/>
  <c r="AN14" i="88"/>
  <c r="AQ13" i="88"/>
  <c r="AM13" i="88"/>
  <c r="AP12" i="88"/>
  <c r="AL12" i="88"/>
  <c r="AO11" i="88"/>
  <c r="AR10" i="88"/>
  <c r="AN10" i="88"/>
  <c r="AQ9" i="88"/>
  <c r="AM9" i="88"/>
  <c r="AP8" i="88"/>
  <c r="AL8" i="88"/>
  <c r="AO7" i="88"/>
  <c r="AQ7" i="88"/>
  <c r="AP21" i="88"/>
  <c r="AL21" i="88"/>
  <c r="AO20" i="88"/>
  <c r="AR19" i="88"/>
  <c r="AN19" i="88"/>
  <c r="AQ18" i="88"/>
  <c r="AM18" i="88"/>
  <c r="AP17" i="88"/>
  <c r="AL17" i="88"/>
  <c r="AO16" i="88"/>
  <c r="AR15" i="88"/>
  <c r="AN15" i="88"/>
  <c r="AQ14" i="88"/>
  <c r="AM14" i="88"/>
  <c r="AP13" i="88"/>
  <c r="AL13" i="88"/>
  <c r="AO12" i="88"/>
  <c r="AR11" i="88"/>
  <c r="AN11" i="88"/>
  <c r="AQ10" i="88"/>
  <c r="AM10" i="88"/>
  <c r="AP9" i="88"/>
  <c r="AL9" i="88"/>
  <c r="AO8" i="88"/>
  <c r="AR7" i="88"/>
  <c r="AN7" i="88"/>
  <c r="AM7" i="88"/>
  <c r="P507" i="58"/>
  <c r="A9" i="95" l="1"/>
  <c r="A10" i="95" s="1"/>
  <c r="A12" i="95" s="1"/>
  <c r="A13" i="95" s="1"/>
  <c r="A14" i="95" s="1"/>
  <c r="A16" i="95" s="1"/>
  <c r="A17" i="95" s="1"/>
  <c r="A18" i="95" s="1"/>
  <c r="A20" i="95" s="1"/>
  <c r="A21" i="95" s="1"/>
  <c r="A23" i="95" s="1"/>
  <c r="A24" i="95" s="1"/>
  <c r="A26" i="95" s="1"/>
  <c r="A27" i="95" s="1"/>
  <c r="AQ24" i="95"/>
  <c r="AP24" i="95"/>
  <c r="AO24" i="95"/>
  <c r="AN24" i="95"/>
  <c r="AM24" i="95"/>
  <c r="AL24" i="95"/>
  <c r="AK24" i="95"/>
  <c r="AQ23" i="95"/>
  <c r="AQ22" i="95" s="1"/>
  <c r="AP23" i="95"/>
  <c r="AP22" i="95" s="1"/>
  <c r="AO23" i="95"/>
  <c r="AN23" i="95"/>
  <c r="AN22" i="95" s="1"/>
  <c r="AM23" i="95"/>
  <c r="AM22" i="95" s="1"/>
  <c r="AL23" i="95"/>
  <c r="AL22" i="95" s="1"/>
  <c r="AK23" i="95"/>
  <c r="AQ21" i="95"/>
  <c r="AP21" i="95"/>
  <c r="AO21" i="95"/>
  <c r="AN21" i="95"/>
  <c r="AM21" i="95"/>
  <c r="AL21" i="95"/>
  <c r="AK21" i="95"/>
  <c r="AQ20" i="95"/>
  <c r="AP20" i="95"/>
  <c r="AP19" i="95" s="1"/>
  <c r="AO20" i="95"/>
  <c r="AO19" i="95" s="1"/>
  <c r="AN20" i="95"/>
  <c r="AN19" i="95" s="1"/>
  <c r="AM20" i="95"/>
  <c r="AL20" i="95"/>
  <c r="AL19" i="95" s="1"/>
  <c r="AK20" i="95"/>
  <c r="AK19" i="95" s="1"/>
  <c r="AQ18" i="95"/>
  <c r="AP18" i="95"/>
  <c r="AO18" i="95"/>
  <c r="AN18" i="95"/>
  <c r="AM18" i="95"/>
  <c r="AL18" i="95"/>
  <c r="AK18" i="95"/>
  <c r="AQ17" i="95"/>
  <c r="AP17" i="95"/>
  <c r="AO17" i="95"/>
  <c r="AN17" i="95"/>
  <c r="AM17" i="95"/>
  <c r="AL17" i="95"/>
  <c r="AK17" i="95"/>
  <c r="AK22" i="95" l="1"/>
  <c r="AO22" i="95"/>
  <c r="AM19" i="95"/>
  <c r="AQ19" i="95"/>
  <c r="AQ27" i="95"/>
  <c r="AP27" i="95"/>
  <c r="AO27" i="95"/>
  <c r="AN27" i="95"/>
  <c r="AM27" i="95"/>
  <c r="AL27" i="95"/>
  <c r="AK27" i="95"/>
  <c r="AQ26" i="95"/>
  <c r="AQ25" i="95" s="1"/>
  <c r="AP26" i="95"/>
  <c r="AP25" i="95" s="1"/>
  <c r="AO26" i="95"/>
  <c r="AO25" i="95" s="1"/>
  <c r="AN26" i="95"/>
  <c r="AN25" i="95" s="1"/>
  <c r="AM26" i="95"/>
  <c r="AM25" i="95" s="1"/>
  <c r="AL26" i="95"/>
  <c r="AL25" i="95" s="1"/>
  <c r="AK26" i="95"/>
  <c r="AQ16" i="95"/>
  <c r="AQ15" i="95" s="1"/>
  <c r="AP16" i="95"/>
  <c r="AP15" i="95" s="1"/>
  <c r="AO16" i="95"/>
  <c r="AO15" i="95" s="1"/>
  <c r="AN16" i="95"/>
  <c r="AN15" i="95" s="1"/>
  <c r="AM16" i="95"/>
  <c r="AM15" i="95" s="1"/>
  <c r="AL16" i="95"/>
  <c r="AL15" i="95" s="1"/>
  <c r="AK16" i="95"/>
  <c r="AK15" i="95" s="1"/>
  <c r="AQ14" i="95"/>
  <c r="AP14" i="95"/>
  <c r="AO14" i="95"/>
  <c r="AN14" i="95"/>
  <c r="AM14" i="95"/>
  <c r="AL14" i="95"/>
  <c r="AK14" i="95"/>
  <c r="AQ13" i="95"/>
  <c r="AP13" i="95"/>
  <c r="AO13" i="95"/>
  <c r="AN13" i="95"/>
  <c r="AM13" i="95"/>
  <c r="AL13" i="95"/>
  <c r="AK13" i="95"/>
  <c r="AQ12" i="95"/>
  <c r="AP12" i="95"/>
  <c r="AO12" i="95"/>
  <c r="AN12" i="95"/>
  <c r="AN11" i="95" s="1"/>
  <c r="AM12" i="95"/>
  <c r="AL12" i="95"/>
  <c r="AK12" i="95"/>
  <c r="AQ10" i="95"/>
  <c r="AP10" i="95"/>
  <c r="AO10" i="95"/>
  <c r="AN10" i="95"/>
  <c r="AM10" i="95"/>
  <c r="AL10" i="95"/>
  <c r="AK10" i="95"/>
  <c r="AQ9" i="95"/>
  <c r="AP9" i="95"/>
  <c r="AO9" i="95"/>
  <c r="AN9" i="95"/>
  <c r="AM9" i="95"/>
  <c r="AL9" i="95"/>
  <c r="AK9" i="95"/>
  <c r="AQ8" i="95"/>
  <c r="AP8" i="95"/>
  <c r="AO8" i="95"/>
  <c r="AO7" i="95" s="1"/>
  <c r="AN8" i="95"/>
  <c r="AM8" i="95"/>
  <c r="AL8" i="95"/>
  <c r="AK8" i="95"/>
  <c r="AK7" i="95" s="1"/>
  <c r="AQ47" i="94"/>
  <c r="AP47" i="94"/>
  <c r="AO47" i="94"/>
  <c r="AN47" i="94"/>
  <c r="AM47" i="94"/>
  <c r="AL47" i="94"/>
  <c r="AK47" i="94"/>
  <c r="AQ46" i="94"/>
  <c r="AP46" i="94"/>
  <c r="AO46" i="94"/>
  <c r="AN46" i="94"/>
  <c r="AM46" i="94"/>
  <c r="AL46" i="94"/>
  <c r="AK46" i="94"/>
  <c r="AQ45" i="94"/>
  <c r="AP45" i="94"/>
  <c r="AO45" i="94"/>
  <c r="AN45" i="94"/>
  <c r="AM45" i="94"/>
  <c r="AL45" i="94"/>
  <c r="AK45" i="94"/>
  <c r="AQ44" i="94"/>
  <c r="AP44" i="94"/>
  <c r="AO44" i="94"/>
  <c r="AN44" i="94"/>
  <c r="AM44" i="94"/>
  <c r="AL44" i="94"/>
  <c r="AK44" i="94"/>
  <c r="AQ43" i="94"/>
  <c r="AP43" i="94"/>
  <c r="AO43" i="94"/>
  <c r="AN43" i="94"/>
  <c r="AM43" i="94"/>
  <c r="AL43" i="94"/>
  <c r="AK43" i="94"/>
  <c r="AQ42" i="94"/>
  <c r="AP42" i="94"/>
  <c r="AO42" i="94"/>
  <c r="AN42" i="94"/>
  <c r="AM42" i="94"/>
  <c r="AL42" i="94"/>
  <c r="AK42" i="94"/>
  <c r="AQ41" i="94"/>
  <c r="AP41" i="94"/>
  <c r="AO41" i="94"/>
  <c r="AN41" i="94"/>
  <c r="AM41" i="94"/>
  <c r="AL41" i="94"/>
  <c r="AK41" i="94"/>
  <c r="AQ40" i="94"/>
  <c r="AP40" i="94"/>
  <c r="AO40" i="94"/>
  <c r="AN40" i="94"/>
  <c r="AM40" i="94"/>
  <c r="AL40" i="94"/>
  <c r="AK40" i="94"/>
  <c r="AQ39" i="94"/>
  <c r="AP39" i="94"/>
  <c r="AO39" i="94"/>
  <c r="AN39" i="94"/>
  <c r="AM39" i="94"/>
  <c r="AL39" i="94"/>
  <c r="AK39" i="94"/>
  <c r="AQ38" i="94"/>
  <c r="AP38" i="94"/>
  <c r="AO38" i="94"/>
  <c r="AN38" i="94"/>
  <c r="AM38" i="94"/>
  <c r="AL38" i="94"/>
  <c r="AK38" i="94"/>
  <c r="AQ37" i="94"/>
  <c r="AP37" i="94"/>
  <c r="AO37" i="94"/>
  <c r="AN37" i="94"/>
  <c r="AM37" i="94"/>
  <c r="AL37" i="94"/>
  <c r="AK37" i="94"/>
  <c r="AQ36" i="94"/>
  <c r="AP36" i="94"/>
  <c r="AO36" i="94"/>
  <c r="AN36" i="94"/>
  <c r="AM36" i="94"/>
  <c r="AL36" i="94"/>
  <c r="AK36" i="94"/>
  <c r="AQ34" i="94"/>
  <c r="AP34" i="94"/>
  <c r="AO34" i="94"/>
  <c r="AN34" i="94"/>
  <c r="AM34" i="94"/>
  <c r="AL34" i="94"/>
  <c r="AK34" i="94"/>
  <c r="AQ33" i="94"/>
  <c r="AP33" i="94"/>
  <c r="AO33" i="94"/>
  <c r="AN33" i="94"/>
  <c r="AM33" i="94"/>
  <c r="AL33" i="94"/>
  <c r="AK33" i="94"/>
  <c r="AQ32" i="94"/>
  <c r="AP32" i="94"/>
  <c r="AO32" i="94"/>
  <c r="AN32" i="94"/>
  <c r="AM32" i="94"/>
  <c r="AL32" i="94"/>
  <c r="AK32" i="94"/>
  <c r="AQ31" i="94"/>
  <c r="AP31" i="94"/>
  <c r="AO31" i="94"/>
  <c r="AN31" i="94"/>
  <c r="AM31" i="94"/>
  <c r="AL31" i="94"/>
  <c r="AK31" i="94"/>
  <c r="AQ30" i="94"/>
  <c r="AP30" i="94"/>
  <c r="AO30" i="94"/>
  <c r="AN30" i="94"/>
  <c r="AM30" i="94"/>
  <c r="AL30" i="94"/>
  <c r="AK30" i="94"/>
  <c r="AQ29" i="94"/>
  <c r="AP29" i="94"/>
  <c r="AO29" i="94"/>
  <c r="AN29" i="94"/>
  <c r="AM29" i="94"/>
  <c r="AL29" i="94"/>
  <c r="AK29" i="94"/>
  <c r="AQ28" i="94"/>
  <c r="AP28" i="94"/>
  <c r="AO28" i="94"/>
  <c r="AN28" i="94"/>
  <c r="AM28" i="94"/>
  <c r="AL28" i="94"/>
  <c r="AK28" i="94"/>
  <c r="AQ27" i="94"/>
  <c r="AP27" i="94"/>
  <c r="AO27" i="94"/>
  <c r="AN27" i="94"/>
  <c r="AM27" i="94"/>
  <c r="AL27" i="94"/>
  <c r="AK27" i="94"/>
  <c r="AQ26" i="94"/>
  <c r="AP26" i="94"/>
  <c r="AO26" i="94"/>
  <c r="AN26" i="94"/>
  <c r="AM26" i="94"/>
  <c r="AL26" i="94"/>
  <c r="AK26" i="94"/>
  <c r="AQ25" i="94"/>
  <c r="AP25" i="94"/>
  <c r="AO25" i="94"/>
  <c r="AN25" i="94"/>
  <c r="AM25" i="94"/>
  <c r="AL25" i="94"/>
  <c r="AK25" i="94"/>
  <c r="AQ24" i="94"/>
  <c r="AP24" i="94"/>
  <c r="AO24" i="94"/>
  <c r="AN24" i="94"/>
  <c r="AM24" i="94"/>
  <c r="AL24" i="94"/>
  <c r="AK24" i="94"/>
  <c r="AQ22" i="94"/>
  <c r="AP22" i="94"/>
  <c r="AO22" i="94"/>
  <c r="AN22" i="94"/>
  <c r="AM22" i="94"/>
  <c r="AL22" i="94"/>
  <c r="AK22" i="94"/>
  <c r="AQ21" i="94"/>
  <c r="AP21" i="94"/>
  <c r="AO21" i="94"/>
  <c r="AN21" i="94"/>
  <c r="AM21" i="94"/>
  <c r="AL21" i="94"/>
  <c r="AK21" i="94"/>
  <c r="AQ20" i="94"/>
  <c r="AP20" i="94"/>
  <c r="AO20" i="94"/>
  <c r="AN20" i="94"/>
  <c r="AM20" i="94"/>
  <c r="AL20" i="94"/>
  <c r="AK20" i="94"/>
  <c r="AQ19" i="94"/>
  <c r="AP19" i="94"/>
  <c r="AO19" i="94"/>
  <c r="AN19" i="94"/>
  <c r="AM19" i="94"/>
  <c r="AL19" i="94"/>
  <c r="AK19" i="94"/>
  <c r="AQ18" i="94"/>
  <c r="AP18" i="94"/>
  <c r="AO18" i="94"/>
  <c r="AN18" i="94"/>
  <c r="AM18" i="94"/>
  <c r="AL18" i="94"/>
  <c r="AK18" i="94"/>
  <c r="AQ17" i="94"/>
  <c r="AP17" i="94"/>
  <c r="AO17" i="94"/>
  <c r="AN17" i="94"/>
  <c r="AM17" i="94"/>
  <c r="AL17" i="94"/>
  <c r="AK17" i="94"/>
  <c r="AQ16" i="94"/>
  <c r="AP16" i="94"/>
  <c r="AO16" i="94"/>
  <c r="AN16" i="94"/>
  <c r="AM16" i="94"/>
  <c r="AL16" i="94"/>
  <c r="AK16" i="94"/>
  <c r="AQ15" i="94"/>
  <c r="AP15" i="94"/>
  <c r="AO15" i="94"/>
  <c r="AN15" i="94"/>
  <c r="AM15" i="94"/>
  <c r="AL15" i="94"/>
  <c r="AK15" i="94"/>
  <c r="AQ14" i="94"/>
  <c r="AP14" i="94"/>
  <c r="AO14" i="94"/>
  <c r="AN14" i="94"/>
  <c r="AM14" i="94"/>
  <c r="AL14" i="94"/>
  <c r="AK14" i="94"/>
  <c r="AQ13" i="94"/>
  <c r="AP13" i="94"/>
  <c r="AO13" i="94"/>
  <c r="AN13" i="94"/>
  <c r="AM13" i="94"/>
  <c r="AL13" i="94"/>
  <c r="AK13" i="94"/>
  <c r="AQ12" i="94"/>
  <c r="AP12" i="94"/>
  <c r="AO12" i="94"/>
  <c r="AN12" i="94"/>
  <c r="AM12" i="94"/>
  <c r="AL12" i="94"/>
  <c r="AK12" i="94"/>
  <c r="AQ11" i="94"/>
  <c r="AQ7" i="94" s="1"/>
  <c r="AP11" i="94"/>
  <c r="AO11" i="94"/>
  <c r="AN11" i="94"/>
  <c r="AM11" i="94"/>
  <c r="AL11" i="94"/>
  <c r="AK11" i="94"/>
  <c r="AQ10" i="94"/>
  <c r="AP10" i="94"/>
  <c r="AO10" i="94"/>
  <c r="AN10" i="94"/>
  <c r="AM10" i="94"/>
  <c r="AL10" i="94"/>
  <c r="AK10" i="94"/>
  <c r="AQ9" i="94"/>
  <c r="AP9" i="94"/>
  <c r="AO9" i="94"/>
  <c r="AO7" i="94" s="1"/>
  <c r="AN9" i="94"/>
  <c r="AM9" i="94"/>
  <c r="AM7" i="94" s="1"/>
  <c r="AM6" i="94" s="1"/>
  <c r="AL9" i="94"/>
  <c r="AK9" i="94"/>
  <c r="AQ8" i="94"/>
  <c r="AP8" i="94"/>
  <c r="AO8" i="94"/>
  <c r="AN8" i="94"/>
  <c r="AM8" i="94"/>
  <c r="AL8" i="94"/>
  <c r="AK8" i="94"/>
  <c r="AK7" i="94" s="1"/>
  <c r="AQ35" i="94"/>
  <c r="AP35" i="94"/>
  <c r="AO35" i="94"/>
  <c r="AN35" i="94"/>
  <c r="AM35" i="94"/>
  <c r="AL35" i="94"/>
  <c r="AK35" i="94"/>
  <c r="AQ23" i="94"/>
  <c r="AP23" i="94"/>
  <c r="AO23" i="94"/>
  <c r="AN23" i="94"/>
  <c r="AM23" i="94"/>
  <c r="AL23" i="94"/>
  <c r="AK23" i="94"/>
  <c r="AN7" i="94"/>
  <c r="A37" i="94"/>
  <c r="A38" i="94" s="1"/>
  <c r="A39" i="94" s="1"/>
  <c r="A40" i="94" s="1"/>
  <c r="A41" i="94" s="1"/>
  <c r="A42" i="94" s="1"/>
  <c r="A43" i="94" s="1"/>
  <c r="A44" i="94" s="1"/>
  <c r="A45" i="94" s="1"/>
  <c r="A46" i="94" s="1"/>
  <c r="A47" i="94" s="1"/>
  <c r="A25" i="94"/>
  <c r="A26" i="94" s="1"/>
  <c r="A27" i="94" s="1"/>
  <c r="A28" i="94" s="1"/>
  <c r="A29" i="94" s="1"/>
  <c r="A30" i="94" s="1"/>
  <c r="A31" i="94" s="1"/>
  <c r="A32" i="94" s="1"/>
  <c r="A33" i="94" s="1"/>
  <c r="A34" i="94" s="1"/>
  <c r="A9" i="94"/>
  <c r="A10" i="94" s="1"/>
  <c r="A11" i="94" s="1"/>
  <c r="A12" i="94" s="1"/>
  <c r="A13" i="94" s="1"/>
  <c r="A14" i="94" s="1"/>
  <c r="A15" i="94" s="1"/>
  <c r="A16" i="94" s="1"/>
  <c r="A17" i="94" s="1"/>
  <c r="A18" i="94" s="1"/>
  <c r="A19" i="94" s="1"/>
  <c r="AQ21" i="93"/>
  <c r="AP21" i="93"/>
  <c r="AO21" i="93"/>
  <c r="AN21" i="93"/>
  <c r="AM21" i="93"/>
  <c r="AL21" i="93"/>
  <c r="AK21" i="93"/>
  <c r="AQ20" i="93"/>
  <c r="AP20" i="93"/>
  <c r="AO20" i="93"/>
  <c r="AN20" i="93"/>
  <c r="AM20" i="93"/>
  <c r="AL20" i="93"/>
  <c r="AK20" i="93"/>
  <c r="AQ19" i="93"/>
  <c r="AP19" i="93"/>
  <c r="AO19" i="93"/>
  <c r="AN19" i="93"/>
  <c r="AM19" i="93"/>
  <c r="AL19" i="93"/>
  <c r="AK19" i="93"/>
  <c r="AQ18" i="93"/>
  <c r="AP18" i="93"/>
  <c r="AO18" i="93"/>
  <c r="AN18" i="93"/>
  <c r="AM18" i="93"/>
  <c r="AL18" i="93"/>
  <c r="AK18" i="93"/>
  <c r="AQ17" i="93"/>
  <c r="AP17" i="93"/>
  <c r="AO17" i="93"/>
  <c r="AN17" i="93"/>
  <c r="AM17" i="93"/>
  <c r="AL17" i="93"/>
  <c r="AK17" i="93"/>
  <c r="AQ16" i="93"/>
  <c r="AP16" i="93"/>
  <c r="AO16" i="93"/>
  <c r="AN16" i="93"/>
  <c r="AM16" i="93"/>
  <c r="AL16" i="93"/>
  <c r="AK16" i="93"/>
  <c r="AQ15" i="93"/>
  <c r="AP15" i="93"/>
  <c r="AO15" i="93"/>
  <c r="AN15" i="93"/>
  <c r="AM15" i="93"/>
  <c r="AL15" i="93"/>
  <c r="AK15" i="93"/>
  <c r="AQ14" i="93"/>
  <c r="AP14" i="93"/>
  <c r="AO14" i="93"/>
  <c r="AN14" i="93"/>
  <c r="AM14" i="93"/>
  <c r="AL14" i="93"/>
  <c r="AK14" i="93"/>
  <c r="AQ13" i="93"/>
  <c r="AP13" i="93"/>
  <c r="AO13" i="93"/>
  <c r="AN13" i="93"/>
  <c r="AM13" i="93"/>
  <c r="AL13" i="93"/>
  <c r="AK13" i="93"/>
  <c r="AQ12" i="93"/>
  <c r="AP12" i="93"/>
  <c r="AO12" i="93"/>
  <c r="AN12" i="93"/>
  <c r="AM12" i="93"/>
  <c r="AL12" i="93"/>
  <c r="AK12" i="93"/>
  <c r="AQ11" i="93"/>
  <c r="AP11" i="93"/>
  <c r="AO11" i="93"/>
  <c r="AN11" i="93"/>
  <c r="AM11" i="93"/>
  <c r="AL11" i="93"/>
  <c r="AK11" i="93"/>
  <c r="AQ10" i="93"/>
  <c r="AP10" i="93"/>
  <c r="AO10" i="93"/>
  <c r="AN10" i="93"/>
  <c r="AM10" i="93"/>
  <c r="AL10" i="93"/>
  <c r="AK10" i="93"/>
  <c r="AQ9" i="93"/>
  <c r="AP9" i="93"/>
  <c r="AO9" i="93"/>
  <c r="AN9" i="93"/>
  <c r="AM9" i="93"/>
  <c r="AL9" i="93"/>
  <c r="AK9" i="93"/>
  <c r="AQ8" i="93"/>
  <c r="AP8" i="93"/>
  <c r="AO8" i="93"/>
  <c r="AN8" i="93"/>
  <c r="AM8" i="93"/>
  <c r="AL8" i="93"/>
  <c r="AK8" i="93"/>
  <c r="AQ7" i="93"/>
  <c r="AQ6" i="93" s="1"/>
  <c r="AP7" i="93"/>
  <c r="AO7" i="93"/>
  <c r="AN7" i="93"/>
  <c r="AM7" i="93"/>
  <c r="AM6" i="93" s="1"/>
  <c r="AL7" i="93"/>
  <c r="AK7" i="93"/>
  <c r="AQ25" i="93"/>
  <c r="AP25" i="93"/>
  <c r="AO25" i="93"/>
  <c r="AN25" i="93"/>
  <c r="AM25" i="93"/>
  <c r="AL25" i="93"/>
  <c r="AK25" i="93"/>
  <c r="AQ24" i="93"/>
  <c r="AP24" i="93"/>
  <c r="AO24" i="93"/>
  <c r="AN24" i="93"/>
  <c r="AM24" i="93"/>
  <c r="AL24" i="93"/>
  <c r="AK24" i="93"/>
  <c r="AQ23" i="93"/>
  <c r="AQ26" i="93" s="1"/>
  <c r="AP23" i="93"/>
  <c r="AO23" i="93"/>
  <c r="AN23" i="93"/>
  <c r="AM23" i="93"/>
  <c r="AM26" i="93" s="1"/>
  <c r="AL23" i="93"/>
  <c r="AK23" i="93"/>
  <c r="AK26" i="93" s="1"/>
  <c r="A8" i="93"/>
  <c r="A9" i="93" s="1"/>
  <c r="A10" i="93" s="1"/>
  <c r="A11" i="93" s="1"/>
  <c r="A12" i="93" s="1"/>
  <c r="A13" i="93" s="1"/>
  <c r="A14" i="93" s="1"/>
  <c r="A15" i="93" s="1"/>
  <c r="A16" i="93" s="1"/>
  <c r="A17" i="93" s="1"/>
  <c r="A18" i="93" s="1"/>
  <c r="A19" i="93" s="1"/>
  <c r="A20" i="93" s="1"/>
  <c r="A21" i="93" s="1"/>
  <c r="AP6" i="93"/>
  <c r="AO6" i="93"/>
  <c r="AN6" i="93"/>
  <c r="AL6" i="93"/>
  <c r="AL7" i="95" l="1"/>
  <c r="AP7" i="95"/>
  <c r="AN7" i="95"/>
  <c r="AN6" i="95" s="1"/>
  <c r="AM11" i="95"/>
  <c r="AQ11" i="95"/>
  <c r="AK11" i="95"/>
  <c r="AK6" i="95" s="1"/>
  <c r="AO11" i="95"/>
  <c r="AO6" i="95" s="1"/>
  <c r="AK25" i="95"/>
  <c r="AL11" i="95"/>
  <c r="AP11" i="95"/>
  <c r="AL7" i="94"/>
  <c r="AP7" i="94"/>
  <c r="AN26" i="93"/>
  <c r="AO26" i="93"/>
  <c r="AO28" i="93" s="1"/>
  <c r="AL6" i="94"/>
  <c r="AP6" i="94"/>
  <c r="AM7" i="95"/>
  <c r="AM6" i="95" s="1"/>
  <c r="AQ7" i="95"/>
  <c r="AQ6" i="95" s="1"/>
  <c r="AN6" i="94"/>
  <c r="AO6" i="94"/>
  <c r="AK6" i="94"/>
  <c r="AQ6" i="94"/>
  <c r="A20" i="94"/>
  <c r="A21" i="94" s="1"/>
  <c r="A22" i="94" s="1"/>
  <c r="AN28" i="93"/>
  <c r="AN27" i="93"/>
  <c r="AK6" i="93"/>
  <c r="AK28" i="93" s="1"/>
  <c r="AO27" i="93"/>
  <c r="AM28" i="93"/>
  <c r="AM27" i="93"/>
  <c r="AQ28" i="93"/>
  <c r="AQ27" i="93"/>
  <c r="AL26" i="93"/>
  <c r="AP26" i="93"/>
  <c r="AP6" i="95" l="1"/>
  <c r="AL6" i="95"/>
  <c r="AK27" i="93"/>
  <c r="AL28" i="93"/>
  <c r="AL27" i="93"/>
  <c r="AP28" i="93"/>
  <c r="AP27" i="93"/>
  <c r="P85" i="58" l="1"/>
  <c r="O974" i="58" l="1"/>
  <c r="O973" i="58"/>
  <c r="O972" i="58"/>
  <c r="O971" i="58"/>
  <c r="O970" i="58"/>
  <c r="O969" i="58"/>
  <c r="O968" i="58"/>
  <c r="O967" i="58"/>
  <c r="O966" i="58"/>
  <c r="O965" i="58"/>
  <c r="O964" i="58"/>
  <c r="O963" i="58"/>
  <c r="O962" i="58"/>
  <c r="O961" i="58"/>
  <c r="O960" i="58"/>
  <c r="O959" i="58"/>
  <c r="O958" i="58"/>
  <c r="O957" i="58"/>
  <c r="O956" i="58"/>
  <c r="O955" i="58"/>
  <c r="O954" i="58"/>
  <c r="O953" i="58"/>
  <c r="O952" i="58"/>
  <c r="O951" i="58"/>
  <c r="O950" i="58"/>
  <c r="O949" i="58"/>
  <c r="O948" i="58"/>
  <c r="O947" i="58"/>
  <c r="O946" i="58"/>
  <c r="O945" i="58"/>
  <c r="O944" i="58"/>
  <c r="O943" i="58"/>
  <c r="O942" i="58"/>
  <c r="O941" i="58"/>
  <c r="O940" i="58"/>
  <c r="O939" i="58"/>
  <c r="O938" i="58"/>
  <c r="O937" i="58"/>
  <c r="O936" i="58"/>
  <c r="O935" i="58"/>
  <c r="O934" i="58"/>
  <c r="O933" i="58"/>
  <c r="O932" i="58"/>
  <c r="O931" i="58"/>
  <c r="O930" i="58"/>
  <c r="O929" i="58"/>
  <c r="O928" i="58"/>
  <c r="O927" i="58"/>
  <c r="O926" i="58"/>
  <c r="O925" i="58"/>
  <c r="O924" i="58"/>
  <c r="O923" i="58"/>
  <c r="O922" i="58"/>
  <c r="O921" i="58"/>
  <c r="O920" i="58"/>
  <c r="O919" i="58"/>
  <c r="O918" i="58"/>
  <c r="O917" i="58"/>
  <c r="O916" i="58"/>
  <c r="O915" i="58"/>
  <c r="O914" i="58"/>
  <c r="O913" i="58"/>
  <c r="O912" i="58"/>
  <c r="O911" i="58"/>
  <c r="O910" i="58"/>
  <c r="O909" i="58"/>
  <c r="O908" i="58"/>
  <c r="O907" i="58"/>
  <c r="O906" i="58"/>
  <c r="O905" i="58"/>
  <c r="O904" i="58"/>
  <c r="O903" i="58"/>
  <c r="O902" i="58"/>
  <c r="O901" i="58"/>
  <c r="O900" i="58"/>
  <c r="O899" i="58"/>
  <c r="O898" i="58"/>
  <c r="O897" i="58"/>
  <c r="O896" i="58"/>
  <c r="O895" i="58"/>
  <c r="O894" i="58"/>
  <c r="O893" i="58"/>
  <c r="O892" i="58"/>
  <c r="O891" i="58"/>
  <c r="O890" i="58"/>
  <c r="O889" i="58"/>
  <c r="O888" i="58"/>
  <c r="O887" i="58"/>
  <c r="O886" i="58"/>
  <c r="O885" i="58"/>
  <c r="O884" i="58"/>
  <c r="O883" i="58"/>
  <c r="O882" i="58"/>
  <c r="O881" i="58"/>
  <c r="O880" i="58"/>
  <c r="O879" i="58"/>
  <c r="O878" i="58"/>
  <c r="O877" i="58"/>
  <c r="O876" i="58"/>
  <c r="O875" i="58"/>
  <c r="O874" i="58"/>
  <c r="O873" i="58"/>
  <c r="O872" i="58"/>
  <c r="O871" i="58"/>
  <c r="O870" i="58"/>
  <c r="O869" i="58"/>
  <c r="O868" i="58"/>
  <c r="O867" i="58"/>
  <c r="O866" i="58"/>
  <c r="O865" i="58"/>
  <c r="O864" i="58"/>
  <c r="O863" i="58"/>
  <c r="O862" i="58"/>
  <c r="O861" i="58"/>
  <c r="O860" i="58"/>
  <c r="O859" i="58"/>
  <c r="O858" i="58"/>
  <c r="O857" i="58"/>
  <c r="O856" i="58"/>
  <c r="O855" i="58"/>
  <c r="O854" i="58"/>
  <c r="O853" i="58"/>
  <c r="O852" i="58"/>
  <c r="O851" i="58"/>
  <c r="O850" i="58"/>
  <c r="O849" i="58"/>
  <c r="O848" i="58"/>
  <c r="O847" i="58"/>
  <c r="O846" i="58"/>
  <c r="O845" i="58"/>
  <c r="O844" i="58"/>
  <c r="O843" i="58"/>
  <c r="O842" i="58"/>
  <c r="O841" i="58"/>
  <c r="O840" i="58"/>
  <c r="O839" i="58"/>
  <c r="O838" i="58"/>
  <c r="O837" i="58"/>
  <c r="O836" i="58"/>
  <c r="O835" i="58"/>
  <c r="O834" i="58"/>
  <c r="O833" i="58"/>
  <c r="O832" i="58"/>
  <c r="O831" i="58"/>
  <c r="O830" i="58"/>
  <c r="O829" i="58"/>
  <c r="O828" i="58"/>
  <c r="O827" i="58"/>
  <c r="O826" i="58"/>
  <c r="O825" i="58"/>
  <c r="O824" i="58"/>
  <c r="O823" i="58"/>
  <c r="O822" i="58"/>
  <c r="O821" i="58"/>
  <c r="O820" i="58"/>
  <c r="O819" i="58"/>
  <c r="O818" i="58"/>
  <c r="O817" i="58"/>
  <c r="O816" i="58"/>
  <c r="O815" i="58"/>
  <c r="O814" i="58"/>
  <c r="O813" i="58"/>
  <c r="O812" i="58"/>
  <c r="O811" i="58"/>
  <c r="O810" i="58"/>
  <c r="O809" i="58"/>
  <c r="O808" i="58"/>
  <c r="O807" i="58"/>
  <c r="O806" i="58"/>
  <c r="O805" i="58"/>
  <c r="O804" i="58"/>
  <c r="O803" i="58"/>
  <c r="O802" i="58"/>
  <c r="O801" i="58"/>
  <c r="O800" i="58"/>
  <c r="O799" i="58"/>
  <c r="O798" i="58"/>
  <c r="O797" i="58"/>
  <c r="O796" i="58"/>
  <c r="O795" i="58"/>
  <c r="O794" i="58"/>
  <c r="O793" i="58"/>
  <c r="O792" i="58"/>
  <c r="O791" i="58"/>
  <c r="O790" i="58"/>
  <c r="O789" i="58"/>
  <c r="O788" i="58"/>
  <c r="O787" i="58"/>
  <c r="O786" i="58"/>
  <c r="O785" i="58"/>
  <c r="O784" i="58"/>
  <c r="O783" i="58"/>
  <c r="O782" i="58"/>
  <c r="O781" i="58"/>
  <c r="O780" i="58"/>
  <c r="O779" i="58"/>
  <c r="O778" i="58"/>
  <c r="O777" i="58"/>
  <c r="O776" i="58"/>
  <c r="O775" i="58"/>
  <c r="O774" i="58"/>
  <c r="O773" i="58"/>
  <c r="O772" i="58"/>
  <c r="O771" i="58"/>
  <c r="O770" i="58"/>
  <c r="O769" i="58"/>
  <c r="O768" i="58"/>
  <c r="O767" i="58"/>
  <c r="O766" i="58"/>
  <c r="O765" i="58"/>
  <c r="O764" i="58"/>
  <c r="O763" i="58"/>
  <c r="O762" i="58"/>
  <c r="O761" i="58"/>
  <c r="O760" i="58"/>
  <c r="O759" i="58"/>
  <c r="O758" i="58"/>
  <c r="O757" i="58"/>
  <c r="O756" i="58"/>
  <c r="O755" i="58"/>
  <c r="O754" i="58"/>
  <c r="O753" i="58"/>
  <c r="O752" i="58"/>
  <c r="O751" i="58"/>
  <c r="O750" i="58"/>
  <c r="O749" i="58"/>
  <c r="O748" i="58"/>
  <c r="O747" i="58"/>
  <c r="O746" i="58"/>
  <c r="O745" i="58"/>
  <c r="O744" i="58"/>
  <c r="O743" i="58"/>
  <c r="O742" i="58"/>
  <c r="O741" i="58"/>
  <c r="O740" i="58"/>
  <c r="O739" i="58"/>
  <c r="O738" i="58"/>
  <c r="O737" i="58"/>
  <c r="O736" i="58"/>
  <c r="O735" i="58"/>
  <c r="O734" i="58"/>
  <c r="O733" i="58"/>
  <c r="O732" i="58"/>
  <c r="O731" i="58"/>
  <c r="O730" i="58"/>
  <c r="O729" i="58"/>
  <c r="O728" i="58"/>
  <c r="O727" i="58"/>
  <c r="O726" i="58"/>
  <c r="O725" i="58"/>
  <c r="O724" i="58"/>
  <c r="O723" i="58"/>
  <c r="O722" i="58"/>
  <c r="O721" i="58"/>
  <c r="O720" i="58"/>
  <c r="O719" i="58"/>
  <c r="O718" i="58"/>
  <c r="O717" i="58"/>
  <c r="O716" i="58"/>
  <c r="O715" i="58"/>
  <c r="O714" i="58"/>
  <c r="O713" i="58"/>
  <c r="O712" i="58"/>
  <c r="O711" i="58"/>
  <c r="O710" i="58"/>
  <c r="O709" i="58"/>
  <c r="O708" i="58"/>
  <c r="O707" i="58"/>
  <c r="O706" i="58"/>
  <c r="O705" i="58"/>
  <c r="O704" i="58"/>
  <c r="O703" i="58"/>
  <c r="O702" i="58"/>
  <c r="O701" i="58"/>
  <c r="O700" i="58"/>
  <c r="O699" i="58"/>
  <c r="O698" i="58"/>
  <c r="O697" i="58"/>
  <c r="O696" i="58"/>
  <c r="O695" i="58"/>
  <c r="O694" i="58"/>
  <c r="O693" i="58"/>
  <c r="O692" i="58"/>
  <c r="O691" i="58"/>
  <c r="O690" i="58"/>
  <c r="O689" i="58"/>
  <c r="O688" i="58"/>
  <c r="O687" i="58"/>
  <c r="O686" i="58"/>
  <c r="O685" i="58"/>
  <c r="O684" i="58"/>
  <c r="O683" i="58"/>
  <c r="O682" i="58"/>
  <c r="O681" i="58"/>
  <c r="O680" i="58"/>
  <c r="O679" i="58"/>
  <c r="O678" i="58"/>
  <c r="O677" i="58"/>
  <c r="O676" i="58"/>
  <c r="O675" i="58"/>
  <c r="O674" i="58"/>
  <c r="O673" i="58"/>
  <c r="O672" i="58"/>
  <c r="O671" i="58"/>
  <c r="O670" i="58"/>
  <c r="O669" i="58"/>
  <c r="O668" i="58"/>
  <c r="O667" i="58"/>
  <c r="O666" i="58"/>
  <c r="O665" i="58"/>
  <c r="O664" i="58"/>
  <c r="O663" i="58"/>
  <c r="O662" i="58"/>
  <c r="O661" i="58"/>
  <c r="O660" i="58"/>
  <c r="O659" i="58"/>
  <c r="O658" i="58"/>
  <c r="O657" i="58"/>
  <c r="O656" i="58"/>
  <c r="O655" i="58"/>
  <c r="O654" i="58"/>
  <c r="O653" i="58"/>
  <c r="O652" i="58"/>
  <c r="O651" i="58"/>
  <c r="O650" i="58"/>
  <c r="O649" i="58"/>
  <c r="O648" i="58"/>
  <c r="O647" i="58"/>
  <c r="O646" i="58"/>
  <c r="O645" i="58"/>
  <c r="O644" i="58"/>
  <c r="O643" i="58"/>
  <c r="O642" i="58"/>
  <c r="O641" i="58"/>
  <c r="O640" i="58"/>
  <c r="O639" i="58"/>
  <c r="O638" i="58"/>
  <c r="O637" i="58"/>
  <c r="O636" i="58"/>
  <c r="O635" i="58"/>
  <c r="O634" i="58"/>
  <c r="O633" i="58"/>
  <c r="O632" i="58"/>
  <c r="O631" i="58"/>
  <c r="O630" i="58"/>
  <c r="O629" i="58"/>
  <c r="O628" i="58"/>
  <c r="O627" i="58"/>
  <c r="O626" i="58"/>
  <c r="O625" i="58"/>
  <c r="O624" i="58"/>
  <c r="O623" i="58"/>
  <c r="O622" i="58"/>
  <c r="O621" i="58"/>
  <c r="O620" i="58"/>
  <c r="O619" i="58"/>
  <c r="O618" i="58"/>
  <c r="O617" i="58"/>
  <c r="O616" i="58"/>
  <c r="O615" i="58"/>
  <c r="O614" i="58"/>
  <c r="O613" i="58"/>
  <c r="O612" i="58"/>
  <c r="O611" i="58"/>
  <c r="O610" i="58"/>
  <c r="O609" i="58"/>
  <c r="O608" i="58"/>
  <c r="O607" i="58"/>
  <c r="O606" i="58"/>
  <c r="O605" i="58"/>
  <c r="O604" i="58"/>
  <c r="O603" i="58"/>
  <c r="O602" i="58"/>
  <c r="O601" i="58"/>
  <c r="O600" i="58"/>
  <c r="O599" i="58"/>
  <c r="O598" i="58"/>
  <c r="O597" i="58"/>
  <c r="O596" i="58"/>
  <c r="O595" i="58"/>
  <c r="O594" i="58"/>
  <c r="O593" i="58"/>
  <c r="O592" i="58"/>
  <c r="O591" i="58"/>
  <c r="O590" i="58"/>
  <c r="O589" i="58"/>
  <c r="O588" i="58"/>
  <c r="O587" i="58"/>
  <c r="O586" i="58"/>
  <c r="O585" i="58"/>
  <c r="O584" i="58"/>
  <c r="O583" i="58"/>
  <c r="O582" i="58"/>
  <c r="O581" i="58"/>
  <c r="O580" i="58"/>
  <c r="O579" i="58"/>
  <c r="O578" i="58"/>
  <c r="O577" i="58"/>
  <c r="O576" i="58"/>
  <c r="O575" i="58"/>
  <c r="O574" i="58"/>
  <c r="O573" i="58"/>
  <c r="O572" i="58"/>
  <c r="O571" i="58"/>
  <c r="O570" i="58"/>
  <c r="O569" i="58"/>
  <c r="O568" i="58"/>
  <c r="O567" i="58"/>
  <c r="O566" i="58"/>
  <c r="O565" i="58"/>
  <c r="O564" i="58"/>
  <c r="O563" i="58"/>
  <c r="O562" i="58"/>
  <c r="O561" i="58"/>
  <c r="O560" i="58"/>
  <c r="O559" i="58"/>
  <c r="O558" i="58"/>
  <c r="O557" i="58"/>
  <c r="O556" i="58"/>
  <c r="O555" i="58"/>
  <c r="O554" i="58"/>
  <c r="O553" i="58"/>
  <c r="O552" i="58"/>
  <c r="O551" i="58"/>
  <c r="O550" i="58"/>
  <c r="O549" i="58"/>
  <c r="O548" i="58"/>
  <c r="O547" i="58"/>
  <c r="O546" i="58"/>
  <c r="O545" i="58"/>
  <c r="O544" i="58"/>
  <c r="O543" i="58"/>
  <c r="O542" i="58"/>
  <c r="O541" i="58"/>
  <c r="O540" i="58"/>
  <c r="O539" i="58"/>
  <c r="O538" i="58"/>
  <c r="O537" i="58"/>
  <c r="O536" i="58"/>
  <c r="O535" i="58"/>
  <c r="O534" i="58"/>
  <c r="O533" i="58"/>
  <c r="O532" i="58"/>
  <c r="O531" i="58"/>
  <c r="O530" i="58"/>
  <c r="O529" i="58"/>
  <c r="O528" i="58"/>
  <c r="O527" i="58"/>
  <c r="O526" i="58"/>
  <c r="O525" i="58"/>
  <c r="O524" i="58"/>
  <c r="O523" i="58"/>
  <c r="O522" i="58"/>
  <c r="O521" i="58"/>
  <c r="O520" i="58"/>
  <c r="O519" i="58"/>
  <c r="O518" i="58"/>
  <c r="O517" i="58"/>
  <c r="O516" i="58"/>
  <c r="O515" i="58"/>
  <c r="O514" i="58"/>
  <c r="O513" i="58"/>
  <c r="O512" i="58"/>
  <c r="O511" i="58"/>
  <c r="O510" i="58"/>
  <c r="O509" i="58"/>
  <c r="O508" i="58"/>
  <c r="O507" i="58"/>
  <c r="O506" i="58"/>
  <c r="O505" i="58"/>
  <c r="O504" i="58"/>
  <c r="O503" i="58"/>
  <c r="O502" i="58"/>
  <c r="O501" i="58"/>
  <c r="O500" i="58"/>
  <c r="O499" i="58"/>
  <c r="O498" i="58"/>
  <c r="O497" i="58"/>
  <c r="O496" i="58"/>
  <c r="O495" i="58"/>
  <c r="O494" i="58"/>
  <c r="O493" i="58"/>
  <c r="O492" i="58"/>
  <c r="O491" i="58"/>
  <c r="O490" i="58"/>
  <c r="O489" i="58"/>
  <c r="O488" i="58"/>
  <c r="O487" i="58"/>
  <c r="O486" i="58"/>
  <c r="O485" i="58"/>
  <c r="O484" i="58"/>
  <c r="O483" i="58"/>
  <c r="O482" i="58"/>
  <c r="O481" i="58"/>
  <c r="O480" i="58"/>
  <c r="O479" i="58"/>
  <c r="O478" i="58"/>
  <c r="O477" i="58"/>
  <c r="O476" i="58"/>
  <c r="O475" i="58"/>
  <c r="O474" i="58"/>
  <c r="O473" i="58"/>
  <c r="O472" i="58"/>
  <c r="O471" i="58"/>
  <c r="O470" i="58"/>
  <c r="O469" i="58"/>
  <c r="O468" i="58"/>
  <c r="O467" i="58"/>
  <c r="O466" i="58"/>
  <c r="O465" i="58"/>
  <c r="O464" i="58"/>
  <c r="O463" i="58"/>
  <c r="O462" i="58"/>
  <c r="O461" i="58"/>
  <c r="O460" i="58"/>
  <c r="O459" i="58"/>
  <c r="O458" i="58"/>
  <c r="O457" i="58"/>
  <c r="O456" i="58"/>
  <c r="O455" i="58"/>
  <c r="O454" i="58"/>
  <c r="O453" i="58"/>
  <c r="O452" i="58"/>
  <c r="O451" i="58"/>
  <c r="O450" i="58"/>
  <c r="O449" i="58"/>
  <c r="O448" i="58"/>
  <c r="O447" i="58"/>
  <c r="O446" i="58"/>
  <c r="O445" i="58"/>
  <c r="O444" i="58"/>
  <c r="O443" i="58"/>
  <c r="O442" i="58"/>
  <c r="O441" i="58"/>
  <c r="O440" i="58"/>
  <c r="O439" i="58"/>
  <c r="O438" i="58"/>
  <c r="O437" i="58"/>
  <c r="O436" i="58"/>
  <c r="O435" i="58"/>
  <c r="O434" i="58"/>
  <c r="O433" i="58"/>
  <c r="O432" i="58"/>
  <c r="O431" i="58"/>
  <c r="O430" i="58"/>
  <c r="O429" i="58"/>
  <c r="O428" i="58"/>
  <c r="O427" i="58"/>
  <c r="O426" i="58"/>
  <c r="O425" i="58"/>
  <c r="O424" i="58"/>
  <c r="O423" i="58"/>
  <c r="O422" i="58"/>
  <c r="O421" i="58"/>
  <c r="O420" i="58"/>
  <c r="O419" i="58"/>
  <c r="O418" i="58"/>
  <c r="O417" i="58"/>
  <c r="O416" i="58"/>
  <c r="O415" i="58"/>
  <c r="O414" i="58"/>
  <c r="O413" i="58"/>
  <c r="O412" i="58"/>
  <c r="O411" i="58"/>
  <c r="O410" i="58"/>
  <c r="O409" i="58"/>
  <c r="O408" i="58"/>
  <c r="O407" i="58"/>
  <c r="O406" i="58"/>
  <c r="O405" i="58"/>
  <c r="O404" i="58"/>
  <c r="O403" i="58"/>
  <c r="O402" i="58"/>
  <c r="O401" i="58"/>
  <c r="O400" i="58"/>
  <c r="O399" i="58"/>
  <c r="O398" i="58"/>
  <c r="O397" i="58"/>
  <c r="O396" i="58"/>
  <c r="O395" i="58"/>
  <c r="O394" i="58"/>
  <c r="O393" i="58"/>
  <c r="O392" i="58"/>
  <c r="O391" i="58"/>
  <c r="O390" i="58"/>
  <c r="O389" i="58"/>
  <c r="O388" i="58"/>
  <c r="O387" i="58"/>
  <c r="O386" i="58"/>
  <c r="O385" i="58"/>
  <c r="O384" i="58"/>
  <c r="O383" i="58"/>
  <c r="O382" i="58"/>
  <c r="O381" i="58"/>
  <c r="O380" i="58"/>
  <c r="O379" i="58"/>
  <c r="O378" i="58"/>
  <c r="O377" i="58"/>
  <c r="O376" i="58"/>
  <c r="O375" i="58"/>
  <c r="O374" i="58"/>
  <c r="O373" i="58"/>
  <c r="O372" i="58"/>
  <c r="O371" i="58"/>
  <c r="O370" i="58"/>
  <c r="O369" i="58"/>
  <c r="O368" i="58"/>
  <c r="O367" i="58"/>
  <c r="O366" i="58"/>
  <c r="O365" i="58"/>
  <c r="O364" i="58"/>
  <c r="O363" i="58"/>
  <c r="O362" i="58"/>
  <c r="O361" i="58"/>
  <c r="O360" i="58"/>
  <c r="O359" i="58"/>
  <c r="O358" i="58"/>
  <c r="O357" i="58"/>
  <c r="O356" i="58"/>
  <c r="O355" i="58"/>
  <c r="O354" i="58"/>
  <c r="O353" i="58"/>
  <c r="O352" i="58"/>
  <c r="O351" i="58"/>
  <c r="O350" i="58"/>
  <c r="O349" i="58"/>
  <c r="O348" i="58"/>
  <c r="O347" i="58"/>
  <c r="O346" i="58"/>
  <c r="O345" i="58"/>
  <c r="O344" i="58"/>
  <c r="O343" i="58"/>
  <c r="O342" i="58"/>
  <c r="O341" i="58"/>
  <c r="O340" i="58"/>
  <c r="O339" i="58"/>
  <c r="O338" i="58"/>
  <c r="O337" i="58"/>
  <c r="O336" i="58"/>
  <c r="O335" i="58"/>
  <c r="O334" i="58"/>
  <c r="O333" i="58"/>
  <c r="O332" i="58"/>
  <c r="O331" i="58"/>
  <c r="O330" i="58"/>
  <c r="O329" i="58"/>
  <c r="O328" i="58"/>
  <c r="O327" i="58"/>
  <c r="O326" i="58"/>
  <c r="O325" i="58"/>
  <c r="O324" i="58"/>
  <c r="O323" i="58"/>
  <c r="O322" i="58"/>
  <c r="O321" i="58"/>
  <c r="O320" i="58"/>
  <c r="O319" i="58"/>
  <c r="O318" i="58"/>
  <c r="O317" i="58"/>
  <c r="O316" i="58"/>
  <c r="O315" i="58"/>
  <c r="O314" i="58"/>
  <c r="O313" i="58"/>
  <c r="O312" i="58"/>
  <c r="O311" i="58"/>
  <c r="O310" i="58"/>
  <c r="O309" i="58"/>
  <c r="O308" i="58"/>
  <c r="O307" i="58"/>
  <c r="O306" i="58"/>
  <c r="O305" i="58"/>
  <c r="O304" i="58"/>
  <c r="O303" i="58"/>
  <c r="O302" i="58"/>
  <c r="O301" i="58"/>
  <c r="O300" i="58"/>
  <c r="O299" i="58"/>
  <c r="O298" i="58"/>
  <c r="O297" i="58"/>
  <c r="O296" i="58"/>
  <c r="O295" i="58"/>
  <c r="O294" i="58"/>
  <c r="O293" i="58"/>
  <c r="O292" i="58"/>
  <c r="O291" i="58"/>
  <c r="O290" i="58"/>
  <c r="O289" i="58"/>
  <c r="O288" i="58"/>
  <c r="O287" i="58"/>
  <c r="O286" i="58"/>
  <c r="O285" i="58"/>
  <c r="O284" i="58"/>
  <c r="O283" i="58"/>
  <c r="O282" i="58"/>
  <c r="O281" i="58"/>
  <c r="O280" i="58"/>
  <c r="O279" i="58"/>
  <c r="O278" i="58"/>
  <c r="O277" i="58"/>
  <c r="O276" i="58"/>
  <c r="O275" i="58"/>
  <c r="O274" i="58"/>
  <c r="O273" i="58"/>
  <c r="O272" i="58"/>
  <c r="O271" i="58"/>
  <c r="O270" i="58"/>
  <c r="O269" i="58"/>
  <c r="O268" i="58"/>
  <c r="O267" i="58"/>
  <c r="O266" i="58"/>
  <c r="O265" i="58"/>
  <c r="O264" i="58"/>
  <c r="O263" i="58"/>
  <c r="O262" i="58"/>
  <c r="O261" i="58"/>
  <c r="O260" i="58"/>
  <c r="O259" i="58"/>
  <c r="O258" i="58"/>
  <c r="O257" i="58"/>
  <c r="O256" i="58"/>
  <c r="O255" i="58"/>
  <c r="O254" i="58"/>
  <c r="O253" i="58"/>
  <c r="O252" i="58"/>
  <c r="O251" i="58"/>
  <c r="O250" i="58"/>
  <c r="O249" i="58"/>
  <c r="O248" i="58"/>
  <c r="O247" i="58"/>
  <c r="O246" i="58"/>
  <c r="O245" i="58"/>
  <c r="O244" i="58"/>
  <c r="O243" i="58"/>
  <c r="O242" i="58"/>
  <c r="O241" i="58"/>
  <c r="O240" i="58"/>
  <c r="O239" i="58"/>
  <c r="O238" i="58"/>
  <c r="O237" i="58"/>
  <c r="O236" i="58"/>
  <c r="O235" i="58"/>
  <c r="O234" i="58"/>
  <c r="O233" i="58"/>
  <c r="O232" i="58"/>
  <c r="O231" i="58"/>
  <c r="O230" i="58"/>
  <c r="O229" i="58"/>
  <c r="O228" i="58"/>
  <c r="O227" i="58"/>
  <c r="O226" i="58"/>
  <c r="O225" i="58"/>
  <c r="O224" i="58"/>
  <c r="O223" i="58"/>
  <c r="O222" i="58"/>
  <c r="O221" i="58"/>
  <c r="O220" i="58"/>
  <c r="O219" i="58"/>
  <c r="O218" i="58"/>
  <c r="O217" i="58"/>
  <c r="O216" i="58"/>
  <c r="O215" i="58"/>
  <c r="O214" i="58"/>
  <c r="O213" i="58"/>
  <c r="O212" i="58"/>
  <c r="O211" i="58"/>
  <c r="O210" i="58"/>
  <c r="O209" i="58"/>
  <c r="O208" i="58"/>
  <c r="O207" i="58"/>
  <c r="O206" i="58"/>
  <c r="O205" i="58"/>
  <c r="O204" i="58"/>
  <c r="O203" i="58"/>
  <c r="O202" i="58"/>
  <c r="O201" i="58"/>
  <c r="O200" i="58"/>
  <c r="O199" i="58"/>
  <c r="O198" i="58"/>
  <c r="O197" i="58"/>
  <c r="O196" i="58"/>
  <c r="O195" i="58"/>
  <c r="O194" i="58"/>
  <c r="O193" i="58"/>
  <c r="O192" i="58"/>
  <c r="O191" i="58"/>
  <c r="O190" i="58"/>
  <c r="O189" i="58"/>
  <c r="O188" i="58"/>
  <c r="O187" i="58"/>
  <c r="O186" i="58"/>
  <c r="O185" i="58"/>
  <c r="O184" i="58"/>
  <c r="O183" i="58"/>
  <c r="O182" i="58"/>
  <c r="O181" i="58"/>
  <c r="O180" i="58"/>
  <c r="O179" i="58"/>
  <c r="O178" i="58"/>
  <c r="O177" i="58"/>
  <c r="O176" i="58"/>
  <c r="O175" i="58"/>
  <c r="O174" i="58"/>
  <c r="O173" i="58"/>
  <c r="O172" i="58"/>
  <c r="O171" i="58"/>
  <c r="O170" i="58"/>
  <c r="O169" i="58"/>
  <c r="O168" i="58"/>
  <c r="O167" i="58"/>
  <c r="O166" i="58"/>
  <c r="O165" i="58"/>
  <c r="O164" i="58"/>
  <c r="O163" i="58"/>
  <c r="O162" i="58"/>
  <c r="O161" i="58"/>
  <c r="O160" i="58"/>
  <c r="O159" i="58"/>
  <c r="O158" i="58"/>
  <c r="O157" i="58"/>
  <c r="O156" i="58"/>
  <c r="O155" i="58"/>
  <c r="O154" i="58"/>
  <c r="O153" i="58"/>
  <c r="O152" i="58"/>
  <c r="O151" i="58"/>
  <c r="O150" i="58"/>
  <c r="O149" i="58"/>
  <c r="O148" i="58"/>
  <c r="O147" i="58"/>
  <c r="O146" i="58"/>
  <c r="O145" i="58"/>
  <c r="O144" i="58"/>
  <c r="O143" i="58"/>
  <c r="O142" i="58"/>
  <c r="O141" i="58"/>
  <c r="O140" i="58"/>
  <c r="O139" i="58"/>
  <c r="O138" i="58"/>
  <c r="O137" i="58"/>
  <c r="O136" i="58"/>
  <c r="O135" i="58"/>
  <c r="O134" i="58"/>
  <c r="O133" i="58"/>
  <c r="O132" i="58"/>
  <c r="O131" i="58"/>
  <c r="O130" i="58"/>
  <c r="O129" i="58"/>
  <c r="O128" i="58"/>
  <c r="O127" i="58"/>
  <c r="O126" i="58"/>
  <c r="O125" i="58"/>
  <c r="O124" i="58"/>
  <c r="O123" i="58"/>
  <c r="O122" i="58"/>
  <c r="O121" i="58"/>
  <c r="O120" i="58"/>
  <c r="O119" i="58"/>
  <c r="O118" i="58"/>
  <c r="O117" i="58"/>
  <c r="O116" i="58"/>
  <c r="O115" i="58"/>
  <c r="O114" i="58"/>
  <c r="O113" i="58"/>
  <c r="O112" i="58"/>
  <c r="O111" i="58"/>
  <c r="O110" i="58"/>
  <c r="O109" i="58"/>
  <c r="O108" i="58"/>
  <c r="O107" i="58"/>
  <c r="O106" i="58"/>
  <c r="O105" i="58"/>
  <c r="O104" i="58"/>
  <c r="O103" i="58"/>
  <c r="O102" i="58"/>
  <c r="O101" i="58"/>
  <c r="O100" i="58"/>
  <c r="O99" i="58"/>
  <c r="O98" i="58"/>
  <c r="O97" i="58"/>
  <c r="O96" i="58"/>
  <c r="O95" i="58"/>
  <c r="O94" i="58"/>
  <c r="O93" i="58"/>
  <c r="O92" i="58"/>
  <c r="O91" i="58"/>
  <c r="O90" i="58"/>
  <c r="O89" i="58"/>
  <c r="O88" i="58"/>
  <c r="O87" i="58"/>
  <c r="O86" i="58"/>
  <c r="O85" i="58"/>
  <c r="O84" i="58"/>
  <c r="O83" i="58"/>
  <c r="O82" i="58"/>
  <c r="O81" i="58"/>
  <c r="O80" i="58"/>
  <c r="O79" i="58"/>
  <c r="O78" i="58"/>
  <c r="O77" i="58"/>
  <c r="O76" i="58"/>
  <c r="O75" i="58"/>
  <c r="O74" i="58"/>
  <c r="O73" i="58"/>
  <c r="O72" i="58"/>
  <c r="O71" i="58"/>
  <c r="O70" i="58"/>
  <c r="O69" i="58"/>
  <c r="O68" i="58"/>
  <c r="O67" i="58"/>
  <c r="O66" i="58"/>
  <c r="O65" i="58"/>
  <c r="O64" i="58"/>
  <c r="O63" i="58"/>
  <c r="O62" i="58"/>
  <c r="O61" i="58"/>
  <c r="O60" i="58"/>
  <c r="O59" i="58"/>
  <c r="O58" i="58"/>
  <c r="O57" i="58"/>
  <c r="O56" i="58"/>
  <c r="O55" i="58"/>
  <c r="O54" i="58"/>
  <c r="O53" i="58"/>
  <c r="O52" i="58"/>
  <c r="O51" i="58"/>
  <c r="O50" i="58"/>
  <c r="O49" i="58"/>
  <c r="O48" i="58"/>
  <c r="O47" i="58"/>
  <c r="O46" i="58"/>
  <c r="O45" i="58"/>
  <c r="O44" i="58"/>
  <c r="O43" i="58"/>
  <c r="O42" i="58"/>
  <c r="O41" i="58"/>
  <c r="O40" i="58"/>
  <c r="O39" i="58"/>
  <c r="O38" i="58"/>
  <c r="O37" i="58"/>
  <c r="O36" i="58"/>
  <c r="O35" i="58"/>
  <c r="O34" i="58"/>
  <c r="O33" i="58"/>
  <c r="O32" i="58"/>
  <c r="O31" i="58"/>
  <c r="O30" i="58"/>
  <c r="O29" i="58"/>
  <c r="O28" i="58"/>
  <c r="O27" i="58"/>
  <c r="O26" i="58"/>
  <c r="O25" i="58"/>
  <c r="O24" i="58"/>
  <c r="O23" i="58"/>
  <c r="O22" i="58"/>
  <c r="O21" i="58"/>
  <c r="O20" i="58"/>
  <c r="O19" i="58"/>
  <c r="O18" i="58"/>
  <c r="O17" i="58"/>
  <c r="O16" i="58"/>
  <c r="O15" i="58"/>
  <c r="O14" i="58"/>
  <c r="O13" i="58"/>
  <c r="O12" i="58"/>
  <c r="O11" i="58"/>
  <c r="O10" i="58"/>
  <c r="O9" i="58"/>
  <c r="O8" i="58"/>
  <c r="P974" i="58"/>
  <c r="P973" i="58"/>
  <c r="P972" i="58"/>
  <c r="P971" i="58"/>
  <c r="P970" i="58"/>
  <c r="P969" i="58"/>
  <c r="P968" i="58"/>
  <c r="P967" i="58"/>
  <c r="P966" i="58"/>
  <c r="P965" i="58"/>
  <c r="P964" i="58"/>
  <c r="P963" i="58"/>
  <c r="P962" i="58"/>
  <c r="P961" i="58"/>
  <c r="P960" i="58"/>
  <c r="P959" i="58"/>
  <c r="P958" i="58"/>
  <c r="P957" i="58"/>
  <c r="P956" i="58"/>
  <c r="P955" i="58"/>
  <c r="P954" i="58"/>
  <c r="P953" i="58"/>
  <c r="P952" i="58"/>
  <c r="P951" i="58"/>
  <c r="P950" i="58"/>
  <c r="P949" i="58"/>
  <c r="P948" i="58"/>
  <c r="P947" i="58"/>
  <c r="P946" i="58"/>
  <c r="P945" i="58"/>
  <c r="P944" i="58"/>
  <c r="P943" i="58"/>
  <c r="P942" i="58"/>
  <c r="P941" i="58"/>
  <c r="P940" i="58"/>
  <c r="P939" i="58"/>
  <c r="P938" i="58"/>
  <c r="P937" i="58"/>
  <c r="P936" i="58"/>
  <c r="P935" i="58"/>
  <c r="P934" i="58"/>
  <c r="P933" i="58"/>
  <c r="P932" i="58"/>
  <c r="P931" i="58"/>
  <c r="P930" i="58"/>
  <c r="P929" i="58"/>
  <c r="P928" i="58"/>
  <c r="P927" i="58"/>
  <c r="P926" i="58"/>
  <c r="P925" i="58"/>
  <c r="P924" i="58"/>
  <c r="P923" i="58"/>
  <c r="P922" i="58"/>
  <c r="P921" i="58"/>
  <c r="P920" i="58"/>
  <c r="P919" i="58"/>
  <c r="P918" i="58"/>
  <c r="P917" i="58"/>
  <c r="P916" i="58"/>
  <c r="P915" i="58"/>
  <c r="P914" i="58"/>
  <c r="P913" i="58"/>
  <c r="P912" i="58"/>
  <c r="P911" i="58"/>
  <c r="P910" i="58"/>
  <c r="P909" i="58"/>
  <c r="P908" i="58"/>
  <c r="P907" i="58"/>
  <c r="P906" i="58"/>
  <c r="P905" i="58"/>
  <c r="P904" i="58"/>
  <c r="P903" i="58"/>
  <c r="P902" i="58"/>
  <c r="P901" i="58"/>
  <c r="P900" i="58"/>
  <c r="P899" i="58"/>
  <c r="P898" i="58"/>
  <c r="P897" i="58"/>
  <c r="P896" i="58"/>
  <c r="P895" i="58"/>
  <c r="P894" i="58"/>
  <c r="P893" i="58"/>
  <c r="P892" i="58"/>
  <c r="P891" i="58"/>
  <c r="P890" i="58"/>
  <c r="P889" i="58"/>
  <c r="P888" i="58"/>
  <c r="P887" i="58"/>
  <c r="P886" i="58"/>
  <c r="P885" i="58"/>
  <c r="P884" i="58"/>
  <c r="P883" i="58"/>
  <c r="P882" i="58"/>
  <c r="P881" i="58"/>
  <c r="P880" i="58"/>
  <c r="P879" i="58"/>
  <c r="P878" i="58"/>
  <c r="P877" i="58"/>
  <c r="P876" i="58"/>
  <c r="P875" i="58"/>
  <c r="P874" i="58"/>
  <c r="P873" i="58"/>
  <c r="P872" i="58"/>
  <c r="P871" i="58"/>
  <c r="P870" i="58"/>
  <c r="P869" i="58"/>
  <c r="P868" i="58"/>
  <c r="P867" i="58"/>
  <c r="P866" i="58"/>
  <c r="P865" i="58"/>
  <c r="P864" i="58"/>
  <c r="P863" i="58"/>
  <c r="P862" i="58"/>
  <c r="P861" i="58"/>
  <c r="P860" i="58"/>
  <c r="P859" i="58"/>
  <c r="P858" i="58"/>
  <c r="P857" i="58"/>
  <c r="P856" i="58"/>
  <c r="P855" i="58"/>
  <c r="P854" i="58"/>
  <c r="P853" i="58"/>
  <c r="P852" i="58"/>
  <c r="P851" i="58"/>
  <c r="P850" i="58"/>
  <c r="P849" i="58"/>
  <c r="P848" i="58"/>
  <c r="P847" i="58"/>
  <c r="P846" i="58"/>
  <c r="P845" i="58"/>
  <c r="P844" i="58"/>
  <c r="P843" i="58"/>
  <c r="P842" i="58"/>
  <c r="P841" i="58"/>
  <c r="P840" i="58"/>
  <c r="P839" i="58"/>
  <c r="P838" i="58"/>
  <c r="P837" i="58"/>
  <c r="P836" i="58"/>
  <c r="P835" i="58"/>
  <c r="P834" i="58"/>
  <c r="P833" i="58"/>
  <c r="P832" i="58"/>
  <c r="P831" i="58"/>
  <c r="P830" i="58"/>
  <c r="P829" i="58"/>
  <c r="P828" i="58"/>
  <c r="P827" i="58"/>
  <c r="P826" i="58"/>
  <c r="P825" i="58"/>
  <c r="P824" i="58"/>
  <c r="P823" i="58"/>
  <c r="P822" i="58"/>
  <c r="P821" i="58"/>
  <c r="P820" i="58"/>
  <c r="P819" i="58"/>
  <c r="P818" i="58"/>
  <c r="P817" i="58"/>
  <c r="P816" i="58"/>
  <c r="P815" i="58"/>
  <c r="P814" i="58"/>
  <c r="P813" i="58"/>
  <c r="P812" i="58"/>
  <c r="P811" i="58"/>
  <c r="P810" i="58"/>
  <c r="P809" i="58"/>
  <c r="P808" i="58"/>
  <c r="P807" i="58"/>
  <c r="P806" i="58"/>
  <c r="P805" i="58"/>
  <c r="P804" i="58"/>
  <c r="P803" i="58"/>
  <c r="P802" i="58"/>
  <c r="P801" i="58"/>
  <c r="P800" i="58"/>
  <c r="P799" i="58"/>
  <c r="P798" i="58"/>
  <c r="P797" i="58"/>
  <c r="P796" i="58"/>
  <c r="P795" i="58"/>
  <c r="P794" i="58"/>
  <c r="P793" i="58"/>
  <c r="P792" i="58"/>
  <c r="P791" i="58"/>
  <c r="P790" i="58"/>
  <c r="P789" i="58"/>
  <c r="P788" i="58"/>
  <c r="P787" i="58"/>
  <c r="P786" i="58"/>
  <c r="P785" i="58"/>
  <c r="P784" i="58"/>
  <c r="P783" i="58"/>
  <c r="P782" i="58"/>
  <c r="P781" i="58"/>
  <c r="P780" i="58"/>
  <c r="P779" i="58"/>
  <c r="P778" i="58"/>
  <c r="P777" i="58"/>
  <c r="P776" i="58"/>
  <c r="P775" i="58"/>
  <c r="P774" i="58"/>
  <c r="P773" i="58"/>
  <c r="P772" i="58"/>
  <c r="P771" i="58"/>
  <c r="P770" i="58"/>
  <c r="P769" i="58"/>
  <c r="P768" i="58"/>
  <c r="P767" i="58"/>
  <c r="P766" i="58"/>
  <c r="P765" i="58"/>
  <c r="P764" i="58"/>
  <c r="P763" i="58"/>
  <c r="P762" i="58"/>
  <c r="P761" i="58"/>
  <c r="P760" i="58"/>
  <c r="P759" i="58"/>
  <c r="P758" i="58"/>
  <c r="P757" i="58"/>
  <c r="P756" i="58"/>
  <c r="P755" i="58"/>
  <c r="P754" i="58"/>
  <c r="P753" i="58"/>
  <c r="P752" i="58"/>
  <c r="P751" i="58"/>
  <c r="P750" i="58"/>
  <c r="P749" i="58"/>
  <c r="P748" i="58"/>
  <c r="P747" i="58"/>
  <c r="P746" i="58"/>
  <c r="P745" i="58"/>
  <c r="P744" i="58"/>
  <c r="P743" i="58"/>
  <c r="P742" i="58"/>
  <c r="P741" i="58"/>
  <c r="P740" i="58"/>
  <c r="P739" i="58"/>
  <c r="P738" i="58"/>
  <c r="P737" i="58"/>
  <c r="P736" i="58"/>
  <c r="P735" i="58"/>
  <c r="P734" i="58"/>
  <c r="P733" i="58"/>
  <c r="P732" i="58"/>
  <c r="P731" i="58"/>
  <c r="P730" i="58"/>
  <c r="P729" i="58"/>
  <c r="P728" i="58"/>
  <c r="P727" i="58"/>
  <c r="P726" i="58"/>
  <c r="P725" i="58"/>
  <c r="P724" i="58"/>
  <c r="P723" i="58"/>
  <c r="P722" i="58"/>
  <c r="P721" i="58"/>
  <c r="P720" i="58"/>
  <c r="P719" i="58"/>
  <c r="P718" i="58"/>
  <c r="P717" i="58"/>
  <c r="P716" i="58"/>
  <c r="P715" i="58"/>
  <c r="P714" i="58"/>
  <c r="P713" i="58"/>
  <c r="P712" i="58"/>
  <c r="P711" i="58"/>
  <c r="P710" i="58"/>
  <c r="P709" i="58"/>
  <c r="P708" i="58"/>
  <c r="P707" i="58"/>
  <c r="P706" i="58"/>
  <c r="P705" i="58"/>
  <c r="P704" i="58"/>
  <c r="P703" i="58"/>
  <c r="P702" i="58"/>
  <c r="P701" i="58"/>
  <c r="P700" i="58"/>
  <c r="P699" i="58"/>
  <c r="P698" i="58"/>
  <c r="P697" i="58"/>
  <c r="P696" i="58"/>
  <c r="P695" i="58"/>
  <c r="P694" i="58"/>
  <c r="P693" i="58"/>
  <c r="P692" i="58"/>
  <c r="P691" i="58"/>
  <c r="P690" i="58"/>
  <c r="P689" i="58"/>
  <c r="P688" i="58"/>
  <c r="P687" i="58"/>
  <c r="P686" i="58"/>
  <c r="P685" i="58"/>
  <c r="P684" i="58"/>
  <c r="P683" i="58"/>
  <c r="P682" i="58"/>
  <c r="P681" i="58"/>
  <c r="P680" i="58"/>
  <c r="P679" i="58"/>
  <c r="P678" i="58"/>
  <c r="P677" i="58"/>
  <c r="P676" i="58"/>
  <c r="P675" i="58"/>
  <c r="P674" i="58"/>
  <c r="P673" i="58"/>
  <c r="P672" i="58"/>
  <c r="P671" i="58"/>
  <c r="P670" i="58"/>
  <c r="P669" i="58"/>
  <c r="P668" i="58"/>
  <c r="P667" i="58"/>
  <c r="P666" i="58"/>
  <c r="P665" i="58"/>
  <c r="P664" i="58"/>
  <c r="P663" i="58"/>
  <c r="P662" i="58"/>
  <c r="P661" i="58"/>
  <c r="P660" i="58"/>
  <c r="P659" i="58"/>
  <c r="P658" i="58"/>
  <c r="P657" i="58"/>
  <c r="P656" i="58"/>
  <c r="P655" i="58"/>
  <c r="P654" i="58"/>
  <c r="P653" i="58"/>
  <c r="P652" i="58"/>
  <c r="P651" i="58"/>
  <c r="P650" i="58"/>
  <c r="P649" i="58"/>
  <c r="P648" i="58"/>
  <c r="P647" i="58"/>
  <c r="P646" i="58"/>
  <c r="P645" i="58"/>
  <c r="P644" i="58"/>
  <c r="P643" i="58"/>
  <c r="P642" i="58"/>
  <c r="P641" i="58"/>
  <c r="P640" i="58"/>
  <c r="P639" i="58"/>
  <c r="P638" i="58"/>
  <c r="P637" i="58"/>
  <c r="P636" i="58"/>
  <c r="P635" i="58"/>
  <c r="P634" i="58"/>
  <c r="P633" i="58"/>
  <c r="P632" i="58"/>
  <c r="P631" i="58"/>
  <c r="P630" i="58"/>
  <c r="P629" i="58"/>
  <c r="P628" i="58"/>
  <c r="P627" i="58"/>
  <c r="P626" i="58"/>
  <c r="P625" i="58"/>
  <c r="P624" i="58"/>
  <c r="P623" i="58"/>
  <c r="P622" i="58"/>
  <c r="P621" i="58"/>
  <c r="P620" i="58"/>
  <c r="P619" i="58"/>
  <c r="P618" i="58"/>
  <c r="P617" i="58"/>
  <c r="P616" i="58"/>
  <c r="P615" i="58"/>
  <c r="P614" i="58"/>
  <c r="P613" i="58"/>
  <c r="P612" i="58"/>
  <c r="P611" i="58"/>
  <c r="P610" i="58"/>
  <c r="P609" i="58"/>
  <c r="P608" i="58"/>
  <c r="P607" i="58"/>
  <c r="P606" i="58"/>
  <c r="P605" i="58"/>
  <c r="P604" i="58"/>
  <c r="P603" i="58"/>
  <c r="P602" i="58"/>
  <c r="P601" i="58"/>
  <c r="P600" i="58"/>
  <c r="P599" i="58"/>
  <c r="P598" i="58"/>
  <c r="P597" i="58"/>
  <c r="P596" i="58"/>
  <c r="P595" i="58"/>
  <c r="P594" i="58"/>
  <c r="P593" i="58"/>
  <c r="P592" i="58"/>
  <c r="P591" i="58"/>
  <c r="P590" i="58"/>
  <c r="P589" i="58"/>
  <c r="P588" i="58"/>
  <c r="P587" i="58"/>
  <c r="P586" i="58"/>
  <c r="P585" i="58"/>
  <c r="P584" i="58"/>
  <c r="P583" i="58"/>
  <c r="P582" i="58"/>
  <c r="P581" i="58"/>
  <c r="P580" i="58"/>
  <c r="P579" i="58"/>
  <c r="P578" i="58"/>
  <c r="P577" i="58"/>
  <c r="P576" i="58"/>
  <c r="P575" i="58"/>
  <c r="P574" i="58"/>
  <c r="P573" i="58"/>
  <c r="P572" i="58"/>
  <c r="P571" i="58"/>
  <c r="P570" i="58"/>
  <c r="P569" i="58"/>
  <c r="P568" i="58"/>
  <c r="P567" i="58"/>
  <c r="P566" i="58"/>
  <c r="P565" i="58"/>
  <c r="P564" i="58"/>
  <c r="P563" i="58"/>
  <c r="P562" i="58"/>
  <c r="P561" i="58"/>
  <c r="P560" i="58"/>
  <c r="P559" i="58"/>
  <c r="P558" i="58"/>
  <c r="P557" i="58"/>
  <c r="P556" i="58"/>
  <c r="P555" i="58"/>
  <c r="P554" i="58"/>
  <c r="P553" i="58"/>
  <c r="P552" i="58"/>
  <c r="P551" i="58"/>
  <c r="P550" i="58"/>
  <c r="P549" i="58"/>
  <c r="P548" i="58"/>
  <c r="P547" i="58"/>
  <c r="P546" i="58"/>
  <c r="P545" i="58"/>
  <c r="P544" i="58"/>
  <c r="P543" i="58"/>
  <c r="P542" i="58"/>
  <c r="P541" i="58"/>
  <c r="P540" i="58"/>
  <c r="P539" i="58"/>
  <c r="P538" i="58"/>
  <c r="P537" i="58"/>
  <c r="P536" i="58"/>
  <c r="P535" i="58"/>
  <c r="P534" i="58"/>
  <c r="P533" i="58"/>
  <c r="P532" i="58"/>
  <c r="P531" i="58"/>
  <c r="P530" i="58"/>
  <c r="P529" i="58"/>
  <c r="P528" i="58"/>
  <c r="P527" i="58"/>
  <c r="P526" i="58"/>
  <c r="P525" i="58"/>
  <c r="P524" i="58"/>
  <c r="P523" i="58"/>
  <c r="P522" i="58"/>
  <c r="P521" i="58"/>
  <c r="P520" i="58"/>
  <c r="P519" i="58"/>
  <c r="P518" i="58"/>
  <c r="P517" i="58"/>
  <c r="P516" i="58"/>
  <c r="P515" i="58"/>
  <c r="P514" i="58"/>
  <c r="P513" i="58"/>
  <c r="P512" i="58"/>
  <c r="P511" i="58"/>
  <c r="P510" i="58"/>
  <c r="P509" i="58"/>
  <c r="P508" i="58"/>
  <c r="P506" i="58"/>
  <c r="P505" i="58"/>
  <c r="P504" i="58"/>
  <c r="P503" i="58"/>
  <c r="P502" i="58"/>
  <c r="P501" i="58"/>
  <c r="P500" i="58"/>
  <c r="P499" i="58"/>
  <c r="P498" i="58"/>
  <c r="P497" i="58"/>
  <c r="P496" i="58"/>
  <c r="P495" i="58"/>
  <c r="P494" i="58"/>
  <c r="P493" i="58"/>
  <c r="P492" i="58"/>
  <c r="P491" i="58"/>
  <c r="P490" i="58"/>
  <c r="P489" i="58"/>
  <c r="P488" i="58"/>
  <c r="P487" i="58"/>
  <c r="P486" i="58"/>
  <c r="P485" i="58"/>
  <c r="P484" i="58"/>
  <c r="P483" i="58"/>
  <c r="P482" i="58"/>
  <c r="P481" i="58"/>
  <c r="P480" i="58"/>
  <c r="P479" i="58"/>
  <c r="P478" i="58"/>
  <c r="P477" i="58"/>
  <c r="P476" i="58"/>
  <c r="P475" i="58"/>
  <c r="P474" i="58"/>
  <c r="P473" i="58"/>
  <c r="P472" i="58"/>
  <c r="P471" i="58"/>
  <c r="P470" i="58"/>
  <c r="P469" i="58"/>
  <c r="P468" i="58"/>
  <c r="P467" i="58"/>
  <c r="P466" i="58"/>
  <c r="P465" i="58"/>
  <c r="P464" i="58"/>
  <c r="P463" i="58"/>
  <c r="P462" i="58"/>
  <c r="P461" i="58"/>
  <c r="P460" i="58"/>
  <c r="P459" i="58"/>
  <c r="P458" i="58"/>
  <c r="P457" i="58"/>
  <c r="P456" i="58"/>
  <c r="P455" i="58"/>
  <c r="P454" i="58"/>
  <c r="P453" i="58"/>
  <c r="P452" i="58"/>
  <c r="P451" i="58"/>
  <c r="P450" i="58"/>
  <c r="P449" i="58"/>
  <c r="P448" i="58"/>
  <c r="P447" i="58"/>
  <c r="P446" i="58"/>
  <c r="P445" i="58"/>
  <c r="P444" i="58"/>
  <c r="P443" i="58"/>
  <c r="P442" i="58"/>
  <c r="P441" i="58"/>
  <c r="P440" i="58"/>
  <c r="P439" i="58"/>
  <c r="P438" i="58"/>
  <c r="P437" i="58"/>
  <c r="P436" i="58"/>
  <c r="P435" i="58"/>
  <c r="P434" i="58"/>
  <c r="P433" i="58"/>
  <c r="P432" i="58"/>
  <c r="P431" i="58"/>
  <c r="P430" i="58"/>
  <c r="P429" i="58"/>
  <c r="P428" i="58"/>
  <c r="P427" i="58"/>
  <c r="P426" i="58"/>
  <c r="P425" i="58"/>
  <c r="P424" i="58"/>
  <c r="P423" i="58"/>
  <c r="P422" i="58"/>
  <c r="P421" i="58"/>
  <c r="P420" i="58"/>
  <c r="P419" i="58"/>
  <c r="P418" i="58"/>
  <c r="P417" i="58"/>
  <c r="P416" i="58"/>
  <c r="P415" i="58"/>
  <c r="P414" i="58"/>
  <c r="P413" i="58"/>
  <c r="P412" i="58"/>
  <c r="P411" i="58"/>
  <c r="P410" i="58"/>
  <c r="P409" i="58"/>
  <c r="P408" i="58"/>
  <c r="P407" i="58"/>
  <c r="P406" i="58"/>
  <c r="P405" i="58"/>
  <c r="P404" i="58"/>
  <c r="P403" i="58"/>
  <c r="P402" i="58"/>
  <c r="P401" i="58"/>
  <c r="P400" i="58"/>
  <c r="P399" i="58"/>
  <c r="P398" i="58"/>
  <c r="P397" i="58"/>
  <c r="P396" i="58"/>
  <c r="P395" i="58"/>
  <c r="P394" i="58"/>
  <c r="P393" i="58"/>
  <c r="P392" i="58"/>
  <c r="P391" i="58"/>
  <c r="P390" i="58"/>
  <c r="P389" i="58"/>
  <c r="P388" i="58"/>
  <c r="P387" i="58"/>
  <c r="P386" i="58"/>
  <c r="P385" i="58"/>
  <c r="P384" i="58"/>
  <c r="P383" i="58"/>
  <c r="P382" i="58"/>
  <c r="P381" i="58"/>
  <c r="P380" i="58"/>
  <c r="P379" i="58"/>
  <c r="P378" i="58"/>
  <c r="P377" i="58"/>
  <c r="P376" i="58"/>
  <c r="P375" i="58"/>
  <c r="P374" i="58"/>
  <c r="P373" i="58"/>
  <c r="P372" i="58"/>
  <c r="P371" i="58"/>
  <c r="P370" i="58"/>
  <c r="P369" i="58"/>
  <c r="P368" i="58"/>
  <c r="P367" i="58"/>
  <c r="P366" i="58"/>
  <c r="P365" i="58"/>
  <c r="P364" i="58"/>
  <c r="P363" i="58"/>
  <c r="P362" i="58"/>
  <c r="P361" i="58"/>
  <c r="P360" i="58"/>
  <c r="P359" i="58"/>
  <c r="P358" i="58"/>
  <c r="P357" i="58"/>
  <c r="P356" i="58"/>
  <c r="P355" i="58"/>
  <c r="P354" i="58"/>
  <c r="P353" i="58"/>
  <c r="P352" i="58"/>
  <c r="P351" i="58"/>
  <c r="P350" i="58"/>
  <c r="P349" i="58"/>
  <c r="P348" i="58"/>
  <c r="P347" i="58"/>
  <c r="P346" i="58"/>
  <c r="P345" i="58"/>
  <c r="P344" i="58"/>
  <c r="P343" i="58"/>
  <c r="P342" i="58"/>
  <c r="P341" i="58"/>
  <c r="P340" i="58"/>
  <c r="P339" i="58"/>
  <c r="P338" i="58"/>
  <c r="P337" i="58"/>
  <c r="P336" i="58"/>
  <c r="P335" i="58"/>
  <c r="P334" i="58"/>
  <c r="P333" i="58"/>
  <c r="P332" i="58"/>
  <c r="P331" i="58"/>
  <c r="P330" i="58"/>
  <c r="P329" i="58"/>
  <c r="P328" i="58"/>
  <c r="P327" i="58"/>
  <c r="P326" i="58"/>
  <c r="P325" i="58"/>
  <c r="P324" i="58"/>
  <c r="P323" i="58"/>
  <c r="P322" i="58"/>
  <c r="P321" i="58"/>
  <c r="P320" i="58"/>
  <c r="P319" i="58"/>
  <c r="P318" i="58"/>
  <c r="P317" i="58"/>
  <c r="P316" i="58"/>
  <c r="P315" i="58"/>
  <c r="P314" i="58"/>
  <c r="P313" i="58"/>
  <c r="P312" i="58"/>
  <c r="P311" i="58"/>
  <c r="P310" i="58"/>
  <c r="P309" i="58"/>
  <c r="P308" i="58"/>
  <c r="P307" i="58"/>
  <c r="P306" i="58"/>
  <c r="P305" i="58"/>
  <c r="P304" i="58"/>
  <c r="P303" i="58"/>
  <c r="P302" i="58"/>
  <c r="P301" i="58"/>
  <c r="P300" i="58"/>
  <c r="P299" i="58"/>
  <c r="P298" i="58"/>
  <c r="P297" i="58"/>
  <c r="P296" i="58"/>
  <c r="P295" i="58"/>
  <c r="P294" i="58"/>
  <c r="P293" i="58"/>
  <c r="P292" i="58"/>
  <c r="P291" i="58"/>
  <c r="P290" i="58"/>
  <c r="P289" i="58"/>
  <c r="P288" i="58"/>
  <c r="P287" i="58"/>
  <c r="P286" i="58"/>
  <c r="P285" i="58"/>
  <c r="P284" i="58"/>
  <c r="P283" i="58"/>
  <c r="P282" i="58"/>
  <c r="P281" i="58"/>
  <c r="P280" i="58"/>
  <c r="P279" i="58"/>
  <c r="P278" i="58"/>
  <c r="P277" i="58"/>
  <c r="P276" i="58"/>
  <c r="P275" i="58"/>
  <c r="P274" i="58"/>
  <c r="P273" i="58"/>
  <c r="P272" i="58"/>
  <c r="P271" i="58"/>
  <c r="P270" i="58"/>
  <c r="P269" i="58"/>
  <c r="P268" i="58"/>
  <c r="P267" i="58"/>
  <c r="P266" i="58"/>
  <c r="P265" i="58"/>
  <c r="P264" i="58"/>
  <c r="P263" i="58"/>
  <c r="P262" i="58"/>
  <c r="P261" i="58"/>
  <c r="P260" i="58"/>
  <c r="P259" i="58"/>
  <c r="P258" i="58"/>
  <c r="P257" i="58"/>
  <c r="P256" i="58"/>
  <c r="P255" i="58"/>
  <c r="P254" i="58"/>
  <c r="P253" i="58"/>
  <c r="P252" i="58"/>
  <c r="P251" i="58"/>
  <c r="P250" i="58"/>
  <c r="P249" i="58"/>
  <c r="P248" i="58"/>
  <c r="P247" i="58"/>
  <c r="P246" i="58"/>
  <c r="P245" i="58"/>
  <c r="P244" i="58"/>
  <c r="P243" i="58"/>
  <c r="P242" i="58"/>
  <c r="P241" i="58"/>
  <c r="P240" i="58"/>
  <c r="P239" i="58"/>
  <c r="P238" i="58"/>
  <c r="P237" i="58"/>
  <c r="P236" i="58"/>
  <c r="P235" i="58"/>
  <c r="P234" i="58"/>
  <c r="P233" i="58"/>
  <c r="P232" i="58"/>
  <c r="P231" i="58"/>
  <c r="P230" i="58"/>
  <c r="P229" i="58"/>
  <c r="P228" i="58"/>
  <c r="P227" i="58"/>
  <c r="P226" i="58"/>
  <c r="P225" i="58"/>
  <c r="P224" i="58"/>
  <c r="P223" i="58"/>
  <c r="P222" i="58"/>
  <c r="P221" i="58"/>
  <c r="P220" i="58"/>
  <c r="P219" i="58"/>
  <c r="P218" i="58"/>
  <c r="P217" i="58"/>
  <c r="P216" i="58"/>
  <c r="P215" i="58"/>
  <c r="P214" i="58"/>
  <c r="P213" i="58"/>
  <c r="P212" i="58"/>
  <c r="P211" i="58"/>
  <c r="P210" i="58"/>
  <c r="P209" i="58"/>
  <c r="P208" i="58"/>
  <c r="P207" i="58"/>
  <c r="P206" i="58"/>
  <c r="P205" i="58"/>
  <c r="P204" i="58"/>
  <c r="P203" i="58"/>
  <c r="P202" i="58"/>
  <c r="P201" i="58"/>
  <c r="P200" i="58"/>
  <c r="P199" i="58"/>
  <c r="P198" i="58"/>
  <c r="P197" i="58"/>
  <c r="P196" i="58"/>
  <c r="P195" i="58"/>
  <c r="P194" i="58"/>
  <c r="P193" i="58"/>
  <c r="P192" i="58"/>
  <c r="P191" i="58"/>
  <c r="P190" i="58"/>
  <c r="P189" i="58"/>
  <c r="P188" i="58"/>
  <c r="P187" i="58"/>
  <c r="P186" i="58"/>
  <c r="P185" i="58"/>
  <c r="P184" i="58"/>
  <c r="P183" i="58"/>
  <c r="P182" i="58"/>
  <c r="P181" i="58"/>
  <c r="P180" i="58"/>
  <c r="P179" i="58"/>
  <c r="P178" i="58"/>
  <c r="P177" i="58"/>
  <c r="P176" i="58"/>
  <c r="P175" i="58"/>
  <c r="P174" i="58"/>
  <c r="P173" i="58"/>
  <c r="P172" i="58"/>
  <c r="P171" i="58"/>
  <c r="P170" i="58"/>
  <c r="P169" i="58"/>
  <c r="P168" i="58"/>
  <c r="P167" i="58"/>
  <c r="P166" i="58"/>
  <c r="P165" i="58"/>
  <c r="P164" i="58"/>
  <c r="P163" i="58"/>
  <c r="P162" i="58"/>
  <c r="P161" i="58"/>
  <c r="P160" i="58"/>
  <c r="P159" i="58"/>
  <c r="P158" i="58"/>
  <c r="P157" i="58"/>
  <c r="P156" i="58"/>
  <c r="P155" i="58"/>
  <c r="P154" i="58"/>
  <c r="P153" i="58"/>
  <c r="P152" i="58"/>
  <c r="P151" i="58"/>
  <c r="P150" i="58"/>
  <c r="P149" i="58"/>
  <c r="P148" i="58"/>
  <c r="P147" i="58"/>
  <c r="P146" i="58"/>
  <c r="P145" i="58"/>
  <c r="P144" i="58"/>
  <c r="P143" i="58"/>
  <c r="P142" i="58"/>
  <c r="P141" i="58"/>
  <c r="P140" i="58"/>
  <c r="P139" i="58"/>
  <c r="P138" i="58"/>
  <c r="P137" i="58"/>
  <c r="P136" i="58"/>
  <c r="P135" i="58"/>
  <c r="P134" i="58"/>
  <c r="P133" i="58"/>
  <c r="P132" i="58"/>
  <c r="P131" i="58"/>
  <c r="P130" i="58"/>
  <c r="P129" i="58"/>
  <c r="P128" i="58"/>
  <c r="P127" i="58"/>
  <c r="P126" i="58"/>
  <c r="P125" i="58"/>
  <c r="P124" i="58"/>
  <c r="P123" i="58"/>
  <c r="P122" i="58"/>
  <c r="P121" i="58"/>
  <c r="P120" i="58"/>
  <c r="P119" i="58"/>
  <c r="P118" i="58"/>
  <c r="P117" i="58"/>
  <c r="P116" i="58"/>
  <c r="P115" i="58"/>
  <c r="P114" i="58"/>
  <c r="P113" i="58"/>
  <c r="P112" i="58"/>
  <c r="P111" i="58"/>
  <c r="P110" i="58"/>
  <c r="P109" i="58"/>
  <c r="P108" i="58"/>
  <c r="P107" i="58"/>
  <c r="P106" i="58"/>
  <c r="P105" i="58"/>
  <c r="P104" i="58"/>
  <c r="P103" i="58"/>
  <c r="P102" i="58"/>
  <c r="P101" i="58"/>
  <c r="P100" i="58"/>
  <c r="P99" i="58"/>
  <c r="P98" i="58"/>
  <c r="P97" i="58"/>
  <c r="P96" i="58"/>
  <c r="P95" i="58"/>
  <c r="P94" i="58"/>
  <c r="P93" i="58"/>
  <c r="P92" i="58"/>
  <c r="P91" i="58"/>
  <c r="P90" i="58"/>
  <c r="P89" i="58"/>
  <c r="P88" i="58"/>
  <c r="P87" i="58"/>
  <c r="P86" i="58"/>
  <c r="P84" i="58"/>
  <c r="P83" i="58"/>
  <c r="P82" i="58"/>
  <c r="P81" i="58"/>
  <c r="P80" i="58"/>
  <c r="P79" i="58"/>
  <c r="P78" i="58"/>
  <c r="P77" i="58"/>
  <c r="P76" i="58"/>
  <c r="P75" i="58"/>
  <c r="P74" i="58"/>
  <c r="P73" i="58"/>
  <c r="P72" i="58"/>
  <c r="P71" i="58"/>
  <c r="P70" i="58"/>
  <c r="P69" i="58"/>
  <c r="P68" i="58"/>
  <c r="P67" i="58"/>
  <c r="P66" i="58"/>
  <c r="P65" i="58"/>
  <c r="P64" i="58"/>
  <c r="P63" i="58"/>
  <c r="P62" i="58"/>
  <c r="P61" i="58"/>
  <c r="P60" i="58"/>
  <c r="P59" i="58"/>
  <c r="P58" i="58"/>
  <c r="P57" i="58"/>
  <c r="P56" i="58"/>
  <c r="P55" i="58"/>
  <c r="P54" i="58"/>
  <c r="P53" i="58"/>
  <c r="P52" i="58"/>
  <c r="P51" i="58"/>
  <c r="P50" i="58"/>
  <c r="P49" i="58"/>
  <c r="P48" i="58"/>
  <c r="P47" i="58"/>
  <c r="P46" i="58"/>
  <c r="P45" i="58"/>
  <c r="P44" i="58"/>
  <c r="P43" i="58"/>
  <c r="P42" i="58"/>
  <c r="P41" i="58"/>
  <c r="P40" i="58"/>
  <c r="P39" i="58"/>
  <c r="P38" i="58"/>
  <c r="P37" i="58"/>
  <c r="P36" i="58"/>
  <c r="P35" i="58"/>
  <c r="P34" i="58"/>
  <c r="P33" i="58"/>
  <c r="P32" i="58"/>
  <c r="P31" i="58"/>
  <c r="P30" i="58"/>
  <c r="P29" i="58"/>
  <c r="P28" i="58"/>
  <c r="P27" i="58"/>
  <c r="P26" i="58"/>
  <c r="P25" i="58"/>
  <c r="P24" i="58"/>
  <c r="P23" i="58"/>
  <c r="P22" i="58"/>
  <c r="P21" i="58"/>
  <c r="P20" i="58"/>
  <c r="P19" i="58"/>
  <c r="P18" i="58"/>
  <c r="P17" i="58"/>
  <c r="P16" i="58"/>
  <c r="P15" i="58"/>
  <c r="P14" i="58"/>
  <c r="P13" i="58"/>
  <c r="P12" i="58"/>
  <c r="P11" i="58"/>
  <c r="P10" i="58"/>
  <c r="P9" i="58"/>
  <c r="P8" i="58"/>
  <c r="P7" i="58"/>
  <c r="O7" i="58"/>
  <c r="P6" i="58" l="1"/>
  <c r="A8" i="88" l="1"/>
  <c r="A9" i="88" s="1"/>
  <c r="A10" i="88" s="1"/>
  <c r="A11" i="88" s="1"/>
  <c r="A12" i="88" s="1"/>
  <c r="A13" i="88" s="1"/>
  <c r="A14" i="88" s="1"/>
  <c r="A15" i="88" s="1"/>
  <c r="A16" i="88" s="1"/>
  <c r="A17" i="88" s="1"/>
  <c r="A18" i="88" s="1"/>
  <c r="A19" i="88" s="1"/>
  <c r="A20" i="88" s="1"/>
  <c r="A21" i="88" s="1"/>
  <c r="Z6" i="58" l="1"/>
  <c r="Y6" i="58"/>
  <c r="X6" i="58"/>
  <c r="W6" i="58"/>
  <c r="V6" i="58"/>
  <c r="U6" i="58"/>
  <c r="T6" i="58"/>
  <c r="S6" i="58"/>
  <c r="R6" i="58"/>
  <c r="Q6" i="58"/>
  <c r="N6" i="58"/>
  <c r="M6" i="58"/>
  <c r="K6" i="58"/>
  <c r="AD6" i="58"/>
  <c r="AC6" i="58"/>
  <c r="AB6" i="58"/>
  <c r="AA6" i="58"/>
  <c r="F6" i="58"/>
  <c r="E6" i="58"/>
  <c r="AH21" i="93" l="1"/>
  <c r="AD21" i="93"/>
  <c r="AG20" i="93"/>
  <c r="AJ19" i="93"/>
  <c r="AF19" i="93"/>
  <c r="AI18" i="93"/>
  <c r="AH17" i="93"/>
  <c r="AD17" i="93"/>
  <c r="AG16" i="93"/>
  <c r="AJ15" i="93"/>
  <c r="AF15" i="93"/>
  <c r="AI14" i="93"/>
  <c r="AH13" i="93"/>
  <c r="AD13" i="93"/>
  <c r="AG12" i="93"/>
  <c r="AJ11" i="93"/>
  <c r="AF11" i="93"/>
  <c r="AI10" i="93"/>
  <c r="AE10" i="93"/>
  <c r="AH9" i="93"/>
  <c r="AD9" i="93"/>
  <c r="AG8" i="93"/>
  <c r="AJ7" i="93"/>
  <c r="AF7" i="93"/>
  <c r="AG21" i="93"/>
  <c r="AJ20" i="93"/>
  <c r="AF20" i="93"/>
  <c r="AI19" i="93"/>
  <c r="AH18" i="93"/>
  <c r="AD18" i="93"/>
  <c r="AG17" i="93"/>
  <c r="AJ16" i="93"/>
  <c r="AF16" i="93"/>
  <c r="AI15" i="93"/>
  <c r="AE15" i="93"/>
  <c r="AH14" i="93"/>
  <c r="AD14" i="93"/>
  <c r="AG13" i="93"/>
  <c r="AJ12" i="93"/>
  <c r="AF12" i="93"/>
  <c r="AI11" i="93"/>
  <c r="AH10" i="93"/>
  <c r="AD10" i="93"/>
  <c r="AG9" i="93"/>
  <c r="AJ8" i="93"/>
  <c r="AF8" i="93"/>
  <c r="AI7" i="93"/>
  <c r="AJ21" i="93"/>
  <c r="AF21" i="93"/>
  <c r="AI20" i="93"/>
  <c r="AE20" i="93"/>
  <c r="AH19" i="93"/>
  <c r="AD19" i="93"/>
  <c r="AG18" i="93"/>
  <c r="AJ17" i="93"/>
  <c r="AF17" i="93"/>
  <c r="AI16" i="93"/>
  <c r="AE16" i="93"/>
  <c r="AH15" i="93"/>
  <c r="AD15" i="93"/>
  <c r="AG14" i="93"/>
  <c r="AJ13" i="93"/>
  <c r="AF13" i="93"/>
  <c r="AI12" i="93"/>
  <c r="AH11" i="93"/>
  <c r="AD11" i="93"/>
  <c r="AG10" i="93"/>
  <c r="AJ9" i="93"/>
  <c r="AF9" i="93"/>
  <c r="AI8" i="93"/>
  <c r="AH7" i="93"/>
  <c r="AD7" i="93"/>
  <c r="AI21" i="93"/>
  <c r="AE21" i="93"/>
  <c r="AH20" i="93"/>
  <c r="AD20" i="93"/>
  <c r="AG19" i="93"/>
  <c r="AJ18" i="93"/>
  <c r="AF18" i="93"/>
  <c r="AI17" i="93"/>
  <c r="AH16" i="93"/>
  <c r="AD16" i="93"/>
  <c r="AG15" i="93"/>
  <c r="AJ14" i="93"/>
  <c r="AF14" i="93"/>
  <c r="AI13" i="93"/>
  <c r="AH12" i="93"/>
  <c r="AD12" i="93"/>
  <c r="AG11" i="93"/>
  <c r="AJ10" i="93"/>
  <c r="AF10" i="93"/>
  <c r="AI9" i="93"/>
  <c r="AE9" i="93"/>
  <c r="AH8" i="93"/>
  <c r="AD8" i="93"/>
  <c r="AG7" i="93"/>
  <c r="AX81" i="85"/>
  <c r="AT81" i="85"/>
  <c r="AW80" i="85"/>
  <c r="AS80" i="85"/>
  <c r="AV79" i="85"/>
  <c r="AR79" i="85"/>
  <c r="AU78" i="85"/>
  <c r="AX76" i="85"/>
  <c r="AT76" i="85"/>
  <c r="AW75" i="85"/>
  <c r="AS75" i="85"/>
  <c r="AV74" i="85"/>
  <c r="AR74" i="85"/>
  <c r="AU73" i="85"/>
  <c r="AX71" i="85"/>
  <c r="AT71" i="85"/>
  <c r="AW70" i="85"/>
  <c r="AS70" i="85"/>
  <c r="AV69" i="85"/>
  <c r="AR69" i="85"/>
  <c r="AU68" i="85"/>
  <c r="AX66" i="85"/>
  <c r="AT66" i="85"/>
  <c r="AW65" i="85"/>
  <c r="AS65" i="85"/>
  <c r="AV64" i="85"/>
  <c r="AR64" i="85"/>
  <c r="AU63" i="85"/>
  <c r="AX61" i="85"/>
  <c r="AT61" i="85"/>
  <c r="AW60" i="85"/>
  <c r="AS60" i="85"/>
  <c r="AV59" i="85"/>
  <c r="AR59" i="85"/>
  <c r="AU58" i="85"/>
  <c r="AX56" i="85"/>
  <c r="AT56" i="85"/>
  <c r="AW55" i="85"/>
  <c r="AS55" i="85"/>
  <c r="AV54" i="85"/>
  <c r="AR54" i="85"/>
  <c r="AU53" i="85"/>
  <c r="AX51" i="85"/>
  <c r="AT51" i="85"/>
  <c r="AW50" i="85"/>
  <c r="AS50" i="85"/>
  <c r="AV49" i="85"/>
  <c r="AR49" i="85"/>
  <c r="AU48" i="85"/>
  <c r="AX46" i="85"/>
  <c r="AT46" i="85"/>
  <c r="AW45" i="85"/>
  <c r="AS45" i="85"/>
  <c r="AV44" i="85"/>
  <c r="AR44" i="85"/>
  <c r="AU43" i="85"/>
  <c r="AX41" i="85"/>
  <c r="AT41" i="85"/>
  <c r="AW40" i="85"/>
  <c r="AS40" i="85"/>
  <c r="AV39" i="85"/>
  <c r="AR39" i="85"/>
  <c r="AU38" i="85"/>
  <c r="AX36" i="85"/>
  <c r="AT36" i="85"/>
  <c r="AW35" i="85"/>
  <c r="AS35" i="85"/>
  <c r="AV34" i="85"/>
  <c r="AR34" i="85"/>
  <c r="AU33" i="85"/>
  <c r="AX31" i="85"/>
  <c r="AT31" i="85"/>
  <c r="AW30" i="85"/>
  <c r="AS30" i="85"/>
  <c r="AV29" i="85"/>
  <c r="AR29" i="85"/>
  <c r="AW81" i="85"/>
  <c r="AS81" i="85"/>
  <c r="AV80" i="85"/>
  <c r="AR80" i="85"/>
  <c r="AU79" i="85"/>
  <c r="AX78" i="85"/>
  <c r="AT78" i="85"/>
  <c r="AW76" i="85"/>
  <c r="AS76" i="85"/>
  <c r="AV75" i="85"/>
  <c r="AR75" i="85"/>
  <c r="AU74" i="85"/>
  <c r="AX73" i="85"/>
  <c r="AT73" i="85"/>
  <c r="AW71" i="85"/>
  <c r="AS71" i="85"/>
  <c r="AV70" i="85"/>
  <c r="AR70" i="85"/>
  <c r="AU69" i="85"/>
  <c r="AX68" i="85"/>
  <c r="AT68" i="85"/>
  <c r="AW66" i="85"/>
  <c r="AS66" i="85"/>
  <c r="AV65" i="85"/>
  <c r="AR65" i="85"/>
  <c r="AU64" i="85"/>
  <c r="AX63" i="85"/>
  <c r="AT63" i="85"/>
  <c r="AW61" i="85"/>
  <c r="AS61" i="85"/>
  <c r="AV60" i="85"/>
  <c r="AR60" i="85"/>
  <c r="AU59" i="85"/>
  <c r="AX58" i="85"/>
  <c r="AT58" i="85"/>
  <c r="AW56" i="85"/>
  <c r="AS56" i="85"/>
  <c r="AV55" i="85"/>
  <c r="AR55" i="85"/>
  <c r="AU54" i="85"/>
  <c r="AX53" i="85"/>
  <c r="AT53" i="85"/>
  <c r="AW51" i="85"/>
  <c r="AS51" i="85"/>
  <c r="AV50" i="85"/>
  <c r="AR50" i="85"/>
  <c r="AU49" i="85"/>
  <c r="AX48" i="85"/>
  <c r="AT48" i="85"/>
  <c r="AW46" i="85"/>
  <c r="AS46" i="85"/>
  <c r="AV45" i="85"/>
  <c r="AR45" i="85"/>
  <c r="AU44" i="85"/>
  <c r="AX43" i="85"/>
  <c r="AT43" i="85"/>
  <c r="AW41" i="85"/>
  <c r="AS41" i="85"/>
  <c r="AV40" i="85"/>
  <c r="AR40" i="85"/>
  <c r="AU39" i="85"/>
  <c r="AX38" i="85"/>
  <c r="AT38" i="85"/>
  <c r="AW36" i="85"/>
  <c r="AS36" i="85"/>
  <c r="AV35" i="85"/>
  <c r="AR35" i="85"/>
  <c r="AU34" i="85"/>
  <c r="AX33" i="85"/>
  <c r="AT33" i="85"/>
  <c r="AW31" i="85"/>
  <c r="AS31" i="85"/>
  <c r="AV30" i="85"/>
  <c r="AR30" i="85"/>
  <c r="AU29" i="85"/>
  <c r="AX28" i="85"/>
  <c r="AT28" i="85"/>
  <c r="AW26" i="85"/>
  <c r="AS26" i="85"/>
  <c r="AV25" i="85"/>
  <c r="AR25" i="85"/>
  <c r="AU24" i="85"/>
  <c r="AX23" i="85"/>
  <c r="AT23" i="85"/>
  <c r="AW21" i="85"/>
  <c r="AV81" i="85"/>
  <c r="AR81" i="85"/>
  <c r="AU80" i="85"/>
  <c r="AX79" i="85"/>
  <c r="AT79" i="85"/>
  <c r="AW78" i="85"/>
  <c r="AS78" i="85"/>
  <c r="AV76" i="85"/>
  <c r="AR76" i="85"/>
  <c r="AU75" i="85"/>
  <c r="AX74" i="85"/>
  <c r="AT74" i="85"/>
  <c r="AW73" i="85"/>
  <c r="AS73" i="85"/>
  <c r="AV71" i="85"/>
  <c r="AR71" i="85"/>
  <c r="AU70" i="85"/>
  <c r="AX69" i="85"/>
  <c r="AT69" i="85"/>
  <c r="AW68" i="85"/>
  <c r="AS68" i="85"/>
  <c r="AV66" i="85"/>
  <c r="AR66" i="85"/>
  <c r="AU65" i="85"/>
  <c r="AX64" i="85"/>
  <c r="AT64" i="85"/>
  <c r="AW63" i="85"/>
  <c r="AS63" i="85"/>
  <c r="AV61" i="85"/>
  <c r="AR61" i="85"/>
  <c r="AU60" i="85"/>
  <c r="AX59" i="85"/>
  <c r="AT59" i="85"/>
  <c r="AW58" i="85"/>
  <c r="AS58" i="85"/>
  <c r="AV56" i="85"/>
  <c r="AR56" i="85"/>
  <c r="AU55" i="85"/>
  <c r="AX54" i="85"/>
  <c r="AT54" i="85"/>
  <c r="AW53" i="85"/>
  <c r="AS53" i="85"/>
  <c r="AV51" i="85"/>
  <c r="AR51" i="85"/>
  <c r="AU50" i="85"/>
  <c r="AX49" i="85"/>
  <c r="AT49" i="85"/>
  <c r="AW48" i="85"/>
  <c r="AS48" i="85"/>
  <c r="AV46" i="85"/>
  <c r="AR46" i="85"/>
  <c r="AU45" i="85"/>
  <c r="AX44" i="85"/>
  <c r="AT44" i="85"/>
  <c r="AW43" i="85"/>
  <c r="AS43" i="85"/>
  <c r="AV41" i="85"/>
  <c r="AR41" i="85"/>
  <c r="AU40" i="85"/>
  <c r="AX39" i="85"/>
  <c r="AT39" i="85"/>
  <c r="AW38" i="85"/>
  <c r="AS38" i="85"/>
  <c r="AV36" i="85"/>
  <c r="AR36" i="85"/>
  <c r="AU35" i="85"/>
  <c r="AX34" i="85"/>
  <c r="AT34" i="85"/>
  <c r="AW33" i="85"/>
  <c r="AS33" i="85"/>
  <c r="AV31" i="85"/>
  <c r="AR31" i="85"/>
  <c r="AU30" i="85"/>
  <c r="AX29" i="85"/>
  <c r="AT29" i="85"/>
  <c r="AW28" i="85"/>
  <c r="AS28" i="85"/>
  <c r="AV26" i="85"/>
  <c r="AR26" i="85"/>
  <c r="AU25" i="85"/>
  <c r="AX24" i="85"/>
  <c r="AT24" i="85"/>
  <c r="AW23" i="85"/>
  <c r="AS23" i="85"/>
  <c r="AV21" i="85"/>
  <c r="AU81" i="85"/>
  <c r="AS79" i="85"/>
  <c r="AX75" i="85"/>
  <c r="AV73" i="85"/>
  <c r="AT70" i="85"/>
  <c r="AR68" i="85"/>
  <c r="AW64" i="85"/>
  <c r="AU61" i="85"/>
  <c r="AS59" i="85"/>
  <c r="AX55" i="85"/>
  <c r="AV53" i="85"/>
  <c r="AT50" i="85"/>
  <c r="AR48" i="85"/>
  <c r="AW44" i="85"/>
  <c r="AU41" i="85"/>
  <c r="AS39" i="85"/>
  <c r="AX35" i="85"/>
  <c r="AV33" i="85"/>
  <c r="AT30" i="85"/>
  <c r="AU28" i="85"/>
  <c r="AT26" i="85"/>
  <c r="AS25" i="85"/>
  <c r="AR24" i="85"/>
  <c r="AX21" i="85"/>
  <c r="AR21" i="85"/>
  <c r="AU20" i="85"/>
  <c r="AX19" i="85"/>
  <c r="AT19" i="85"/>
  <c r="AW18" i="85"/>
  <c r="AS18" i="85"/>
  <c r="AV16" i="85"/>
  <c r="AR16" i="85"/>
  <c r="AU15" i="85"/>
  <c r="AX14" i="85"/>
  <c r="AT14" i="85"/>
  <c r="AW13" i="85"/>
  <c r="AS13" i="85"/>
  <c r="AV11" i="85"/>
  <c r="AX10" i="85"/>
  <c r="AT10" i="85"/>
  <c r="AV9" i="85"/>
  <c r="AX8" i="85"/>
  <c r="AT8" i="85"/>
  <c r="BC81" i="85"/>
  <c r="AY81" i="85"/>
  <c r="BB80" i="85"/>
  <c r="BE79" i="85"/>
  <c r="BA79" i="85"/>
  <c r="BD78" i="85"/>
  <c r="AZ78" i="85"/>
  <c r="BC76" i="85"/>
  <c r="AY76" i="85"/>
  <c r="BB75" i="85"/>
  <c r="BE74" i="85"/>
  <c r="BA74" i="85"/>
  <c r="BD73" i="85"/>
  <c r="AZ73" i="85"/>
  <c r="BC71" i="85"/>
  <c r="AY71" i="85"/>
  <c r="BB70" i="85"/>
  <c r="BE69" i="85"/>
  <c r="BA69" i="85"/>
  <c r="BD68" i="85"/>
  <c r="AZ68" i="85"/>
  <c r="BC66" i="85"/>
  <c r="AY66" i="85"/>
  <c r="BB65" i="85"/>
  <c r="BE64" i="85"/>
  <c r="BA64" i="85"/>
  <c r="BD63" i="85"/>
  <c r="AZ63" i="85"/>
  <c r="BC61" i="85"/>
  <c r="AY61" i="85"/>
  <c r="BB60" i="85"/>
  <c r="BE59" i="85"/>
  <c r="BA59" i="85"/>
  <c r="BD58" i="85"/>
  <c r="AZ58" i="85"/>
  <c r="BC56" i="85"/>
  <c r="AY56" i="85"/>
  <c r="BB55" i="85"/>
  <c r="BE54" i="85"/>
  <c r="BA54" i="85"/>
  <c r="BD53" i="85"/>
  <c r="AZ53" i="85"/>
  <c r="AX80" i="85"/>
  <c r="AV78" i="85"/>
  <c r="AT75" i="85"/>
  <c r="AR73" i="85"/>
  <c r="AW69" i="85"/>
  <c r="AU66" i="85"/>
  <c r="AS64" i="85"/>
  <c r="AX60" i="85"/>
  <c r="AV58" i="85"/>
  <c r="AT55" i="85"/>
  <c r="AR53" i="85"/>
  <c r="AW49" i="85"/>
  <c r="AU46" i="85"/>
  <c r="AS44" i="85"/>
  <c r="AX40" i="85"/>
  <c r="AV38" i="85"/>
  <c r="AT35" i="85"/>
  <c r="AR33" i="85"/>
  <c r="AW29" i="85"/>
  <c r="AR28" i="85"/>
  <c r="AX25" i="85"/>
  <c r="AW24" i="85"/>
  <c r="AV23" i="85"/>
  <c r="AU21" i="85"/>
  <c r="AX20" i="85"/>
  <c r="AT20" i="85"/>
  <c r="AW19" i="85"/>
  <c r="AS19" i="85"/>
  <c r="AV18" i="85"/>
  <c r="AR18" i="85"/>
  <c r="AU16" i="85"/>
  <c r="AX15" i="85"/>
  <c r="AT15" i="85"/>
  <c r="AW14" i="85"/>
  <c r="AS14" i="85"/>
  <c r="AV13" i="85"/>
  <c r="AR13" i="85"/>
  <c r="AU11" i="85"/>
  <c r="AW10" i="85"/>
  <c r="AS10" i="85"/>
  <c r="AU9" i="85"/>
  <c r="AW8" i="85"/>
  <c r="AS8" i="85"/>
  <c r="BB81" i="85"/>
  <c r="BE80" i="85"/>
  <c r="BA80" i="85"/>
  <c r="BD79" i="85"/>
  <c r="AZ79" i="85"/>
  <c r="BC78" i="85"/>
  <c r="AY78" i="85"/>
  <c r="BB76" i="85"/>
  <c r="BE75" i="85"/>
  <c r="BA75" i="85"/>
  <c r="BD74" i="85"/>
  <c r="AZ74" i="85"/>
  <c r="BC73" i="85"/>
  <c r="AY73" i="85"/>
  <c r="BB71" i="85"/>
  <c r="BE70" i="85"/>
  <c r="BA70" i="85"/>
  <c r="BD69" i="85"/>
  <c r="AZ69" i="85"/>
  <c r="BC68" i="85"/>
  <c r="AY68" i="85"/>
  <c r="BB66" i="85"/>
  <c r="BE65" i="85"/>
  <c r="BA65" i="85"/>
  <c r="BD64" i="85"/>
  <c r="AZ64" i="85"/>
  <c r="BC63" i="85"/>
  <c r="AY63" i="85"/>
  <c r="BB61" i="85"/>
  <c r="BE60" i="85"/>
  <c r="BA60" i="85"/>
  <c r="BD59" i="85"/>
  <c r="AZ59" i="85"/>
  <c r="BC58" i="85"/>
  <c r="AY58" i="85"/>
  <c r="BB56" i="85"/>
  <c r="BE55" i="85"/>
  <c r="BA55" i="85"/>
  <c r="BD54" i="85"/>
  <c r="AZ54" i="85"/>
  <c r="BC53" i="85"/>
  <c r="AY53" i="85"/>
  <c r="BB51" i="85"/>
  <c r="BE50" i="85"/>
  <c r="BA50" i="85"/>
  <c r="BD49" i="85"/>
  <c r="AZ49" i="85"/>
  <c r="BC48" i="85"/>
  <c r="AY48" i="85"/>
  <c r="BB46" i="85"/>
  <c r="BE45" i="85"/>
  <c r="BA45" i="85"/>
  <c r="BD44" i="85"/>
  <c r="AZ44" i="85"/>
  <c r="BC43" i="85"/>
  <c r="AY43" i="85"/>
  <c r="BB41" i="85"/>
  <c r="BE40" i="85"/>
  <c r="BA40" i="85"/>
  <c r="BD39" i="85"/>
  <c r="AZ39" i="85"/>
  <c r="BC38" i="85"/>
  <c r="AY38" i="85"/>
  <c r="BB36" i="85"/>
  <c r="BE35" i="85"/>
  <c r="BA35" i="85"/>
  <c r="BD34" i="85"/>
  <c r="AZ34" i="85"/>
  <c r="BC33" i="85"/>
  <c r="AY33" i="85"/>
  <c r="BB31" i="85"/>
  <c r="BE30" i="85"/>
  <c r="BA30" i="85"/>
  <c r="BD29" i="85"/>
  <c r="AZ29" i="85"/>
  <c r="BC28" i="85"/>
  <c r="AY28" i="85"/>
  <c r="BB26" i="85"/>
  <c r="BE25" i="85"/>
  <c r="AT80" i="85"/>
  <c r="AR78" i="85"/>
  <c r="AW74" i="85"/>
  <c r="AU71" i="85"/>
  <c r="AS69" i="85"/>
  <c r="AX65" i="85"/>
  <c r="AV63" i="85"/>
  <c r="AT60" i="85"/>
  <c r="AR58" i="85"/>
  <c r="AW54" i="85"/>
  <c r="AU51" i="85"/>
  <c r="AS49" i="85"/>
  <c r="AX45" i="85"/>
  <c r="AV43" i="85"/>
  <c r="AT40" i="85"/>
  <c r="AR38" i="85"/>
  <c r="AW34" i="85"/>
  <c r="AU31" i="85"/>
  <c r="AS29" i="85"/>
  <c r="AX26" i="85"/>
  <c r="AW25" i="85"/>
  <c r="AV24" i="85"/>
  <c r="AU23" i="85"/>
  <c r="AT21" i="85"/>
  <c r="AW20" i="85"/>
  <c r="AS20" i="85"/>
  <c r="AV19" i="85"/>
  <c r="AR19" i="85"/>
  <c r="AU18" i="85"/>
  <c r="AX16" i="85"/>
  <c r="AT16" i="85"/>
  <c r="AW15" i="85"/>
  <c r="AS15" i="85"/>
  <c r="AV14" i="85"/>
  <c r="AR14" i="85"/>
  <c r="AU13" i="85"/>
  <c r="AX11" i="85"/>
  <c r="AT11" i="85"/>
  <c r="AV10" i="85"/>
  <c r="AX9" i="85"/>
  <c r="AT9" i="85"/>
  <c r="AV8" i="85"/>
  <c r="BE81" i="85"/>
  <c r="BA81" i="85"/>
  <c r="BD80" i="85"/>
  <c r="AZ80" i="85"/>
  <c r="BC79" i="85"/>
  <c r="AY79" i="85"/>
  <c r="BB78" i="85"/>
  <c r="BE76" i="85"/>
  <c r="BA76" i="85"/>
  <c r="BD75" i="85"/>
  <c r="AZ75" i="85"/>
  <c r="BC74" i="85"/>
  <c r="AY74" i="85"/>
  <c r="BB73" i="85"/>
  <c r="BE71" i="85"/>
  <c r="BA71" i="85"/>
  <c r="BD70" i="85"/>
  <c r="AZ70" i="85"/>
  <c r="BC69" i="85"/>
  <c r="AY69" i="85"/>
  <c r="BB68" i="85"/>
  <c r="BE66" i="85"/>
  <c r="BA66" i="85"/>
  <c r="BD65" i="85"/>
  <c r="AZ65" i="85"/>
  <c r="BC64" i="85"/>
  <c r="AY64" i="85"/>
  <c r="BB63" i="85"/>
  <c r="BE61" i="85"/>
  <c r="BA61" i="85"/>
  <c r="BD60" i="85"/>
  <c r="AZ60" i="85"/>
  <c r="BC59" i="85"/>
  <c r="AY59" i="85"/>
  <c r="BB58" i="85"/>
  <c r="BE56" i="85"/>
  <c r="BA56" i="85"/>
  <c r="BD55" i="85"/>
  <c r="AZ55" i="85"/>
  <c r="BC54" i="85"/>
  <c r="AY54" i="85"/>
  <c r="BB53" i="85"/>
  <c r="BE51" i="85"/>
  <c r="BA51" i="85"/>
  <c r="BD50" i="85"/>
  <c r="AZ50" i="85"/>
  <c r="BC49" i="85"/>
  <c r="AY49" i="85"/>
  <c r="BB48" i="85"/>
  <c r="BE46" i="85"/>
  <c r="BA46" i="85"/>
  <c r="BD45" i="85"/>
  <c r="AZ45" i="85"/>
  <c r="BC44" i="85"/>
  <c r="AY44" i="85"/>
  <c r="BB43" i="85"/>
  <c r="BE41" i="85"/>
  <c r="BA41" i="85"/>
  <c r="BD40" i="85"/>
  <c r="AZ40" i="85"/>
  <c r="BC39" i="85"/>
  <c r="AY39" i="85"/>
  <c r="BB38" i="85"/>
  <c r="BE36" i="85"/>
  <c r="BA36" i="85"/>
  <c r="BD35" i="85"/>
  <c r="AZ35" i="85"/>
  <c r="BC34" i="85"/>
  <c r="AY34" i="85"/>
  <c r="BB33" i="85"/>
  <c r="BE31" i="85"/>
  <c r="BA31" i="85"/>
  <c r="BD30" i="85"/>
  <c r="AZ30" i="85"/>
  <c r="BC29" i="85"/>
  <c r="AY29" i="85"/>
  <c r="BB28" i="85"/>
  <c r="BE26" i="85"/>
  <c r="BA26" i="85"/>
  <c r="BD25" i="85"/>
  <c r="AW79" i="85"/>
  <c r="AV68" i="85"/>
  <c r="AU56" i="85"/>
  <c r="AT45" i="85"/>
  <c r="AS34" i="85"/>
  <c r="AT25" i="85"/>
  <c r="AV20" i="85"/>
  <c r="AT18" i="85"/>
  <c r="AR15" i="85"/>
  <c r="AW11" i="85"/>
  <c r="AS9" i="85"/>
  <c r="BC80" i="85"/>
  <c r="BA78" i="85"/>
  <c r="AY75" i="85"/>
  <c r="BD71" i="85"/>
  <c r="BB69" i="85"/>
  <c r="AZ66" i="85"/>
  <c r="BE63" i="85"/>
  <c r="BC60" i="85"/>
  <c r="BA58" i="85"/>
  <c r="AY55" i="85"/>
  <c r="BD51" i="85"/>
  <c r="BC50" i="85"/>
  <c r="BB49" i="85"/>
  <c r="BA48" i="85"/>
  <c r="AZ46" i="85"/>
  <c r="AY45" i="85"/>
  <c r="BE43" i="85"/>
  <c r="BD41" i="85"/>
  <c r="BC40" i="85"/>
  <c r="BB39" i="85"/>
  <c r="BA38" i="85"/>
  <c r="AZ36" i="85"/>
  <c r="AY35" i="85"/>
  <c r="BE33" i="85"/>
  <c r="BD31" i="85"/>
  <c r="BC30" i="85"/>
  <c r="BB29" i="85"/>
  <c r="BA28" i="85"/>
  <c r="AZ26" i="85"/>
  <c r="BA25" i="85"/>
  <c r="BD24" i="85"/>
  <c r="AZ24" i="85"/>
  <c r="BC23" i="85"/>
  <c r="AY23" i="85"/>
  <c r="BB21" i="85"/>
  <c r="BE20" i="85"/>
  <c r="BA20" i="85"/>
  <c r="BD19" i="85"/>
  <c r="AZ19" i="85"/>
  <c r="BC18" i="85"/>
  <c r="AY18" i="85"/>
  <c r="BB16" i="85"/>
  <c r="BE15" i="85"/>
  <c r="BA15" i="85"/>
  <c r="BD14" i="85"/>
  <c r="AZ14" i="85"/>
  <c r="BC13" i="85"/>
  <c r="AY13" i="85"/>
  <c r="BB11" i="85"/>
  <c r="BE10" i="85"/>
  <c r="BA10" i="85"/>
  <c r="BD9" i="85"/>
  <c r="AZ9" i="85"/>
  <c r="BC8" i="85"/>
  <c r="AY8" i="85"/>
  <c r="AR8" i="85"/>
  <c r="AU76" i="85"/>
  <c r="AT65" i="85"/>
  <c r="AS54" i="85"/>
  <c r="AR43" i="85"/>
  <c r="AX30" i="85"/>
  <c r="AS24" i="85"/>
  <c r="AR20" i="85"/>
  <c r="AW16" i="85"/>
  <c r="AU14" i="85"/>
  <c r="AS11" i="85"/>
  <c r="AU8" i="85"/>
  <c r="AY80" i="85"/>
  <c r="BD76" i="85"/>
  <c r="BB74" i="85"/>
  <c r="AZ71" i="85"/>
  <c r="BE68" i="85"/>
  <c r="BC65" i="85"/>
  <c r="BA63" i="85"/>
  <c r="AY60" i="85"/>
  <c r="BD56" i="85"/>
  <c r="BB54" i="85"/>
  <c r="BC51" i="85"/>
  <c r="BB50" i="85"/>
  <c r="BA49" i="85"/>
  <c r="AZ48" i="85"/>
  <c r="AY46" i="85"/>
  <c r="BE44" i="85"/>
  <c r="BD43" i="85"/>
  <c r="BC41" i="85"/>
  <c r="BB40" i="85"/>
  <c r="BA39" i="85"/>
  <c r="AZ38" i="85"/>
  <c r="AY36" i="85"/>
  <c r="BE34" i="85"/>
  <c r="BD33" i="85"/>
  <c r="BC31" i="85"/>
  <c r="BB30" i="85"/>
  <c r="BA29" i="85"/>
  <c r="AZ28" i="85"/>
  <c r="AY26" i="85"/>
  <c r="AZ25" i="85"/>
  <c r="BC24" i="85"/>
  <c r="AY24" i="85"/>
  <c r="BB23" i="85"/>
  <c r="BE21" i="85"/>
  <c r="BA21" i="85"/>
  <c r="BD20" i="85"/>
  <c r="AZ20" i="85"/>
  <c r="BC19" i="85"/>
  <c r="AY19" i="85"/>
  <c r="BB18" i="85"/>
  <c r="BE16" i="85"/>
  <c r="BA16" i="85"/>
  <c r="BD15" i="85"/>
  <c r="AZ15" i="85"/>
  <c r="BC14" i="85"/>
  <c r="AY14" i="85"/>
  <c r="BB13" i="85"/>
  <c r="BE11" i="85"/>
  <c r="BA11" i="85"/>
  <c r="BD10" i="85"/>
  <c r="AZ10" i="85"/>
  <c r="BC9" i="85"/>
  <c r="AY9" i="85"/>
  <c r="BB8" i="85"/>
  <c r="AR11" i="85"/>
  <c r="AS74" i="85"/>
  <c r="AR63" i="85"/>
  <c r="AX50" i="85"/>
  <c r="AW39" i="85"/>
  <c r="AV28" i="85"/>
  <c r="AR23" i="85"/>
  <c r="AU19" i="85"/>
  <c r="AS16" i="85"/>
  <c r="AX13" i="85"/>
  <c r="AU10" i="85"/>
  <c r="BD81" i="85"/>
  <c r="BB79" i="85"/>
  <c r="AZ76" i="85"/>
  <c r="BE73" i="85"/>
  <c r="BC70" i="85"/>
  <c r="BA68" i="85"/>
  <c r="AY65" i="85"/>
  <c r="BD61" i="85"/>
  <c r="BB59" i="85"/>
  <c r="AZ56" i="85"/>
  <c r="BE53" i="85"/>
  <c r="AZ51" i="85"/>
  <c r="AY50" i="85"/>
  <c r="BE48" i="85"/>
  <c r="BD46" i="85"/>
  <c r="BC45" i="85"/>
  <c r="BB44" i="85"/>
  <c r="BA43" i="85"/>
  <c r="AZ41" i="85"/>
  <c r="AY40" i="85"/>
  <c r="BE38" i="85"/>
  <c r="BD36" i="85"/>
  <c r="BC35" i="85"/>
  <c r="BB34" i="85"/>
  <c r="BA33" i="85"/>
  <c r="AZ31" i="85"/>
  <c r="AY30" i="85"/>
  <c r="BE28" i="85"/>
  <c r="BD26" i="85"/>
  <c r="BC25" i="85"/>
  <c r="AY25" i="85"/>
  <c r="BB24" i="85"/>
  <c r="BE23" i="85"/>
  <c r="BA23" i="85"/>
  <c r="BD21" i="85"/>
  <c r="AZ21" i="85"/>
  <c r="BC20" i="85"/>
  <c r="AY20" i="85"/>
  <c r="BB19" i="85"/>
  <c r="BE18" i="85"/>
  <c r="BA18" i="85"/>
  <c r="BD16" i="85"/>
  <c r="AZ16" i="85"/>
  <c r="BC15" i="85"/>
  <c r="AY15" i="85"/>
  <c r="BB14" i="85"/>
  <c r="BE13" i="85"/>
  <c r="BA13" i="85"/>
  <c r="BD11" i="85"/>
  <c r="AZ11" i="85"/>
  <c r="BC10" i="85"/>
  <c r="AY10" i="85"/>
  <c r="BB9" i="85"/>
  <c r="BE8" i="85"/>
  <c r="BA8" i="85"/>
  <c r="AR10" i="85"/>
  <c r="AX70" i="85"/>
  <c r="AU26" i="85"/>
  <c r="AT13" i="85"/>
  <c r="BC75" i="85"/>
  <c r="BB64" i="85"/>
  <c r="BA53" i="85"/>
  <c r="BC46" i="85"/>
  <c r="AY41" i="85"/>
  <c r="BB35" i="85"/>
  <c r="BE29" i="85"/>
  <c r="BE24" i="85"/>
  <c r="BC21" i="85"/>
  <c r="BA19" i="85"/>
  <c r="AY16" i="85"/>
  <c r="BD13" i="85"/>
  <c r="BB10" i="85"/>
  <c r="AZ8" i="85"/>
  <c r="AY31" i="85"/>
  <c r="BE19" i="85"/>
  <c r="AW59" i="85"/>
  <c r="AS21" i="85"/>
  <c r="AW9" i="85"/>
  <c r="BA73" i="85"/>
  <c r="AZ61" i="85"/>
  <c r="AY51" i="85"/>
  <c r="BB45" i="85"/>
  <c r="BE39" i="85"/>
  <c r="BA34" i="85"/>
  <c r="BD28" i="85"/>
  <c r="BA24" i="85"/>
  <c r="AY21" i="85"/>
  <c r="BD18" i="85"/>
  <c r="BB15" i="85"/>
  <c r="AZ13" i="85"/>
  <c r="BE9" i="85"/>
  <c r="AR9" i="85"/>
  <c r="AV15" i="85"/>
  <c r="BE78" i="85"/>
  <c r="BD48" i="85"/>
  <c r="AZ43" i="85"/>
  <c r="BB25" i="85"/>
  <c r="BA14" i="85"/>
  <c r="AY11" i="85"/>
  <c r="AV48" i="85"/>
  <c r="AX18" i="85"/>
  <c r="AZ81" i="85"/>
  <c r="AY70" i="85"/>
  <c r="BE58" i="85"/>
  <c r="BE49" i="85"/>
  <c r="BA44" i="85"/>
  <c r="BD38" i="85"/>
  <c r="AZ33" i="85"/>
  <c r="BC26" i="85"/>
  <c r="BD23" i="85"/>
  <c r="BB20" i="85"/>
  <c r="AZ18" i="85"/>
  <c r="BE14" i="85"/>
  <c r="BC11" i="85"/>
  <c r="BA9" i="85"/>
  <c r="V8" i="85"/>
  <c r="AU36" i="85"/>
  <c r="BD66" i="85"/>
  <c r="BC55" i="85"/>
  <c r="BC36" i="85"/>
  <c r="AZ23" i="85"/>
  <c r="BC16" i="85"/>
  <c r="BD8" i="85"/>
  <c r="V81" i="85"/>
  <c r="R81" i="85"/>
  <c r="U80" i="85"/>
  <c r="Q80" i="85"/>
  <c r="T79" i="85"/>
  <c r="P79" i="85"/>
  <c r="S78" i="85"/>
  <c r="V76" i="85"/>
  <c r="R76" i="85"/>
  <c r="U75" i="85"/>
  <c r="Q75" i="85"/>
  <c r="T74" i="85"/>
  <c r="P74" i="85"/>
  <c r="S73" i="85"/>
  <c r="V71" i="85"/>
  <c r="R71" i="85"/>
  <c r="U70" i="85"/>
  <c r="Q70" i="85"/>
  <c r="T69" i="85"/>
  <c r="P69" i="85"/>
  <c r="S68" i="85"/>
  <c r="V66" i="85"/>
  <c r="R66" i="85"/>
  <c r="U65" i="85"/>
  <c r="Q65" i="85"/>
  <c r="T64" i="85"/>
  <c r="P64" i="85"/>
  <c r="S63" i="85"/>
  <c r="V61" i="85"/>
  <c r="R61" i="85"/>
  <c r="U60" i="85"/>
  <c r="Q60" i="85"/>
  <c r="T59" i="85"/>
  <c r="P59" i="85"/>
  <c r="S58" i="85"/>
  <c r="V56" i="85"/>
  <c r="R56" i="85"/>
  <c r="U55" i="85"/>
  <c r="Q55" i="85"/>
  <c r="T54" i="85"/>
  <c r="P54" i="85"/>
  <c r="S53" i="85"/>
  <c r="V51" i="85"/>
  <c r="R51" i="85"/>
  <c r="U50" i="85"/>
  <c r="Q50" i="85"/>
  <c r="T49" i="85"/>
  <c r="P49" i="85"/>
  <c r="S48" i="85"/>
  <c r="V46" i="85"/>
  <c r="R46" i="85"/>
  <c r="U45" i="85"/>
  <c r="Q45" i="85"/>
  <c r="T44" i="85"/>
  <c r="P44" i="85"/>
  <c r="S43" i="85"/>
  <c r="V41" i="85"/>
  <c r="R41" i="85"/>
  <c r="U40" i="85"/>
  <c r="Q40" i="85"/>
  <c r="T39" i="85"/>
  <c r="P39" i="85"/>
  <c r="S38" i="85"/>
  <c r="V36" i="85"/>
  <c r="R36" i="85"/>
  <c r="U35" i="85"/>
  <c r="Q35" i="85"/>
  <c r="T34" i="85"/>
  <c r="P34" i="85"/>
  <c r="S33" i="85"/>
  <c r="V31" i="85"/>
  <c r="R31" i="85"/>
  <c r="U30" i="85"/>
  <c r="Q30" i="85"/>
  <c r="T29" i="85"/>
  <c r="P29" i="85"/>
  <c r="S28" i="85"/>
  <c r="V26" i="85"/>
  <c r="R26" i="85"/>
  <c r="U25" i="85"/>
  <c r="Q25" i="85"/>
  <c r="T24" i="85"/>
  <c r="P24" i="85"/>
  <c r="S23" i="85"/>
  <c r="V21" i="85"/>
  <c r="R21" i="85"/>
  <c r="U20" i="85"/>
  <c r="Q20" i="85"/>
  <c r="T19" i="85"/>
  <c r="P19" i="85"/>
  <c r="S18" i="85"/>
  <c r="V16" i="85"/>
  <c r="R16" i="85"/>
  <c r="U15" i="85"/>
  <c r="Q15" i="85"/>
  <c r="T14" i="85"/>
  <c r="P14" i="85"/>
  <c r="S13" i="85"/>
  <c r="V11" i="85"/>
  <c r="R11" i="85"/>
  <c r="U10" i="85"/>
  <c r="Q10" i="85"/>
  <c r="T9" i="85"/>
  <c r="P9" i="85"/>
  <c r="R8" i="85"/>
  <c r="Q21" i="85"/>
  <c r="T20" i="85"/>
  <c r="P20" i="85"/>
  <c r="S19" i="85"/>
  <c r="V18" i="85"/>
  <c r="R18" i="85"/>
  <c r="Q16" i="85"/>
  <c r="T15" i="85"/>
  <c r="P15" i="85"/>
  <c r="S14" i="85"/>
  <c r="V13" i="85"/>
  <c r="R13" i="85"/>
  <c r="U11" i="85"/>
  <c r="Q11" i="85"/>
  <c r="P10" i="85"/>
  <c r="U8" i="85"/>
  <c r="P68" i="85"/>
  <c r="R65" i="85"/>
  <c r="T63" i="85"/>
  <c r="V60" i="85"/>
  <c r="Q59" i="85"/>
  <c r="S56" i="85"/>
  <c r="U54" i="85"/>
  <c r="P53" i="85"/>
  <c r="V50" i="85"/>
  <c r="Q49" i="85"/>
  <c r="V45" i="85"/>
  <c r="U44" i="85"/>
  <c r="V40" i="85"/>
  <c r="U81" i="85"/>
  <c r="Q81" i="85"/>
  <c r="T80" i="85"/>
  <c r="P80" i="85"/>
  <c r="S79" i="85"/>
  <c r="V78" i="85"/>
  <c r="R78" i="85"/>
  <c r="U76" i="85"/>
  <c r="Q76" i="85"/>
  <c r="T75" i="85"/>
  <c r="P75" i="85"/>
  <c r="S74" i="85"/>
  <c r="V73" i="85"/>
  <c r="R73" i="85"/>
  <c r="U71" i="85"/>
  <c r="Q71" i="85"/>
  <c r="T70" i="85"/>
  <c r="P70" i="85"/>
  <c r="S69" i="85"/>
  <c r="V68" i="85"/>
  <c r="R68" i="85"/>
  <c r="U66" i="85"/>
  <c r="Q66" i="85"/>
  <c r="T65" i="85"/>
  <c r="P65" i="85"/>
  <c r="S64" i="85"/>
  <c r="V63" i="85"/>
  <c r="R63" i="85"/>
  <c r="U61" i="85"/>
  <c r="Q61" i="85"/>
  <c r="T60" i="85"/>
  <c r="P60" i="85"/>
  <c r="S59" i="85"/>
  <c r="V58" i="85"/>
  <c r="R58" i="85"/>
  <c r="U56" i="85"/>
  <c r="Q56" i="85"/>
  <c r="T55" i="85"/>
  <c r="P55" i="85"/>
  <c r="S54" i="85"/>
  <c r="V53" i="85"/>
  <c r="R53" i="85"/>
  <c r="U51" i="85"/>
  <c r="Q51" i="85"/>
  <c r="T50" i="85"/>
  <c r="P50" i="85"/>
  <c r="S49" i="85"/>
  <c r="V48" i="85"/>
  <c r="R48" i="85"/>
  <c r="U46" i="85"/>
  <c r="Q46" i="85"/>
  <c r="T45" i="85"/>
  <c r="P45" i="85"/>
  <c r="S44" i="85"/>
  <c r="V43" i="85"/>
  <c r="R43" i="85"/>
  <c r="U41" i="85"/>
  <c r="Q41" i="85"/>
  <c r="T40" i="85"/>
  <c r="P40" i="85"/>
  <c r="S39" i="85"/>
  <c r="V38" i="85"/>
  <c r="R38" i="85"/>
  <c r="U36" i="85"/>
  <c r="Q36" i="85"/>
  <c r="T35" i="85"/>
  <c r="P35" i="85"/>
  <c r="S34" i="85"/>
  <c r="V33" i="85"/>
  <c r="R33" i="85"/>
  <c r="U31" i="85"/>
  <c r="Q31" i="85"/>
  <c r="T30" i="85"/>
  <c r="P30" i="85"/>
  <c r="S29" i="85"/>
  <c r="V28" i="85"/>
  <c r="R28" i="85"/>
  <c r="U26" i="85"/>
  <c r="Q26" i="85"/>
  <c r="T25" i="85"/>
  <c r="P25" i="85"/>
  <c r="S24" i="85"/>
  <c r="V23" i="85"/>
  <c r="R23" i="85"/>
  <c r="U21" i="85"/>
  <c r="U16" i="85"/>
  <c r="T10" i="85"/>
  <c r="S9" i="85"/>
  <c r="Q8" i="85"/>
  <c r="T68" i="85"/>
  <c r="U64" i="85"/>
  <c r="P63" i="85"/>
  <c r="R60" i="85"/>
  <c r="T58" i="85"/>
  <c r="V55" i="85"/>
  <c r="T53" i="85"/>
  <c r="S41" i="85"/>
  <c r="T38" i="85"/>
  <c r="S36" i="85"/>
  <c r="R35" i="85"/>
  <c r="T81" i="85"/>
  <c r="P81" i="85"/>
  <c r="S80" i="85"/>
  <c r="V79" i="85"/>
  <c r="R79" i="85"/>
  <c r="U78" i="85"/>
  <c r="Q78" i="85"/>
  <c r="T76" i="85"/>
  <c r="P76" i="85"/>
  <c r="S75" i="85"/>
  <c r="V74" i="85"/>
  <c r="R74" i="85"/>
  <c r="U73" i="85"/>
  <c r="Q73" i="85"/>
  <c r="T71" i="85"/>
  <c r="P71" i="85"/>
  <c r="S70" i="85"/>
  <c r="V69" i="85"/>
  <c r="R69" i="85"/>
  <c r="U68" i="85"/>
  <c r="Q68" i="85"/>
  <c r="T66" i="85"/>
  <c r="P66" i="85"/>
  <c r="S65" i="85"/>
  <c r="V64" i="85"/>
  <c r="R64" i="85"/>
  <c r="U63" i="85"/>
  <c r="Q63" i="85"/>
  <c r="T61" i="85"/>
  <c r="P61" i="85"/>
  <c r="S60" i="85"/>
  <c r="V59" i="85"/>
  <c r="R59" i="85"/>
  <c r="U58" i="85"/>
  <c r="Q58" i="85"/>
  <c r="T56" i="85"/>
  <c r="P56" i="85"/>
  <c r="S55" i="85"/>
  <c r="V54" i="85"/>
  <c r="R54" i="85"/>
  <c r="U53" i="85"/>
  <c r="Q53" i="85"/>
  <c r="T51" i="85"/>
  <c r="P51" i="85"/>
  <c r="S50" i="85"/>
  <c r="V49" i="85"/>
  <c r="R49" i="85"/>
  <c r="U48" i="85"/>
  <c r="Q48" i="85"/>
  <c r="T46" i="85"/>
  <c r="P46" i="85"/>
  <c r="S45" i="85"/>
  <c r="V44" i="85"/>
  <c r="R44" i="85"/>
  <c r="U43" i="85"/>
  <c r="Q43" i="85"/>
  <c r="T41" i="85"/>
  <c r="P41" i="85"/>
  <c r="S40" i="85"/>
  <c r="V39" i="85"/>
  <c r="R39" i="85"/>
  <c r="U38" i="85"/>
  <c r="Q38" i="85"/>
  <c r="T36" i="85"/>
  <c r="P36" i="85"/>
  <c r="S35" i="85"/>
  <c r="V34" i="85"/>
  <c r="R34" i="85"/>
  <c r="U33" i="85"/>
  <c r="Q33" i="85"/>
  <c r="T31" i="85"/>
  <c r="P31" i="85"/>
  <c r="S30" i="85"/>
  <c r="V29" i="85"/>
  <c r="R29" i="85"/>
  <c r="U28" i="85"/>
  <c r="Q28" i="85"/>
  <c r="T26" i="85"/>
  <c r="P26" i="85"/>
  <c r="S25" i="85"/>
  <c r="V24" i="85"/>
  <c r="R24" i="85"/>
  <c r="U23" i="85"/>
  <c r="Q23" i="85"/>
  <c r="T21" i="85"/>
  <c r="P21" i="85"/>
  <c r="S20" i="85"/>
  <c r="V19" i="85"/>
  <c r="R19" i="85"/>
  <c r="U18" i="85"/>
  <c r="Q18" i="85"/>
  <c r="T16" i="85"/>
  <c r="P16" i="85"/>
  <c r="S15" i="85"/>
  <c r="V14" i="85"/>
  <c r="R14" i="85"/>
  <c r="U13" i="85"/>
  <c r="Q13" i="85"/>
  <c r="T11" i="85"/>
  <c r="P11" i="85"/>
  <c r="S10" i="85"/>
  <c r="V9" i="85"/>
  <c r="R9" i="85"/>
  <c r="T8" i="85"/>
  <c r="P8" i="85"/>
  <c r="S81" i="85"/>
  <c r="V80" i="85"/>
  <c r="R80" i="85"/>
  <c r="U79" i="85"/>
  <c r="Q79" i="85"/>
  <c r="T78" i="85"/>
  <c r="P78" i="85"/>
  <c r="S76" i="85"/>
  <c r="V75" i="85"/>
  <c r="R75" i="85"/>
  <c r="U74" i="85"/>
  <c r="Q74" i="85"/>
  <c r="T73" i="85"/>
  <c r="P73" i="85"/>
  <c r="S71" i="85"/>
  <c r="V70" i="85"/>
  <c r="R70" i="85"/>
  <c r="U69" i="85"/>
  <c r="Q69" i="85"/>
  <c r="S66" i="85"/>
  <c r="V65" i="85"/>
  <c r="Q64" i="85"/>
  <c r="S61" i="85"/>
  <c r="U59" i="85"/>
  <c r="P58" i="85"/>
  <c r="R55" i="85"/>
  <c r="Q54" i="85"/>
  <c r="S51" i="85"/>
  <c r="R50" i="85"/>
  <c r="U49" i="85"/>
  <c r="T48" i="85"/>
  <c r="P48" i="85"/>
  <c r="S46" i="85"/>
  <c r="R45" i="85"/>
  <c r="Q44" i="85"/>
  <c r="T43" i="85"/>
  <c r="P43" i="85"/>
  <c r="R40" i="85"/>
  <c r="U39" i="85"/>
  <c r="Q39" i="85"/>
  <c r="P38" i="85"/>
  <c r="V35" i="85"/>
  <c r="U34" i="85"/>
  <c r="S31" i="85"/>
  <c r="Q29" i="85"/>
  <c r="V25" i="85"/>
  <c r="T23" i="85"/>
  <c r="R20" i="85"/>
  <c r="P18" i="85"/>
  <c r="U14" i="85"/>
  <c r="S11" i="85"/>
  <c r="Q9" i="85"/>
  <c r="S8" i="85"/>
  <c r="S26" i="85"/>
  <c r="T18" i="85"/>
  <c r="U9" i="85"/>
  <c r="Q34" i="85"/>
  <c r="V30" i="85"/>
  <c r="T28" i="85"/>
  <c r="R25" i="85"/>
  <c r="P23" i="85"/>
  <c r="U19" i="85"/>
  <c r="S16" i="85"/>
  <c r="Q14" i="85"/>
  <c r="V10" i="85"/>
  <c r="U29" i="85"/>
  <c r="V20" i="85"/>
  <c r="P13" i="85"/>
  <c r="T33" i="85"/>
  <c r="R30" i="85"/>
  <c r="P28" i="85"/>
  <c r="U24" i="85"/>
  <c r="S21" i="85"/>
  <c r="Q19" i="85"/>
  <c r="V15" i="85"/>
  <c r="T13" i="85"/>
  <c r="R10" i="85"/>
  <c r="P8" i="95"/>
  <c r="P33" i="85"/>
  <c r="Q24" i="85"/>
  <c r="R15" i="85"/>
  <c r="BL24" i="95"/>
  <c r="BH24" i="95"/>
  <c r="BD24" i="95"/>
  <c r="AZ24" i="95"/>
  <c r="AV24" i="95"/>
  <c r="AR24" i="95"/>
  <c r="AC24" i="95"/>
  <c r="Y24" i="95"/>
  <c r="U24" i="95"/>
  <c r="Q24" i="95"/>
  <c r="M24" i="95"/>
  <c r="G24" i="95"/>
  <c r="C24" i="95"/>
  <c r="BI23" i="95"/>
  <c r="BE23" i="95"/>
  <c r="BA23" i="95"/>
  <c r="AW23" i="95"/>
  <c r="AS23" i="95"/>
  <c r="V23" i="95"/>
  <c r="R23" i="95"/>
  <c r="N23" i="95"/>
  <c r="H23" i="95"/>
  <c r="D23" i="95"/>
  <c r="BJ21" i="95"/>
  <c r="BF21" i="95"/>
  <c r="BB21" i="95"/>
  <c r="AX21" i="95"/>
  <c r="AT21" i="95"/>
  <c r="AA21" i="95"/>
  <c r="W21" i="95"/>
  <c r="S21" i="95"/>
  <c r="O21" i="95"/>
  <c r="I21" i="95"/>
  <c r="E21" i="95"/>
  <c r="BK20" i="95"/>
  <c r="BG20" i="95"/>
  <c r="BC20" i="95"/>
  <c r="AY20" i="95"/>
  <c r="AU20" i="95"/>
  <c r="T20" i="95"/>
  <c r="P20" i="95"/>
  <c r="L20" i="95"/>
  <c r="F20" i="95"/>
  <c r="BL18" i="95"/>
  <c r="BH18" i="95"/>
  <c r="BD18" i="95"/>
  <c r="BK24" i="95"/>
  <c r="BG24" i="95"/>
  <c r="BC24" i="95"/>
  <c r="AY24" i="95"/>
  <c r="AU24" i="95"/>
  <c r="AB24" i="95"/>
  <c r="T24" i="95"/>
  <c r="P24" i="95"/>
  <c r="L24" i="95"/>
  <c r="F24" i="95"/>
  <c r="BL23" i="95"/>
  <c r="BL22" i="95" s="1"/>
  <c r="BH23" i="95"/>
  <c r="BH22" i="95" s="1"/>
  <c r="BD23" i="95"/>
  <c r="BD22" i="95" s="1"/>
  <c r="AZ23" i="95"/>
  <c r="AZ22" i="95" s="1"/>
  <c r="AV23" i="95"/>
  <c r="AV22" i="95" s="1"/>
  <c r="AR23" i="95"/>
  <c r="AR22" i="95" s="1"/>
  <c r="U23" i="95"/>
  <c r="Q23" i="95"/>
  <c r="Q22" i="95" s="1"/>
  <c r="M23" i="95"/>
  <c r="M22" i="95" s="1"/>
  <c r="G23" i="95"/>
  <c r="G22" i="95" s="1"/>
  <c r="C23" i="95"/>
  <c r="BI21" i="95"/>
  <c r="BE21" i="95"/>
  <c r="BA21" i="95"/>
  <c r="AW21" i="95"/>
  <c r="AS21" i="95"/>
  <c r="Z21" i="95"/>
  <c r="V21" i="95"/>
  <c r="R21" i="95"/>
  <c r="N21" i="95"/>
  <c r="H21" i="95"/>
  <c r="D21" i="95"/>
  <c r="BE24" i="95"/>
  <c r="AW24" i="95"/>
  <c r="W24" i="95"/>
  <c r="O24" i="95"/>
  <c r="E24" i="95"/>
  <c r="BG23" i="95"/>
  <c r="AY23" i="95"/>
  <c r="S23" i="95"/>
  <c r="I23" i="95"/>
  <c r="BK21" i="95"/>
  <c r="BC21" i="95"/>
  <c r="AU21" i="95"/>
  <c r="P21" i="95"/>
  <c r="F21" i="95"/>
  <c r="BI20" i="95"/>
  <c r="BD20" i="95"/>
  <c r="AX20" i="95"/>
  <c r="AX19" i="95" s="1"/>
  <c r="AS20" i="95"/>
  <c r="AS19" i="95" s="1"/>
  <c r="S20" i="95"/>
  <c r="N20" i="95"/>
  <c r="I20" i="95"/>
  <c r="D20" i="95"/>
  <c r="BI18" i="95"/>
  <c r="BC18" i="95"/>
  <c r="AY18" i="95"/>
  <c r="AU18" i="95"/>
  <c r="AB18" i="95"/>
  <c r="T18" i="95"/>
  <c r="P18" i="95"/>
  <c r="L18" i="95"/>
  <c r="F18" i="95"/>
  <c r="BL17" i="95"/>
  <c r="BH17" i="95"/>
  <c r="BD17" i="95"/>
  <c r="AZ17" i="95"/>
  <c r="AV17" i="95"/>
  <c r="AR17" i="95"/>
  <c r="AC17" i="95"/>
  <c r="Y17" i="95"/>
  <c r="U17" i="95"/>
  <c r="Q17" i="95"/>
  <c r="M17" i="95"/>
  <c r="G17" i="95"/>
  <c r="C17" i="95"/>
  <c r="F17" i="95"/>
  <c r="BI24" i="95"/>
  <c r="AS24" i="95"/>
  <c r="AA24" i="95"/>
  <c r="S24" i="95"/>
  <c r="BK23" i="95"/>
  <c r="AU23" i="95"/>
  <c r="AU22" i="95" s="1"/>
  <c r="BG21" i="95"/>
  <c r="T21" i="95"/>
  <c r="L21" i="95"/>
  <c r="BL20" i="95"/>
  <c r="BA20" i="95"/>
  <c r="AV20" i="95"/>
  <c r="V20" i="95"/>
  <c r="V19" i="95" s="1"/>
  <c r="Q20" i="95"/>
  <c r="G20" i="95"/>
  <c r="BF18" i="95"/>
  <c r="BA18" i="95"/>
  <c r="AS18" i="95"/>
  <c r="V18" i="95"/>
  <c r="N18" i="95"/>
  <c r="H18" i="95"/>
  <c r="BJ17" i="95"/>
  <c r="BB17" i="95"/>
  <c r="AX17" i="95"/>
  <c r="AT17" i="95"/>
  <c r="AA17" i="95"/>
  <c r="S17" i="95"/>
  <c r="Q21" i="95"/>
  <c r="BE20" i="95"/>
  <c r="AT20" i="95"/>
  <c r="U20" i="95"/>
  <c r="BJ18" i="95"/>
  <c r="AV18" i="95"/>
  <c r="AC18" i="95"/>
  <c r="U18" i="95"/>
  <c r="Q18" i="95"/>
  <c r="G18" i="95"/>
  <c r="BI17" i="95"/>
  <c r="BA17" i="95"/>
  <c r="AS17" i="95"/>
  <c r="V17" i="95"/>
  <c r="N17" i="95"/>
  <c r="H17" i="95"/>
  <c r="BJ24" i="95"/>
  <c r="BB24" i="95"/>
  <c r="AT24" i="95"/>
  <c r="V24" i="95"/>
  <c r="N24" i="95"/>
  <c r="D24" i="95"/>
  <c r="BF23" i="95"/>
  <c r="AX23" i="95"/>
  <c r="P23" i="95"/>
  <c r="F23" i="95"/>
  <c r="BH21" i="95"/>
  <c r="AZ21" i="95"/>
  <c r="AR21" i="95"/>
  <c r="AC21" i="95"/>
  <c r="U21" i="95"/>
  <c r="M21" i="95"/>
  <c r="C21" i="95"/>
  <c r="BH20" i="95"/>
  <c r="BB20" i="95"/>
  <c r="AW20" i="95"/>
  <c r="AR20" i="95"/>
  <c r="R20" i="95"/>
  <c r="M20" i="95"/>
  <c r="H20" i="95"/>
  <c r="C20" i="95"/>
  <c r="BG18" i="95"/>
  <c r="BB18" i="95"/>
  <c r="AX18" i="95"/>
  <c r="AT18" i="95"/>
  <c r="AA18" i="95"/>
  <c r="W18" i="95"/>
  <c r="S18" i="95"/>
  <c r="O18" i="95"/>
  <c r="I18" i="95"/>
  <c r="E18" i="95"/>
  <c r="BK17" i="95"/>
  <c r="BG17" i="95"/>
  <c r="BC17" i="95"/>
  <c r="AY17" i="95"/>
  <c r="AU17" i="95"/>
  <c r="AB17" i="95"/>
  <c r="T17" i="95"/>
  <c r="P17" i="95"/>
  <c r="L17" i="95"/>
  <c r="BA24" i="95"/>
  <c r="I24" i="95"/>
  <c r="BC23" i="95"/>
  <c r="O23" i="95"/>
  <c r="E23" i="95"/>
  <c r="AY21" i="95"/>
  <c r="AB21" i="95"/>
  <c r="BF20" i="95"/>
  <c r="BF19" i="95" s="1"/>
  <c r="BK18" i="95"/>
  <c r="AW18" i="95"/>
  <c r="Z18" i="95"/>
  <c r="R18" i="95"/>
  <c r="D18" i="95"/>
  <c r="BF17" i="95"/>
  <c r="W17" i="95"/>
  <c r="O17" i="95"/>
  <c r="I17" i="95"/>
  <c r="E17" i="95"/>
  <c r="BF24" i="95"/>
  <c r="AX24" i="95"/>
  <c r="Z24" i="95"/>
  <c r="R24" i="95"/>
  <c r="H24" i="95"/>
  <c r="BJ23" i="95"/>
  <c r="BB23" i="95"/>
  <c r="AT23" i="95"/>
  <c r="T23" i="95"/>
  <c r="L23" i="95"/>
  <c r="BL21" i="95"/>
  <c r="BD21" i="95"/>
  <c r="AV21" i="95"/>
  <c r="Y21" i="95"/>
  <c r="G21" i="95"/>
  <c r="BJ20" i="95"/>
  <c r="AZ20" i="95"/>
  <c r="AZ19" i="95" s="1"/>
  <c r="O20" i="95"/>
  <c r="E20" i="95"/>
  <c r="E19" i="95" s="1"/>
  <c r="BE18" i="95"/>
  <c r="AZ18" i="95"/>
  <c r="AR18" i="95"/>
  <c r="Y18" i="95"/>
  <c r="M18" i="95"/>
  <c r="C18" i="95"/>
  <c r="BE17" i="95"/>
  <c r="AW17" i="95"/>
  <c r="Z17" i="95"/>
  <c r="R17" i="95"/>
  <c r="D17" i="95"/>
  <c r="BJ27" i="95"/>
  <c r="BF27" i="95"/>
  <c r="BB27" i="95"/>
  <c r="AX27" i="95"/>
  <c r="AT27" i="95"/>
  <c r="AA27" i="95"/>
  <c r="W27" i="95"/>
  <c r="T27" i="95"/>
  <c r="P27" i="95"/>
  <c r="L27" i="95"/>
  <c r="F27" i="95"/>
  <c r="BL26" i="95"/>
  <c r="BH26" i="95"/>
  <c r="BD26" i="95"/>
  <c r="AZ26" i="95"/>
  <c r="AV26" i="95"/>
  <c r="AR26" i="95"/>
  <c r="U26" i="95"/>
  <c r="Q26" i="95"/>
  <c r="M26" i="95"/>
  <c r="G26" i="95"/>
  <c r="C26" i="95"/>
  <c r="BI16" i="95"/>
  <c r="BE16" i="95"/>
  <c r="BA16" i="95"/>
  <c r="AW16" i="95"/>
  <c r="AS16" i="95"/>
  <c r="V16" i="95"/>
  <c r="R16" i="95"/>
  <c r="N16" i="95"/>
  <c r="H16" i="95"/>
  <c r="D16" i="95"/>
  <c r="BJ14" i="95"/>
  <c r="BF14" i="95"/>
  <c r="BB14" i="95"/>
  <c r="AX14" i="95"/>
  <c r="AT14" i="95"/>
  <c r="AA14" i="95"/>
  <c r="W14" i="95"/>
  <c r="S14" i="95"/>
  <c r="O14" i="95"/>
  <c r="I14" i="95"/>
  <c r="E14" i="95"/>
  <c r="BK13" i="95"/>
  <c r="BG13" i="95"/>
  <c r="BC13" i="95"/>
  <c r="AY13" i="95"/>
  <c r="AU13" i="95"/>
  <c r="AB13" i="95"/>
  <c r="T13" i="95"/>
  <c r="P13" i="95"/>
  <c r="L13" i="95"/>
  <c r="F13" i="95"/>
  <c r="BL12" i="95"/>
  <c r="BH12" i="95"/>
  <c r="BD12" i="95"/>
  <c r="AZ12" i="95"/>
  <c r="AV12" i="95"/>
  <c r="AR12" i="95"/>
  <c r="U12" i="95"/>
  <c r="Q12" i="95"/>
  <c r="M12" i="95"/>
  <c r="G12" i="95"/>
  <c r="C12" i="95"/>
  <c r="BI10" i="95"/>
  <c r="BE10" i="95"/>
  <c r="BA10" i="95"/>
  <c r="AW10" i="95"/>
  <c r="AS10" i="95"/>
  <c r="Z10" i="95"/>
  <c r="V10" i="95"/>
  <c r="R10" i="95"/>
  <c r="N10" i="95"/>
  <c r="H10" i="95"/>
  <c r="D10" i="95"/>
  <c r="BJ9" i="95"/>
  <c r="BF9" i="95"/>
  <c r="BB9" i="95"/>
  <c r="AX9" i="95"/>
  <c r="AT9" i="95"/>
  <c r="AA9" i="95"/>
  <c r="W9" i="95"/>
  <c r="S9" i="95"/>
  <c r="O9" i="95"/>
  <c r="I9" i="95"/>
  <c r="E9" i="95"/>
  <c r="BK8" i="95"/>
  <c r="BG8" i="95"/>
  <c r="BC8" i="95"/>
  <c r="AY8" i="95"/>
  <c r="AU8" i="95"/>
  <c r="T8" i="95"/>
  <c r="L8" i="95"/>
  <c r="F8" i="95"/>
  <c r="BI27" i="95"/>
  <c r="BE27" i="95"/>
  <c r="BA27" i="95"/>
  <c r="AW27" i="95"/>
  <c r="AS27" i="95"/>
  <c r="Z27" i="95"/>
  <c r="S27" i="95"/>
  <c r="O27" i="95"/>
  <c r="I27" i="95"/>
  <c r="E27" i="95"/>
  <c r="BK26" i="95"/>
  <c r="BG26" i="95"/>
  <c r="BC26" i="95"/>
  <c r="AY26" i="95"/>
  <c r="AU26" i="95"/>
  <c r="T26" i="95"/>
  <c r="P26" i="95"/>
  <c r="L26" i="95"/>
  <c r="F26" i="95"/>
  <c r="BL16" i="95"/>
  <c r="BH16" i="95"/>
  <c r="BD16" i="95"/>
  <c r="AZ16" i="95"/>
  <c r="AV16" i="95"/>
  <c r="AR16" i="95"/>
  <c r="U16" i="95"/>
  <c r="U15" i="95" s="1"/>
  <c r="Q16" i="95"/>
  <c r="M16" i="95"/>
  <c r="G16" i="95"/>
  <c r="C16" i="95"/>
  <c r="BI14" i="95"/>
  <c r="BE14" i="95"/>
  <c r="BA14" i="95"/>
  <c r="AW14" i="95"/>
  <c r="AS14" i="95"/>
  <c r="Z14" i="95"/>
  <c r="V14" i="95"/>
  <c r="R14" i="95"/>
  <c r="N14" i="95"/>
  <c r="H14" i="95"/>
  <c r="D14" i="95"/>
  <c r="BJ13" i="95"/>
  <c r="BF13" i="95"/>
  <c r="BB13" i="95"/>
  <c r="AX13" i="95"/>
  <c r="AT13" i="95"/>
  <c r="AA13" i="95"/>
  <c r="W13" i="95"/>
  <c r="S13" i="95"/>
  <c r="O13" i="95"/>
  <c r="I13" i="95"/>
  <c r="E13" i="95"/>
  <c r="BK12" i="95"/>
  <c r="BG12" i="95"/>
  <c r="BC12" i="95"/>
  <c r="AY12" i="95"/>
  <c r="AU12" i="95"/>
  <c r="T12" i="95"/>
  <c r="P12" i="95"/>
  <c r="L12" i="95"/>
  <c r="F12" i="95"/>
  <c r="BL10" i="95"/>
  <c r="BH10" i="95"/>
  <c r="BD10" i="95"/>
  <c r="AZ10" i="95"/>
  <c r="AV10" i="95"/>
  <c r="AR10" i="95"/>
  <c r="AC10" i="95"/>
  <c r="Y10" i="95"/>
  <c r="U10" i="95"/>
  <c r="Q10" i="95"/>
  <c r="M10" i="95"/>
  <c r="G10" i="95"/>
  <c r="C10" i="95"/>
  <c r="BI9" i="95"/>
  <c r="BE9" i="95"/>
  <c r="BA9" i="95"/>
  <c r="AW9" i="95"/>
  <c r="AS9" i="95"/>
  <c r="Z9" i="95"/>
  <c r="V9" i="95"/>
  <c r="R9" i="95"/>
  <c r="N9" i="95"/>
  <c r="H9" i="95"/>
  <c r="D9" i="95"/>
  <c r="BJ8" i="95"/>
  <c r="BF8" i="95"/>
  <c r="BB8" i="95"/>
  <c r="AX8" i="95"/>
  <c r="AT8" i="95"/>
  <c r="S8" i="95"/>
  <c r="O8" i="95"/>
  <c r="I8" i="95"/>
  <c r="E8" i="95"/>
  <c r="BL27" i="95"/>
  <c r="BH27" i="95"/>
  <c r="BD27" i="95"/>
  <c r="AZ27" i="95"/>
  <c r="AV27" i="95"/>
  <c r="AR27" i="95"/>
  <c r="AC27" i="95"/>
  <c r="Y27" i="95"/>
  <c r="V27" i="95"/>
  <c r="R27" i="95"/>
  <c r="N27" i="95"/>
  <c r="H27" i="95"/>
  <c r="D27" i="95"/>
  <c r="BJ26" i="95"/>
  <c r="BJ25" i="95" s="1"/>
  <c r="BF26" i="95"/>
  <c r="BB26" i="95"/>
  <c r="BB25" i="95" s="1"/>
  <c r="AX26" i="95"/>
  <c r="AX25" i="95" s="1"/>
  <c r="AT26" i="95"/>
  <c r="AT25" i="95" s="1"/>
  <c r="S26" i="95"/>
  <c r="O26" i="95"/>
  <c r="I26" i="95"/>
  <c r="E26" i="95"/>
  <c r="BK16" i="95"/>
  <c r="BG16" i="95"/>
  <c r="BC16" i="95"/>
  <c r="AY16" i="95"/>
  <c r="AU16" i="95"/>
  <c r="T16" i="95"/>
  <c r="P16" i="95"/>
  <c r="L16" i="95"/>
  <c r="F16" i="95"/>
  <c r="F15" i="95" s="1"/>
  <c r="BL14" i="95"/>
  <c r="BH14" i="95"/>
  <c r="BD14" i="95"/>
  <c r="AZ14" i="95"/>
  <c r="AV14" i="95"/>
  <c r="AR14" i="95"/>
  <c r="AC14" i="95"/>
  <c r="Y14" i="95"/>
  <c r="U14" i="95"/>
  <c r="Q14" i="95"/>
  <c r="M14" i="95"/>
  <c r="G14" i="95"/>
  <c r="C14" i="95"/>
  <c r="BI13" i="95"/>
  <c r="BE13" i="95"/>
  <c r="BA13" i="95"/>
  <c r="AW13" i="95"/>
  <c r="AS13" i="95"/>
  <c r="Z13" i="95"/>
  <c r="V13" i="95"/>
  <c r="R13" i="95"/>
  <c r="N13" i="95"/>
  <c r="H13" i="95"/>
  <c r="D13" i="95"/>
  <c r="BJ12" i="95"/>
  <c r="BF12" i="95"/>
  <c r="BB12" i="95"/>
  <c r="AX12" i="95"/>
  <c r="AT12" i="95"/>
  <c r="S12" i="95"/>
  <c r="O12" i="95"/>
  <c r="BG27" i="95"/>
  <c r="BI26" i="95"/>
  <c r="AS26" i="95"/>
  <c r="BJ16" i="95"/>
  <c r="AT16" i="95"/>
  <c r="BK14" i="95"/>
  <c r="AU14" i="95"/>
  <c r="AB14" i="95"/>
  <c r="L14" i="95"/>
  <c r="BL13" i="95"/>
  <c r="AV13" i="95"/>
  <c r="Q13" i="95"/>
  <c r="G13" i="95"/>
  <c r="BA12" i="95"/>
  <c r="R12" i="95"/>
  <c r="E12" i="95"/>
  <c r="BG10" i="95"/>
  <c r="AY10" i="95"/>
  <c r="AA10" i="95"/>
  <c r="S10" i="95"/>
  <c r="I10" i="95"/>
  <c r="BK9" i="95"/>
  <c r="BC9" i="95"/>
  <c r="AU9" i="95"/>
  <c r="P9" i="95"/>
  <c r="F9" i="95"/>
  <c r="BH8" i="95"/>
  <c r="AZ8" i="95"/>
  <c r="AR8" i="95"/>
  <c r="U8" i="95"/>
  <c r="M8" i="95"/>
  <c r="C8" i="95"/>
  <c r="BC27" i="95"/>
  <c r="U27" i="95"/>
  <c r="BE26" i="95"/>
  <c r="V26" i="95"/>
  <c r="V25" i="95" s="1"/>
  <c r="BF16" i="95"/>
  <c r="BG14" i="95"/>
  <c r="BH13" i="95"/>
  <c r="AR13" i="95"/>
  <c r="AC13" i="95"/>
  <c r="M13" i="95"/>
  <c r="C13" i="95"/>
  <c r="AW12" i="95"/>
  <c r="N12" i="95"/>
  <c r="D12" i="95"/>
  <c r="BF10" i="95"/>
  <c r="AX10" i="95"/>
  <c r="P10" i="95"/>
  <c r="F10" i="95"/>
  <c r="BH9" i="95"/>
  <c r="AZ9" i="95"/>
  <c r="AR9" i="95"/>
  <c r="AC9" i="95"/>
  <c r="U9" i="95"/>
  <c r="M9" i="95"/>
  <c r="C9" i="95"/>
  <c r="BE8" i="95"/>
  <c r="AW8" i="95"/>
  <c r="R8" i="95"/>
  <c r="H8" i="95"/>
  <c r="AY27" i="95"/>
  <c r="Q27" i="95"/>
  <c r="G27" i="95"/>
  <c r="BA26" i="95"/>
  <c r="R26" i="95"/>
  <c r="H26" i="95"/>
  <c r="BB16" i="95"/>
  <c r="BB15" i="95" s="1"/>
  <c r="S16" i="95"/>
  <c r="I16" i="95"/>
  <c r="BC14" i="95"/>
  <c r="T14" i="95"/>
  <c r="BD13" i="95"/>
  <c r="Y13" i="95"/>
  <c r="BI12" i="95"/>
  <c r="AS12" i="95"/>
  <c r="I12" i="95"/>
  <c r="BK10" i="95"/>
  <c r="BC10" i="95"/>
  <c r="AU10" i="95"/>
  <c r="W10" i="95"/>
  <c r="O10" i="95"/>
  <c r="E10" i="95"/>
  <c r="BG9" i="95"/>
  <c r="AY9" i="95"/>
  <c r="AB9" i="95"/>
  <c r="T9" i="95"/>
  <c r="L9" i="95"/>
  <c r="BL8" i="95"/>
  <c r="BD8" i="95"/>
  <c r="AV8" i="95"/>
  <c r="Q8" i="95"/>
  <c r="G8" i="95"/>
  <c r="C27" i="95"/>
  <c r="E16" i="95"/>
  <c r="BJ10" i="95"/>
  <c r="L10" i="95"/>
  <c r="AV9" i="95"/>
  <c r="Y9" i="95"/>
  <c r="BI8" i="95"/>
  <c r="BK27" i="95"/>
  <c r="AW26" i="95"/>
  <c r="N26" i="95"/>
  <c r="AY14" i="95"/>
  <c r="P14" i="95"/>
  <c r="BE12" i="95"/>
  <c r="V12" i="95"/>
  <c r="BB10" i="95"/>
  <c r="Q9" i="95"/>
  <c r="BA8" i="95"/>
  <c r="D8" i="95"/>
  <c r="AU27" i="95"/>
  <c r="AB27" i="95"/>
  <c r="D26" i="95"/>
  <c r="D25" i="95" s="1"/>
  <c r="F14" i="95"/>
  <c r="AT10" i="95"/>
  <c r="AB10" i="95"/>
  <c r="BL9" i="95"/>
  <c r="AS8" i="95"/>
  <c r="V8" i="95"/>
  <c r="BD9" i="95"/>
  <c r="G9" i="95"/>
  <c r="N8" i="95"/>
  <c r="P7" i="69"/>
  <c r="M27" i="95"/>
  <c r="AX16" i="95"/>
  <c r="AX15" i="95" s="1"/>
  <c r="O16" i="95"/>
  <c r="O15" i="95" s="1"/>
  <c r="AZ13" i="95"/>
  <c r="U13" i="95"/>
  <c r="H12" i="95"/>
  <c r="T10" i="95"/>
  <c r="AJ21" i="88"/>
  <c r="AF21" i="88"/>
  <c r="U21" i="88"/>
  <c r="Q21" i="88"/>
  <c r="F21" i="88"/>
  <c r="AK20" i="88"/>
  <c r="AG20" i="88"/>
  <c r="V20" i="88"/>
  <c r="G20" i="88"/>
  <c r="C20" i="88"/>
  <c r="AH19" i="88"/>
  <c r="W19" i="88"/>
  <c r="S19" i="88"/>
  <c r="H19" i="88"/>
  <c r="D19" i="88"/>
  <c r="AI18" i="88"/>
  <c r="AE18" i="88"/>
  <c r="T18" i="88"/>
  <c r="I18" i="88"/>
  <c r="E18" i="88"/>
  <c r="AJ17" i="88"/>
  <c r="U17" i="88"/>
  <c r="Q17" i="88"/>
  <c r="F17" i="88"/>
  <c r="AK16" i="88"/>
  <c r="AG16" i="88"/>
  <c r="V16" i="88"/>
  <c r="G16" i="88"/>
  <c r="C16" i="88"/>
  <c r="AH15" i="88"/>
  <c r="W15" i="88"/>
  <c r="S15" i="88"/>
  <c r="H15" i="88"/>
  <c r="D15" i="88"/>
  <c r="AI14" i="88"/>
  <c r="AE14" i="88"/>
  <c r="T14" i="88"/>
  <c r="I14" i="88"/>
  <c r="E14" i="88"/>
  <c r="AJ13" i="88"/>
  <c r="U13" i="88"/>
  <c r="Q13" i="88"/>
  <c r="F13" i="88"/>
  <c r="AK12" i="88"/>
  <c r="AG12" i="88"/>
  <c r="V12" i="88"/>
  <c r="G12" i="88"/>
  <c r="C12" i="88"/>
  <c r="AH11" i="88"/>
  <c r="W11" i="88"/>
  <c r="S11" i="88"/>
  <c r="H11" i="88"/>
  <c r="D11" i="88"/>
  <c r="AI10" i="88"/>
  <c r="AE10" i="88"/>
  <c r="T10" i="88"/>
  <c r="I10" i="88"/>
  <c r="E10" i="88"/>
  <c r="AJ9" i="88"/>
  <c r="U9" i="88"/>
  <c r="Q9" i="88"/>
  <c r="F9" i="88"/>
  <c r="AK8" i="88"/>
  <c r="AG8" i="88"/>
  <c r="V8" i="88"/>
  <c r="G8" i="88"/>
  <c r="C8" i="88"/>
  <c r="AH7" i="88"/>
  <c r="W7" i="88"/>
  <c r="S7" i="88"/>
  <c r="H7" i="88"/>
  <c r="D7" i="88"/>
  <c r="BD21" i="69"/>
  <c r="AZ21" i="69"/>
  <c r="BC20" i="69"/>
  <c r="AY20" i="69"/>
  <c r="BB19" i="69"/>
  <c r="BE18" i="69"/>
  <c r="BA18" i="69"/>
  <c r="BD17" i="69"/>
  <c r="AZ17" i="69"/>
  <c r="BC16" i="69"/>
  <c r="AY16" i="69"/>
  <c r="BB15" i="69"/>
  <c r="BE14" i="69"/>
  <c r="BA14" i="69"/>
  <c r="BD13" i="69"/>
  <c r="AZ13" i="69"/>
  <c r="BC12" i="69"/>
  <c r="AY12" i="69"/>
  <c r="BB11" i="69"/>
  <c r="BE10" i="69"/>
  <c r="BA10" i="69"/>
  <c r="BD9" i="69"/>
  <c r="AZ9" i="69"/>
  <c r="BC8" i="69"/>
  <c r="AY8" i="69"/>
  <c r="BB7" i="69"/>
  <c r="AI21" i="88"/>
  <c r="AE21" i="88"/>
  <c r="T21" i="88"/>
  <c r="I21" i="88"/>
  <c r="E21" i="88"/>
  <c r="AJ20" i="88"/>
  <c r="U20" i="88"/>
  <c r="Q20" i="88"/>
  <c r="F20" i="88"/>
  <c r="AK19" i="88"/>
  <c r="AG19" i="88"/>
  <c r="V19" i="88"/>
  <c r="G19" i="88"/>
  <c r="C19" i="88"/>
  <c r="AH18" i="88"/>
  <c r="W18" i="88"/>
  <c r="S18" i="88"/>
  <c r="H18" i="88"/>
  <c r="D18" i="88"/>
  <c r="AI17" i="88"/>
  <c r="AE17" i="88"/>
  <c r="T17" i="88"/>
  <c r="I17" i="88"/>
  <c r="E17" i="88"/>
  <c r="AJ16" i="88"/>
  <c r="AF16" i="88"/>
  <c r="U16" i="88"/>
  <c r="Q16" i="88"/>
  <c r="F16" i="88"/>
  <c r="AK15" i="88"/>
  <c r="AG15" i="88"/>
  <c r="V15" i="88"/>
  <c r="G15" i="88"/>
  <c r="C15" i="88"/>
  <c r="AH14" i="88"/>
  <c r="W14" i="88"/>
  <c r="S14" i="88"/>
  <c r="H14" i="88"/>
  <c r="D14" i="88"/>
  <c r="AI13" i="88"/>
  <c r="AE13" i="88"/>
  <c r="T13" i="88"/>
  <c r="I13" i="88"/>
  <c r="E13" i="88"/>
  <c r="AJ12" i="88"/>
  <c r="U12" i="88"/>
  <c r="Q12" i="88"/>
  <c r="F12" i="88"/>
  <c r="AK11" i="88"/>
  <c r="AG11" i="88"/>
  <c r="V11" i="88"/>
  <c r="G11" i="88"/>
  <c r="C11" i="88"/>
  <c r="AH10" i="88"/>
  <c r="W10" i="88"/>
  <c r="S10" i="88"/>
  <c r="H10" i="88"/>
  <c r="D10" i="88"/>
  <c r="AI9" i="88"/>
  <c r="AE9" i="88"/>
  <c r="T9" i="88"/>
  <c r="I9" i="88"/>
  <c r="E9" i="88"/>
  <c r="AH21" i="88"/>
  <c r="W21" i="88"/>
  <c r="S21" i="88"/>
  <c r="H21" i="88"/>
  <c r="D21" i="88"/>
  <c r="AI20" i="88"/>
  <c r="AE20" i="88"/>
  <c r="T20" i="88"/>
  <c r="I20" i="88"/>
  <c r="E20" i="88"/>
  <c r="AJ19" i="88"/>
  <c r="U19" i="88"/>
  <c r="Q19" i="88"/>
  <c r="F19" i="88"/>
  <c r="AK18" i="88"/>
  <c r="AG18" i="88"/>
  <c r="V18" i="88"/>
  <c r="G18" i="88"/>
  <c r="C18" i="88"/>
  <c r="AH17" i="88"/>
  <c r="W17" i="88"/>
  <c r="S17" i="88"/>
  <c r="H17" i="88"/>
  <c r="D17" i="88"/>
  <c r="AI16" i="88"/>
  <c r="AE16" i="88"/>
  <c r="T16" i="88"/>
  <c r="I16" i="88"/>
  <c r="E16" i="88"/>
  <c r="AJ15" i="88"/>
  <c r="U15" i="88"/>
  <c r="Q15" i="88"/>
  <c r="F15" i="88"/>
  <c r="AK14" i="88"/>
  <c r="AG14" i="88"/>
  <c r="V14" i="88"/>
  <c r="G14" i="88"/>
  <c r="C14" i="88"/>
  <c r="AH13" i="88"/>
  <c r="W13" i="88"/>
  <c r="S13" i="88"/>
  <c r="H13" i="88"/>
  <c r="D13" i="88"/>
  <c r="AI12" i="88"/>
  <c r="AE12" i="88"/>
  <c r="T12" i="88"/>
  <c r="I12" i="88"/>
  <c r="E12" i="88"/>
  <c r="AJ11" i="88"/>
  <c r="U11" i="88"/>
  <c r="Q11" i="88"/>
  <c r="F11" i="88"/>
  <c r="AK10" i="88"/>
  <c r="AG10" i="88"/>
  <c r="V10" i="88"/>
  <c r="G10" i="88"/>
  <c r="C10" i="88"/>
  <c r="AH9" i="88"/>
  <c r="W9" i="88"/>
  <c r="S9" i="88"/>
  <c r="H9" i="88"/>
  <c r="D9" i="88"/>
  <c r="AI8" i="88"/>
  <c r="AE8" i="88"/>
  <c r="T8" i="88"/>
  <c r="I8" i="88"/>
  <c r="E8" i="88"/>
  <c r="AJ7" i="88"/>
  <c r="U7" i="88"/>
  <c r="Q7" i="88"/>
  <c r="F7" i="88"/>
  <c r="BB21" i="69"/>
  <c r="BE20" i="69"/>
  <c r="BA20" i="69"/>
  <c r="BD19" i="69"/>
  <c r="AZ19" i="69"/>
  <c r="BC18" i="69"/>
  <c r="AY18" i="69"/>
  <c r="BB17" i="69"/>
  <c r="BE16" i="69"/>
  <c r="BA16" i="69"/>
  <c r="BD15" i="69"/>
  <c r="AZ15" i="69"/>
  <c r="BC14" i="69"/>
  <c r="AY14" i="69"/>
  <c r="BB13" i="69"/>
  <c r="BE12" i="69"/>
  <c r="BA12" i="69"/>
  <c r="BD11" i="69"/>
  <c r="AZ11" i="69"/>
  <c r="BC10" i="69"/>
  <c r="AY10" i="69"/>
  <c r="BB9" i="69"/>
  <c r="BE8" i="69"/>
  <c r="BA8" i="69"/>
  <c r="BD7" i="69"/>
  <c r="AZ7" i="69"/>
  <c r="AK21" i="88"/>
  <c r="AG21" i="88"/>
  <c r="V21" i="88"/>
  <c r="G21" i="88"/>
  <c r="C21" i="88"/>
  <c r="AH20" i="88"/>
  <c r="W20" i="88"/>
  <c r="S20" i="88"/>
  <c r="H20" i="88"/>
  <c r="D20" i="88"/>
  <c r="AI19" i="88"/>
  <c r="AE19" i="88"/>
  <c r="T19" i="88"/>
  <c r="I19" i="88"/>
  <c r="E19" i="88"/>
  <c r="AJ18" i="88"/>
  <c r="U18" i="88"/>
  <c r="Q18" i="88"/>
  <c r="F18" i="88"/>
  <c r="AK17" i="88"/>
  <c r="AG17" i="88"/>
  <c r="V17" i="88"/>
  <c r="G17" i="88"/>
  <c r="C17" i="88"/>
  <c r="AH16" i="88"/>
  <c r="W16" i="88"/>
  <c r="S16" i="88"/>
  <c r="H16" i="88"/>
  <c r="D16" i="88"/>
  <c r="AI15" i="88"/>
  <c r="AE15" i="88"/>
  <c r="T15" i="88"/>
  <c r="I15" i="88"/>
  <c r="E15" i="88"/>
  <c r="AJ14" i="88"/>
  <c r="U14" i="88"/>
  <c r="Q14" i="88"/>
  <c r="F14" i="88"/>
  <c r="W12" i="88"/>
  <c r="AI11" i="88"/>
  <c r="E11" i="88"/>
  <c r="Q10" i="88"/>
  <c r="V9" i="88"/>
  <c r="AJ8" i="88"/>
  <c r="U8" i="88"/>
  <c r="F8" i="88"/>
  <c r="AG7" i="88"/>
  <c r="C7" i="88"/>
  <c r="BC21" i="69"/>
  <c r="BB20" i="69"/>
  <c r="BA19" i="69"/>
  <c r="AZ18" i="69"/>
  <c r="AY17" i="69"/>
  <c r="BE15" i="69"/>
  <c r="BD14" i="69"/>
  <c r="BC13" i="69"/>
  <c r="BB12" i="69"/>
  <c r="BA11" i="69"/>
  <c r="AZ10" i="69"/>
  <c r="AY9" i="69"/>
  <c r="BE7" i="69"/>
  <c r="AX21" i="69"/>
  <c r="AT21" i="69"/>
  <c r="AW20" i="69"/>
  <c r="AS20" i="69"/>
  <c r="AV19" i="69"/>
  <c r="AR19" i="69"/>
  <c r="AU18" i="69"/>
  <c r="AX17" i="69"/>
  <c r="AT17" i="69"/>
  <c r="AW16" i="69"/>
  <c r="AS16" i="69"/>
  <c r="AV15" i="69"/>
  <c r="AR15" i="69"/>
  <c r="AU14" i="69"/>
  <c r="AX13" i="69"/>
  <c r="AT13" i="69"/>
  <c r="AW12" i="69"/>
  <c r="AS12" i="69"/>
  <c r="AV11" i="69"/>
  <c r="AR11" i="69"/>
  <c r="AU10" i="69"/>
  <c r="AX9" i="69"/>
  <c r="AT9" i="69"/>
  <c r="AW8" i="69"/>
  <c r="AS8" i="69"/>
  <c r="AV7" i="69"/>
  <c r="AR7" i="69"/>
  <c r="AK13" i="88"/>
  <c r="G13" i="88"/>
  <c r="S12" i="88"/>
  <c r="AE11" i="88"/>
  <c r="AJ10" i="88"/>
  <c r="F10" i="88"/>
  <c r="AH8" i="88"/>
  <c r="S8" i="88"/>
  <c r="D8" i="88"/>
  <c r="AE7" i="88"/>
  <c r="I7" i="88"/>
  <c r="BA21" i="69"/>
  <c r="AZ20" i="69"/>
  <c r="AY19" i="69"/>
  <c r="BE17" i="69"/>
  <c r="BD16" i="69"/>
  <c r="BC15" i="69"/>
  <c r="BB14" i="69"/>
  <c r="BA13" i="69"/>
  <c r="AZ12" i="69"/>
  <c r="AY11" i="69"/>
  <c r="BE9" i="69"/>
  <c r="BD8" i="69"/>
  <c r="BC7" i="69"/>
  <c r="AW21" i="69"/>
  <c r="AS21" i="69"/>
  <c r="AV20" i="69"/>
  <c r="AR20" i="69"/>
  <c r="AU19" i="69"/>
  <c r="AX18" i="69"/>
  <c r="AT18" i="69"/>
  <c r="AW17" i="69"/>
  <c r="AS17" i="69"/>
  <c r="AV16" i="69"/>
  <c r="AR16" i="69"/>
  <c r="AU15" i="69"/>
  <c r="AX14" i="69"/>
  <c r="AT14" i="69"/>
  <c r="AW13" i="69"/>
  <c r="AS13" i="69"/>
  <c r="AV12" i="69"/>
  <c r="AR12" i="69"/>
  <c r="AU11" i="69"/>
  <c r="AX10" i="69"/>
  <c r="AT10" i="69"/>
  <c r="AW9" i="69"/>
  <c r="AS9" i="69"/>
  <c r="AV8" i="69"/>
  <c r="AR8" i="69"/>
  <c r="AU7" i="69"/>
  <c r="AG13" i="88"/>
  <c r="C13" i="88"/>
  <c r="H12" i="88"/>
  <c r="T11" i="88"/>
  <c r="AK9" i="88"/>
  <c r="G9" i="88"/>
  <c r="Q8" i="88"/>
  <c r="AK7" i="88"/>
  <c r="V7" i="88"/>
  <c r="G7" i="88"/>
  <c r="AY21" i="69"/>
  <c r="BE19" i="69"/>
  <c r="BD18" i="69"/>
  <c r="BC17" i="69"/>
  <c r="BB16" i="69"/>
  <c r="BA15" i="69"/>
  <c r="AZ14" i="69"/>
  <c r="AY13" i="69"/>
  <c r="BE11" i="69"/>
  <c r="BD10" i="69"/>
  <c r="BC9" i="69"/>
  <c r="BB8" i="69"/>
  <c r="BA7" i="69"/>
  <c r="AV21" i="69"/>
  <c r="AR21" i="69"/>
  <c r="AU20" i="69"/>
  <c r="AX19" i="69"/>
  <c r="AT19" i="69"/>
  <c r="AW18" i="69"/>
  <c r="AS18" i="69"/>
  <c r="AV17" i="69"/>
  <c r="AR17" i="69"/>
  <c r="AU16" i="69"/>
  <c r="AX15" i="69"/>
  <c r="AT15" i="69"/>
  <c r="AW14" i="69"/>
  <c r="AS14" i="69"/>
  <c r="AV13" i="69"/>
  <c r="AR13" i="69"/>
  <c r="AU12" i="69"/>
  <c r="AX11" i="69"/>
  <c r="AT11" i="69"/>
  <c r="AW10" i="69"/>
  <c r="AS10" i="69"/>
  <c r="AV9" i="69"/>
  <c r="AR9" i="69"/>
  <c r="AU8" i="69"/>
  <c r="AX7" i="69"/>
  <c r="AT7" i="69"/>
  <c r="V13" i="88"/>
  <c r="AH12" i="88"/>
  <c r="D12" i="88"/>
  <c r="I11" i="88"/>
  <c r="U10" i="88"/>
  <c r="AG9" i="88"/>
  <c r="C9" i="88"/>
  <c r="W8" i="88"/>
  <c r="H8" i="88"/>
  <c r="AI7" i="88"/>
  <c r="T7" i="88"/>
  <c r="E7" i="88"/>
  <c r="BE21" i="69"/>
  <c r="BD20" i="69"/>
  <c r="BC19" i="69"/>
  <c r="BB18" i="69"/>
  <c r="BA17" i="69"/>
  <c r="AZ16" i="69"/>
  <c r="AY15" i="69"/>
  <c r="BE13" i="69"/>
  <c r="BD12" i="69"/>
  <c r="BC11" i="69"/>
  <c r="BB10" i="69"/>
  <c r="BA9" i="69"/>
  <c r="AZ8" i="69"/>
  <c r="AY7" i="69"/>
  <c r="AU21" i="69"/>
  <c r="AX20" i="69"/>
  <c r="AT20" i="69"/>
  <c r="AW19" i="69"/>
  <c r="AS19" i="69"/>
  <c r="AV18" i="69"/>
  <c r="AR18" i="69"/>
  <c r="AU17" i="69"/>
  <c r="AX16" i="69"/>
  <c r="AT16" i="69"/>
  <c r="AW15" i="69"/>
  <c r="AS15" i="69"/>
  <c r="AV14" i="69"/>
  <c r="AR14" i="69"/>
  <c r="AU13" i="69"/>
  <c r="AX12" i="69"/>
  <c r="AT12" i="69"/>
  <c r="AW11" i="69"/>
  <c r="AS11" i="69"/>
  <c r="AV10" i="69"/>
  <c r="AR10" i="69"/>
  <c r="AU9" i="69"/>
  <c r="AX8" i="69"/>
  <c r="AT8" i="69"/>
  <c r="AW7" i="69"/>
  <c r="AS7" i="69"/>
  <c r="BJ25" i="93"/>
  <c r="BF25" i="93"/>
  <c r="BB25" i="93"/>
  <c r="AX25" i="93"/>
  <c r="AT25" i="93"/>
  <c r="AA25" i="93"/>
  <c r="W25" i="93"/>
  <c r="S25" i="93"/>
  <c r="O25" i="93"/>
  <c r="I25" i="93"/>
  <c r="E25" i="93"/>
  <c r="BK24" i="93"/>
  <c r="BG24" i="93"/>
  <c r="BC24" i="93"/>
  <c r="AY24" i="93"/>
  <c r="AU24" i="93"/>
  <c r="AB24" i="93"/>
  <c r="U24" i="93"/>
  <c r="Q24" i="93"/>
  <c r="M24" i="93"/>
  <c r="G24" i="93"/>
  <c r="C24" i="93"/>
  <c r="BI23" i="93"/>
  <c r="BE23" i="93"/>
  <c r="BA23" i="93"/>
  <c r="AW23" i="93"/>
  <c r="AS23" i="93"/>
  <c r="S23" i="93"/>
  <c r="O23" i="93"/>
  <c r="I23" i="93"/>
  <c r="E23" i="93"/>
  <c r="BI25" i="93"/>
  <c r="BE25" i="93"/>
  <c r="BA25" i="93"/>
  <c r="AW25" i="93"/>
  <c r="AS25" i="93"/>
  <c r="Z25" i="93"/>
  <c r="V25" i="93"/>
  <c r="R25" i="93"/>
  <c r="N25" i="93"/>
  <c r="H25" i="93"/>
  <c r="D25" i="93"/>
  <c r="BJ24" i="93"/>
  <c r="BF24" i="93"/>
  <c r="BB24" i="93"/>
  <c r="AX24" i="93"/>
  <c r="AT24" i="93"/>
  <c r="AA24" i="93"/>
  <c r="W24" i="93"/>
  <c r="T24" i="93"/>
  <c r="P24" i="93"/>
  <c r="L24" i="93"/>
  <c r="F24" i="93"/>
  <c r="BL23" i="93"/>
  <c r="BH23" i="93"/>
  <c r="BD23" i="93"/>
  <c r="AZ23" i="93"/>
  <c r="AV23" i="93"/>
  <c r="AR23" i="93"/>
  <c r="V23" i="93"/>
  <c r="R23" i="93"/>
  <c r="N23" i="93"/>
  <c r="H23" i="93"/>
  <c r="D23" i="93"/>
  <c r="BL25" i="93"/>
  <c r="BH25" i="93"/>
  <c r="BD25" i="93"/>
  <c r="AZ25" i="93"/>
  <c r="AV25" i="93"/>
  <c r="AR25" i="93"/>
  <c r="AC25" i="93"/>
  <c r="Y25" i="93"/>
  <c r="U25" i="93"/>
  <c r="Q25" i="93"/>
  <c r="M25" i="93"/>
  <c r="G25" i="93"/>
  <c r="C25" i="93"/>
  <c r="BI24" i="93"/>
  <c r="BE24" i="93"/>
  <c r="BA24" i="93"/>
  <c r="AW24" i="93"/>
  <c r="AS24" i="93"/>
  <c r="Z24" i="93"/>
  <c r="S24" i="93"/>
  <c r="O24" i="93"/>
  <c r="I24" i="93"/>
  <c r="E24" i="93"/>
  <c r="BK23" i="93"/>
  <c r="BG23" i="93"/>
  <c r="BC23" i="93"/>
  <c r="AY23" i="93"/>
  <c r="AU23" i="93"/>
  <c r="U23" i="93"/>
  <c r="Q23" i="93"/>
  <c r="M23" i="93"/>
  <c r="G23" i="93"/>
  <c r="C23" i="93"/>
  <c r="BC25" i="93"/>
  <c r="BH24" i="93"/>
  <c r="AR24" i="93"/>
  <c r="AC24" i="93"/>
  <c r="N24" i="93"/>
  <c r="D24" i="93"/>
  <c r="AX23" i="93"/>
  <c r="P23" i="93"/>
  <c r="F23" i="93"/>
  <c r="AY25" i="93"/>
  <c r="T25" i="93"/>
  <c r="BD24" i="93"/>
  <c r="Y24" i="93"/>
  <c r="BJ23" i="93"/>
  <c r="AT23" i="93"/>
  <c r="L23" i="93"/>
  <c r="BK25" i="93"/>
  <c r="AU25" i="93"/>
  <c r="AB25" i="93"/>
  <c r="P25" i="93"/>
  <c r="F25" i="93"/>
  <c r="AZ24" i="93"/>
  <c r="V24" i="93"/>
  <c r="BF23" i="93"/>
  <c r="BG25" i="93"/>
  <c r="L25" i="93"/>
  <c r="BL24" i="93"/>
  <c r="AV24" i="93"/>
  <c r="R24" i="93"/>
  <c r="H24" i="93"/>
  <c r="BB23" i="93"/>
  <c r="T23" i="93"/>
  <c r="AK25" i="88"/>
  <c r="AG25" i="88"/>
  <c r="V25" i="88"/>
  <c r="G25" i="88"/>
  <c r="C25" i="88"/>
  <c r="AH24" i="88"/>
  <c r="W24" i="88"/>
  <c r="S24" i="88"/>
  <c r="H24" i="88"/>
  <c r="D24" i="88"/>
  <c r="AI23" i="88"/>
  <c r="AE23" i="88"/>
  <c r="T23" i="88"/>
  <c r="I23" i="88"/>
  <c r="E23" i="88"/>
  <c r="BC25" i="69"/>
  <c r="AY25" i="69"/>
  <c r="BB24" i="69"/>
  <c r="BE23" i="69"/>
  <c r="BA23" i="69"/>
  <c r="AX25" i="69"/>
  <c r="AT25" i="69"/>
  <c r="AW24" i="69"/>
  <c r="AS24" i="69"/>
  <c r="AJ25" i="88"/>
  <c r="U25" i="88"/>
  <c r="Q25" i="88"/>
  <c r="F25" i="88"/>
  <c r="AK24" i="88"/>
  <c r="AG24" i="88"/>
  <c r="V24" i="88"/>
  <c r="G24" i="88"/>
  <c r="C24" i="88"/>
  <c r="AH23" i="88"/>
  <c r="W23" i="88"/>
  <c r="S23" i="88"/>
  <c r="H23" i="88"/>
  <c r="D23" i="88"/>
  <c r="AI25" i="88"/>
  <c r="AE25" i="88"/>
  <c r="T25" i="88"/>
  <c r="I25" i="88"/>
  <c r="E25" i="88"/>
  <c r="AJ24" i="88"/>
  <c r="U24" i="88"/>
  <c r="Q24" i="88"/>
  <c r="F24" i="88"/>
  <c r="AK23" i="88"/>
  <c r="AG23" i="88"/>
  <c r="V23" i="88"/>
  <c r="G23" i="88"/>
  <c r="C23" i="88"/>
  <c r="BE25" i="69"/>
  <c r="BA25" i="69"/>
  <c r="BD24" i="69"/>
  <c r="AZ24" i="69"/>
  <c r="BC23" i="69"/>
  <c r="AY23" i="69"/>
  <c r="AV25" i="69"/>
  <c r="AH25" i="88"/>
  <c r="W25" i="88"/>
  <c r="S25" i="88"/>
  <c r="H25" i="88"/>
  <c r="D25" i="88"/>
  <c r="AI24" i="88"/>
  <c r="AE24" i="88"/>
  <c r="T24" i="88"/>
  <c r="I24" i="88"/>
  <c r="E24" i="88"/>
  <c r="AJ23" i="88"/>
  <c r="U23" i="88"/>
  <c r="Q23" i="88"/>
  <c r="F23" i="88"/>
  <c r="BE24" i="69"/>
  <c r="BD23" i="69"/>
  <c r="AW25" i="69"/>
  <c r="AX24" i="69"/>
  <c r="AR24" i="69"/>
  <c r="AU23" i="69"/>
  <c r="BD25" i="69"/>
  <c r="BC24" i="69"/>
  <c r="BB23" i="69"/>
  <c r="AU25" i="69"/>
  <c r="AV24" i="69"/>
  <c r="AX23" i="69"/>
  <c r="AT23" i="69"/>
  <c r="BB25" i="69"/>
  <c r="BA24" i="69"/>
  <c r="AZ23" i="69"/>
  <c r="AS25" i="69"/>
  <c r="AU24" i="69"/>
  <c r="AW23" i="69"/>
  <c r="AS23" i="69"/>
  <c r="AZ25" i="69"/>
  <c r="AY24" i="69"/>
  <c r="AR25" i="69"/>
  <c r="AT24" i="69"/>
  <c r="AV23" i="69"/>
  <c r="AR23" i="69"/>
  <c r="BL47" i="94"/>
  <c r="BH47" i="94"/>
  <c r="BD47" i="94"/>
  <c r="AZ47" i="94"/>
  <c r="AV47" i="94"/>
  <c r="AR47" i="94"/>
  <c r="AC47" i="94"/>
  <c r="Y47" i="94"/>
  <c r="U47" i="94"/>
  <c r="Q47" i="94"/>
  <c r="M47" i="94"/>
  <c r="G47" i="94"/>
  <c r="C47" i="94"/>
  <c r="BI46" i="94"/>
  <c r="BE46" i="94"/>
  <c r="BA46" i="94"/>
  <c r="AW46" i="94"/>
  <c r="AS46" i="94"/>
  <c r="Z46" i="94"/>
  <c r="V46" i="94"/>
  <c r="R46" i="94"/>
  <c r="N46" i="94"/>
  <c r="BK47" i="94"/>
  <c r="BG47" i="94"/>
  <c r="BC47" i="94"/>
  <c r="AY47" i="94"/>
  <c r="AU47" i="94"/>
  <c r="AB47" i="94"/>
  <c r="X47" i="94"/>
  <c r="T47" i="94"/>
  <c r="P47" i="94"/>
  <c r="L47" i="94"/>
  <c r="F47" i="94"/>
  <c r="BL46" i="94"/>
  <c r="BH46" i="94"/>
  <c r="BE47" i="94"/>
  <c r="AW47" i="94"/>
  <c r="W47" i="94"/>
  <c r="O47" i="94"/>
  <c r="E47" i="94"/>
  <c r="BG46" i="94"/>
  <c r="BB46" i="94"/>
  <c r="AV46" i="94"/>
  <c r="AB46" i="94"/>
  <c r="W46" i="94"/>
  <c r="Q46" i="94"/>
  <c r="L46" i="94"/>
  <c r="H46" i="94"/>
  <c r="D46" i="94"/>
  <c r="BJ45" i="94"/>
  <c r="BF45" i="94"/>
  <c r="BB45" i="94"/>
  <c r="AX45" i="94"/>
  <c r="AT45" i="94"/>
  <c r="AA45" i="94"/>
  <c r="W45" i="94"/>
  <c r="S45" i="94"/>
  <c r="O45" i="94"/>
  <c r="I45" i="94"/>
  <c r="E45" i="94"/>
  <c r="BK44" i="94"/>
  <c r="BG44" i="94"/>
  <c r="BC44" i="94"/>
  <c r="AY44" i="94"/>
  <c r="AU44" i="94"/>
  <c r="AB44" i="94"/>
  <c r="T44" i="94"/>
  <c r="P44" i="94"/>
  <c r="L44" i="94"/>
  <c r="F44" i="94"/>
  <c r="BL43" i="94"/>
  <c r="BH43" i="94"/>
  <c r="BD43" i="94"/>
  <c r="AZ43" i="94"/>
  <c r="AV43" i="94"/>
  <c r="AR43" i="94"/>
  <c r="AC43" i="94"/>
  <c r="Y43" i="94"/>
  <c r="U43" i="94"/>
  <c r="Q43" i="94"/>
  <c r="M43" i="94"/>
  <c r="G43" i="94"/>
  <c r="C43" i="94"/>
  <c r="BI42" i="94"/>
  <c r="BE42" i="94"/>
  <c r="BA42" i="94"/>
  <c r="AW42" i="94"/>
  <c r="AS42" i="94"/>
  <c r="Z42" i="94"/>
  <c r="V42" i="94"/>
  <c r="R42" i="94"/>
  <c r="N42" i="94"/>
  <c r="H42" i="94"/>
  <c r="D42" i="94"/>
  <c r="BJ41" i="94"/>
  <c r="BF41" i="94"/>
  <c r="BB41" i="94"/>
  <c r="AX41" i="94"/>
  <c r="AT41" i="94"/>
  <c r="AA41" i="94"/>
  <c r="W41" i="94"/>
  <c r="S41" i="94"/>
  <c r="O41" i="94"/>
  <c r="I41" i="94"/>
  <c r="E41" i="94"/>
  <c r="BK40" i="94"/>
  <c r="BG40" i="94"/>
  <c r="BC40" i="94"/>
  <c r="AY40" i="94"/>
  <c r="AU40" i="94"/>
  <c r="AB40" i="94"/>
  <c r="X40" i="94"/>
  <c r="T40" i="94"/>
  <c r="P40" i="94"/>
  <c r="L40" i="94"/>
  <c r="F40" i="94"/>
  <c r="BL39" i="94"/>
  <c r="BH39" i="94"/>
  <c r="BD39" i="94"/>
  <c r="AZ39" i="94"/>
  <c r="AV39" i="94"/>
  <c r="AR39" i="94"/>
  <c r="AC39" i="94"/>
  <c r="Y39" i="94"/>
  <c r="U39" i="94"/>
  <c r="Q39" i="94"/>
  <c r="M39" i="94"/>
  <c r="BJ47" i="94"/>
  <c r="BB47" i="94"/>
  <c r="AT47" i="94"/>
  <c r="V47" i="94"/>
  <c r="N47" i="94"/>
  <c r="D47" i="94"/>
  <c r="BF46" i="94"/>
  <c r="AZ46" i="94"/>
  <c r="AU46" i="94"/>
  <c r="AA46" i="94"/>
  <c r="U46" i="94"/>
  <c r="P46" i="94"/>
  <c r="G46" i="94"/>
  <c r="C46" i="94"/>
  <c r="BI45" i="94"/>
  <c r="BE45" i="94"/>
  <c r="BA45" i="94"/>
  <c r="AW45" i="94"/>
  <c r="AS45" i="94"/>
  <c r="Z45" i="94"/>
  <c r="V45" i="94"/>
  <c r="R45" i="94"/>
  <c r="N45" i="94"/>
  <c r="H45" i="94"/>
  <c r="D45" i="94"/>
  <c r="BJ44" i="94"/>
  <c r="BF44" i="94"/>
  <c r="BB44" i="94"/>
  <c r="AX44" i="94"/>
  <c r="AT44" i="94"/>
  <c r="AA44" i="94"/>
  <c r="W44" i="94"/>
  <c r="S44" i="94"/>
  <c r="O44" i="94"/>
  <c r="I44" i="94"/>
  <c r="E44" i="94"/>
  <c r="BK43" i="94"/>
  <c r="BG43" i="94"/>
  <c r="BC43" i="94"/>
  <c r="AY43" i="94"/>
  <c r="AU43" i="94"/>
  <c r="AB43" i="94"/>
  <c r="T43" i="94"/>
  <c r="P43" i="94"/>
  <c r="L43" i="94"/>
  <c r="F43" i="94"/>
  <c r="BL42" i="94"/>
  <c r="BH42" i="94"/>
  <c r="BD42" i="94"/>
  <c r="AZ42" i="94"/>
  <c r="AV42" i="94"/>
  <c r="AR42" i="94"/>
  <c r="AC42" i="94"/>
  <c r="Y42" i="94"/>
  <c r="U42" i="94"/>
  <c r="Q42" i="94"/>
  <c r="M42" i="94"/>
  <c r="G42" i="94"/>
  <c r="C42" i="94"/>
  <c r="BI41" i="94"/>
  <c r="BE41" i="94"/>
  <c r="BA41" i="94"/>
  <c r="AW41" i="94"/>
  <c r="AS41" i="94"/>
  <c r="Z41" i="94"/>
  <c r="V41" i="94"/>
  <c r="R41" i="94"/>
  <c r="N41" i="94"/>
  <c r="H41" i="94"/>
  <c r="D41" i="94"/>
  <c r="BJ40" i="94"/>
  <c r="BF40" i="94"/>
  <c r="BB40" i="94"/>
  <c r="AX40" i="94"/>
  <c r="AT40" i="94"/>
  <c r="AA40" i="94"/>
  <c r="W40" i="94"/>
  <c r="S40" i="94"/>
  <c r="O40" i="94"/>
  <c r="I40" i="94"/>
  <c r="E40" i="94"/>
  <c r="BK39" i="94"/>
  <c r="BG39" i="94"/>
  <c r="BC39" i="94"/>
  <c r="AY39" i="94"/>
  <c r="AU39" i="94"/>
  <c r="AB39" i="94"/>
  <c r="T39" i="94"/>
  <c r="P39" i="94"/>
  <c r="L39" i="94"/>
  <c r="F39" i="94"/>
  <c r="BL38" i="94"/>
  <c r="BH38" i="94"/>
  <c r="BD38" i="94"/>
  <c r="AZ38" i="94"/>
  <c r="AV38" i="94"/>
  <c r="AR38" i="94"/>
  <c r="AC38" i="94"/>
  <c r="Y38" i="94"/>
  <c r="U38" i="94"/>
  <c r="BI47" i="94"/>
  <c r="BA47" i="94"/>
  <c r="AS47" i="94"/>
  <c r="AA47" i="94"/>
  <c r="S47" i="94"/>
  <c r="I47" i="94"/>
  <c r="BK46" i="94"/>
  <c r="BD46" i="94"/>
  <c r="AY46" i="94"/>
  <c r="AT46" i="94"/>
  <c r="Y46" i="94"/>
  <c r="T46" i="94"/>
  <c r="O46" i="94"/>
  <c r="F46" i="94"/>
  <c r="BL45" i="94"/>
  <c r="BH45" i="94"/>
  <c r="BD45" i="94"/>
  <c r="AZ45" i="94"/>
  <c r="AV45" i="94"/>
  <c r="AR45" i="94"/>
  <c r="AC45" i="94"/>
  <c r="Y45" i="94"/>
  <c r="U45" i="94"/>
  <c r="Q45" i="94"/>
  <c r="M45" i="94"/>
  <c r="G45" i="94"/>
  <c r="C45" i="94"/>
  <c r="BI44" i="94"/>
  <c r="BE44" i="94"/>
  <c r="BA44" i="94"/>
  <c r="AW44" i="94"/>
  <c r="AS44" i="94"/>
  <c r="Z44" i="94"/>
  <c r="V44" i="94"/>
  <c r="R44" i="94"/>
  <c r="N44" i="94"/>
  <c r="H44" i="94"/>
  <c r="D44" i="94"/>
  <c r="BJ43" i="94"/>
  <c r="BF43" i="94"/>
  <c r="BB43" i="94"/>
  <c r="AX43" i="94"/>
  <c r="AT43" i="94"/>
  <c r="AA43" i="94"/>
  <c r="W43" i="94"/>
  <c r="S43" i="94"/>
  <c r="O43" i="94"/>
  <c r="I43" i="94"/>
  <c r="E43" i="94"/>
  <c r="BK42" i="94"/>
  <c r="BG42" i="94"/>
  <c r="BC42" i="94"/>
  <c r="AY42" i="94"/>
  <c r="AU42" i="94"/>
  <c r="AB42" i="94"/>
  <c r="T42" i="94"/>
  <c r="P42" i="94"/>
  <c r="L42" i="94"/>
  <c r="F42" i="94"/>
  <c r="BL41" i="94"/>
  <c r="BH41" i="94"/>
  <c r="BD41" i="94"/>
  <c r="AZ41" i="94"/>
  <c r="AV41" i="94"/>
  <c r="AR41" i="94"/>
  <c r="AC41" i="94"/>
  <c r="Y41" i="94"/>
  <c r="U41" i="94"/>
  <c r="Q41" i="94"/>
  <c r="M41" i="94"/>
  <c r="G41" i="94"/>
  <c r="C41" i="94"/>
  <c r="BI40" i="94"/>
  <c r="BE40" i="94"/>
  <c r="BA40" i="94"/>
  <c r="AW40" i="94"/>
  <c r="AS40" i="94"/>
  <c r="Z40" i="94"/>
  <c r="V40" i="94"/>
  <c r="R40" i="94"/>
  <c r="N40" i="94"/>
  <c r="H40" i="94"/>
  <c r="D40" i="94"/>
  <c r="BJ39" i="94"/>
  <c r="BF39" i="94"/>
  <c r="BB39" i="94"/>
  <c r="AX39" i="94"/>
  <c r="AT39" i="94"/>
  <c r="AA39" i="94"/>
  <c r="W39" i="94"/>
  <c r="S39" i="94"/>
  <c r="O39" i="94"/>
  <c r="I39" i="94"/>
  <c r="E39" i="94"/>
  <c r="BK38" i="94"/>
  <c r="BG38" i="94"/>
  <c r="BC38" i="94"/>
  <c r="AY38" i="94"/>
  <c r="AU38" i="94"/>
  <c r="AB38" i="94"/>
  <c r="T38" i="94"/>
  <c r="P38" i="94"/>
  <c r="L38" i="94"/>
  <c r="F38" i="94"/>
  <c r="BL37" i="94"/>
  <c r="BH37" i="94"/>
  <c r="BD37" i="94"/>
  <c r="R47" i="94"/>
  <c r="BC46" i="94"/>
  <c r="S46" i="94"/>
  <c r="E46" i="94"/>
  <c r="AY45" i="94"/>
  <c r="P45" i="94"/>
  <c r="F45" i="94"/>
  <c r="AZ44" i="94"/>
  <c r="U44" i="94"/>
  <c r="BE43" i="94"/>
  <c r="V43" i="94"/>
  <c r="BF42" i="94"/>
  <c r="W42" i="94"/>
  <c r="BG41" i="94"/>
  <c r="BH40" i="94"/>
  <c r="AR40" i="94"/>
  <c r="AC40" i="94"/>
  <c r="M40" i="94"/>
  <c r="C40" i="94"/>
  <c r="AW39" i="94"/>
  <c r="N39" i="94"/>
  <c r="H39" i="94"/>
  <c r="BJ38" i="94"/>
  <c r="BB38" i="94"/>
  <c r="AT38" i="94"/>
  <c r="V38" i="94"/>
  <c r="O38" i="94"/>
  <c r="E38" i="94"/>
  <c r="BJ37" i="94"/>
  <c r="BE37" i="94"/>
  <c r="AZ37" i="94"/>
  <c r="AV37" i="94"/>
  <c r="AR37" i="94"/>
  <c r="AC37" i="94"/>
  <c r="Y37" i="94"/>
  <c r="U37" i="94"/>
  <c r="Q37" i="94"/>
  <c r="M37" i="94"/>
  <c r="G37" i="94"/>
  <c r="C37" i="94"/>
  <c r="BI36" i="94"/>
  <c r="BE36" i="94"/>
  <c r="BA36" i="94"/>
  <c r="AW36" i="94"/>
  <c r="AS36" i="94"/>
  <c r="V36" i="94"/>
  <c r="R36" i="94"/>
  <c r="N36" i="94"/>
  <c r="H36" i="94"/>
  <c r="D36" i="94"/>
  <c r="BJ34" i="94"/>
  <c r="BF34" i="94"/>
  <c r="BB34" i="94"/>
  <c r="AX34" i="94"/>
  <c r="AT34" i="94"/>
  <c r="AA34" i="94"/>
  <c r="W34" i="94"/>
  <c r="S34" i="94"/>
  <c r="O34" i="94"/>
  <c r="I34" i="94"/>
  <c r="E34" i="94"/>
  <c r="BK33" i="94"/>
  <c r="BG33" i="94"/>
  <c r="BC33" i="94"/>
  <c r="AY33" i="94"/>
  <c r="AU33" i="94"/>
  <c r="AB33" i="94"/>
  <c r="T33" i="94"/>
  <c r="P33" i="94"/>
  <c r="L33" i="94"/>
  <c r="F33" i="94"/>
  <c r="BL32" i="94"/>
  <c r="BH32" i="94"/>
  <c r="BD32" i="94"/>
  <c r="AZ32" i="94"/>
  <c r="AV32" i="94"/>
  <c r="AR32" i="94"/>
  <c r="AC32" i="94"/>
  <c r="Y32" i="94"/>
  <c r="U32" i="94"/>
  <c r="Q32" i="94"/>
  <c r="M32" i="94"/>
  <c r="G32" i="94"/>
  <c r="C32" i="94"/>
  <c r="BI31" i="94"/>
  <c r="BE31" i="94"/>
  <c r="BA31" i="94"/>
  <c r="AW31" i="94"/>
  <c r="AS31" i="94"/>
  <c r="Z31" i="94"/>
  <c r="V31" i="94"/>
  <c r="R31" i="94"/>
  <c r="N31" i="94"/>
  <c r="H31" i="94"/>
  <c r="D31" i="94"/>
  <c r="BJ30" i="94"/>
  <c r="BF30" i="94"/>
  <c r="BB30" i="94"/>
  <c r="AX30" i="94"/>
  <c r="AT30" i="94"/>
  <c r="AA30" i="94"/>
  <c r="W30" i="94"/>
  <c r="S30" i="94"/>
  <c r="O30" i="94"/>
  <c r="I30" i="94"/>
  <c r="AX46" i="94"/>
  <c r="M46" i="94"/>
  <c r="BK45" i="94"/>
  <c r="AU45" i="94"/>
  <c r="AB45" i="94"/>
  <c r="L45" i="94"/>
  <c r="BL44" i="94"/>
  <c r="AV44" i="94"/>
  <c r="Q44" i="94"/>
  <c r="G44" i="94"/>
  <c r="BA43" i="94"/>
  <c r="R43" i="94"/>
  <c r="H43" i="94"/>
  <c r="BB42" i="94"/>
  <c r="S42" i="94"/>
  <c r="I42" i="94"/>
  <c r="BC41" i="94"/>
  <c r="T41" i="94"/>
  <c r="BD40" i="94"/>
  <c r="Y40" i="94"/>
  <c r="BI39" i="94"/>
  <c r="AS39" i="94"/>
  <c r="Z39" i="94"/>
  <c r="G39" i="94"/>
  <c r="BI38" i="94"/>
  <c r="BA38" i="94"/>
  <c r="AS38" i="94"/>
  <c r="AA38" i="94"/>
  <c r="S38" i="94"/>
  <c r="N38" i="94"/>
  <c r="I38" i="94"/>
  <c r="D38" i="94"/>
  <c r="BI37" i="94"/>
  <c r="BC37" i="94"/>
  <c r="AY37" i="94"/>
  <c r="AU37" i="94"/>
  <c r="AB37" i="94"/>
  <c r="T37" i="94"/>
  <c r="P37" i="94"/>
  <c r="L37" i="94"/>
  <c r="F37" i="94"/>
  <c r="BL36" i="94"/>
  <c r="BH36" i="94"/>
  <c r="BD36" i="94"/>
  <c r="AZ36" i="94"/>
  <c r="AV36" i="94"/>
  <c r="AR36" i="94"/>
  <c r="U36" i="94"/>
  <c r="Q36" i="94"/>
  <c r="M36" i="94"/>
  <c r="G36" i="94"/>
  <c r="C36" i="94"/>
  <c r="BI34" i="94"/>
  <c r="BE34" i="94"/>
  <c r="BA34" i="94"/>
  <c r="AW34" i="94"/>
  <c r="AS34" i="94"/>
  <c r="Z34" i="94"/>
  <c r="V34" i="94"/>
  <c r="R34" i="94"/>
  <c r="N34" i="94"/>
  <c r="H34" i="94"/>
  <c r="D34" i="94"/>
  <c r="BJ33" i="94"/>
  <c r="BF33" i="94"/>
  <c r="BB33" i="94"/>
  <c r="AX33" i="94"/>
  <c r="AT33" i="94"/>
  <c r="AA33" i="94"/>
  <c r="W33" i="94"/>
  <c r="S33" i="94"/>
  <c r="O33" i="94"/>
  <c r="I33" i="94"/>
  <c r="E33" i="94"/>
  <c r="BK32" i="94"/>
  <c r="BG32" i="94"/>
  <c r="BC32" i="94"/>
  <c r="AY32" i="94"/>
  <c r="AU32" i="94"/>
  <c r="AB32" i="94"/>
  <c r="T32" i="94"/>
  <c r="P32" i="94"/>
  <c r="L32" i="94"/>
  <c r="F32" i="94"/>
  <c r="BL31" i="94"/>
  <c r="BH31" i="94"/>
  <c r="BD31" i="94"/>
  <c r="AZ31" i="94"/>
  <c r="AV31" i="94"/>
  <c r="AR31" i="94"/>
  <c r="AC31" i="94"/>
  <c r="Y31" i="94"/>
  <c r="U31" i="94"/>
  <c r="Q31" i="94"/>
  <c r="M31" i="94"/>
  <c r="G31" i="94"/>
  <c r="C31" i="94"/>
  <c r="BI30" i="94"/>
  <c r="BE30" i="94"/>
  <c r="BA30" i="94"/>
  <c r="AW30" i="94"/>
  <c r="AS30" i="94"/>
  <c r="Z30" i="94"/>
  <c r="V30" i="94"/>
  <c r="R30" i="94"/>
  <c r="N30" i="94"/>
  <c r="H30" i="94"/>
  <c r="D30" i="94"/>
  <c r="BJ29" i="94"/>
  <c r="BF29" i="94"/>
  <c r="BB29" i="94"/>
  <c r="AX29" i="94"/>
  <c r="AT29" i="94"/>
  <c r="AA29" i="94"/>
  <c r="W29" i="94"/>
  <c r="S29" i="94"/>
  <c r="O29" i="94"/>
  <c r="I29" i="94"/>
  <c r="E29" i="94"/>
  <c r="BK28" i="94"/>
  <c r="BG28" i="94"/>
  <c r="BC28" i="94"/>
  <c r="AY28" i="94"/>
  <c r="AU28" i="94"/>
  <c r="AB28" i="94"/>
  <c r="T28" i="94"/>
  <c r="P28" i="94"/>
  <c r="L28" i="94"/>
  <c r="F28" i="94"/>
  <c r="BL27" i="94"/>
  <c r="BF47" i="94"/>
  <c r="H47" i="94"/>
  <c r="AR46" i="94"/>
  <c r="AC46" i="94"/>
  <c r="BG45" i="94"/>
  <c r="BH44" i="94"/>
  <c r="AR44" i="94"/>
  <c r="AC44" i="94"/>
  <c r="M44" i="94"/>
  <c r="C44" i="94"/>
  <c r="AW43" i="94"/>
  <c r="N43" i="94"/>
  <c r="D43" i="94"/>
  <c r="AX42" i="94"/>
  <c r="O42" i="94"/>
  <c r="E42" i="94"/>
  <c r="AY41" i="94"/>
  <c r="P41" i="94"/>
  <c r="F41" i="94"/>
  <c r="AZ40" i="94"/>
  <c r="U40" i="94"/>
  <c r="BE39" i="94"/>
  <c r="V39" i="94"/>
  <c r="D39" i="94"/>
  <c r="BF38" i="94"/>
  <c r="AX38" i="94"/>
  <c r="Z38" i="94"/>
  <c r="R38" i="94"/>
  <c r="M38" i="94"/>
  <c r="H38" i="94"/>
  <c r="C38" i="94"/>
  <c r="BG37" i="94"/>
  <c r="BB37" i="94"/>
  <c r="AX37" i="94"/>
  <c r="AT37" i="94"/>
  <c r="AA37" i="94"/>
  <c r="W37" i="94"/>
  <c r="S37" i="94"/>
  <c r="O37" i="94"/>
  <c r="I37" i="94"/>
  <c r="E37" i="94"/>
  <c r="BK36" i="94"/>
  <c r="BG36" i="94"/>
  <c r="BC36" i="94"/>
  <c r="AY36" i="94"/>
  <c r="AU36" i="94"/>
  <c r="T36" i="94"/>
  <c r="P36" i="94"/>
  <c r="L36" i="94"/>
  <c r="F36" i="94"/>
  <c r="BL34" i="94"/>
  <c r="BH34" i="94"/>
  <c r="BD34" i="94"/>
  <c r="AZ34" i="94"/>
  <c r="AV34" i="94"/>
  <c r="AR34" i="94"/>
  <c r="AC34" i="94"/>
  <c r="Y34" i="94"/>
  <c r="U34" i="94"/>
  <c r="Q34" i="94"/>
  <c r="M34" i="94"/>
  <c r="G34" i="94"/>
  <c r="C34" i="94"/>
  <c r="BI33" i="94"/>
  <c r="BE33" i="94"/>
  <c r="BA33" i="94"/>
  <c r="AW33" i="94"/>
  <c r="AS33" i="94"/>
  <c r="Z33" i="94"/>
  <c r="V33" i="94"/>
  <c r="R33" i="94"/>
  <c r="N33" i="94"/>
  <c r="H33" i="94"/>
  <c r="D33" i="94"/>
  <c r="BJ32" i="94"/>
  <c r="BF32" i="94"/>
  <c r="BB32" i="94"/>
  <c r="AX32" i="94"/>
  <c r="AT32" i="94"/>
  <c r="AA32" i="94"/>
  <c r="W32" i="94"/>
  <c r="S32" i="94"/>
  <c r="O32" i="94"/>
  <c r="I32" i="94"/>
  <c r="E32" i="94"/>
  <c r="BK31" i="94"/>
  <c r="BG31" i="94"/>
  <c r="BC31" i="94"/>
  <c r="AY31" i="94"/>
  <c r="AU31" i="94"/>
  <c r="AB31" i="94"/>
  <c r="T31" i="94"/>
  <c r="P31" i="94"/>
  <c r="L31" i="94"/>
  <c r="F31" i="94"/>
  <c r="BL30" i="94"/>
  <c r="BH30" i="94"/>
  <c r="BD30" i="94"/>
  <c r="AZ30" i="94"/>
  <c r="AV30" i="94"/>
  <c r="AR30" i="94"/>
  <c r="AC30" i="94"/>
  <c r="Y30" i="94"/>
  <c r="U30" i="94"/>
  <c r="Q30" i="94"/>
  <c r="M30" i="94"/>
  <c r="G30" i="94"/>
  <c r="C30" i="94"/>
  <c r="BI29" i="94"/>
  <c r="BE29" i="94"/>
  <c r="BA29" i="94"/>
  <c r="AW29" i="94"/>
  <c r="AS29" i="94"/>
  <c r="Z29" i="94"/>
  <c r="V29" i="94"/>
  <c r="R29" i="94"/>
  <c r="N29" i="94"/>
  <c r="H29" i="94"/>
  <c r="D29" i="94"/>
  <c r="BJ28" i="94"/>
  <c r="BF28" i="94"/>
  <c r="BB28" i="94"/>
  <c r="AX28" i="94"/>
  <c r="AT28" i="94"/>
  <c r="AA28" i="94"/>
  <c r="W28" i="94"/>
  <c r="BC45" i="94"/>
  <c r="T45" i="94"/>
  <c r="BI43" i="94"/>
  <c r="AT42" i="94"/>
  <c r="AA42" i="94"/>
  <c r="L41" i="94"/>
  <c r="BA39" i="94"/>
  <c r="R39" i="94"/>
  <c r="AW38" i="94"/>
  <c r="W38" i="94"/>
  <c r="G38" i="94"/>
  <c r="AW37" i="94"/>
  <c r="N37" i="94"/>
  <c r="D37" i="94"/>
  <c r="AX36" i="94"/>
  <c r="O36" i="94"/>
  <c r="E36" i="94"/>
  <c r="AY34" i="94"/>
  <c r="P34" i="94"/>
  <c r="F34" i="94"/>
  <c r="AZ33" i="94"/>
  <c r="U33" i="94"/>
  <c r="BE32" i="94"/>
  <c r="V32" i="94"/>
  <c r="BF31" i="94"/>
  <c r="W31" i="94"/>
  <c r="BG30" i="94"/>
  <c r="X30" i="94"/>
  <c r="BL29" i="94"/>
  <c r="BD29" i="94"/>
  <c r="AV29" i="94"/>
  <c r="Y29" i="94"/>
  <c r="Q29" i="94"/>
  <c r="G29" i="94"/>
  <c r="BI28" i="94"/>
  <c r="BA28" i="94"/>
  <c r="AS28" i="94"/>
  <c r="V28" i="94"/>
  <c r="Q28" i="94"/>
  <c r="G28" i="94"/>
  <c r="BK27" i="94"/>
  <c r="BG27" i="94"/>
  <c r="BC27" i="94"/>
  <c r="AY27" i="94"/>
  <c r="AU27" i="94"/>
  <c r="AB27" i="94"/>
  <c r="T27" i="94"/>
  <c r="P27" i="94"/>
  <c r="L27" i="94"/>
  <c r="F27" i="94"/>
  <c r="BL26" i="94"/>
  <c r="BH26" i="94"/>
  <c r="BD26" i="94"/>
  <c r="AZ26" i="94"/>
  <c r="AV26" i="94"/>
  <c r="AR26" i="94"/>
  <c r="AC26" i="94"/>
  <c r="Y26" i="94"/>
  <c r="U26" i="94"/>
  <c r="Q26" i="94"/>
  <c r="M26" i="94"/>
  <c r="G26" i="94"/>
  <c r="C26" i="94"/>
  <c r="BI25" i="94"/>
  <c r="BE25" i="94"/>
  <c r="BA25" i="94"/>
  <c r="AW25" i="94"/>
  <c r="AS25" i="94"/>
  <c r="Z25" i="94"/>
  <c r="V25" i="94"/>
  <c r="R25" i="94"/>
  <c r="N25" i="94"/>
  <c r="H25" i="94"/>
  <c r="D25" i="94"/>
  <c r="BJ24" i="94"/>
  <c r="BF24" i="94"/>
  <c r="BB24" i="94"/>
  <c r="AX24" i="94"/>
  <c r="AT24" i="94"/>
  <c r="S24" i="94"/>
  <c r="O24" i="94"/>
  <c r="I24" i="94"/>
  <c r="E24" i="94"/>
  <c r="BK22" i="94"/>
  <c r="BG22" i="94"/>
  <c r="BC22" i="94"/>
  <c r="AY22" i="94"/>
  <c r="AU22" i="94"/>
  <c r="AB22" i="94"/>
  <c r="X22" i="94"/>
  <c r="T22" i="94"/>
  <c r="P22" i="94"/>
  <c r="L22" i="94"/>
  <c r="F22" i="94"/>
  <c r="BL21" i="94"/>
  <c r="BH21" i="94"/>
  <c r="BD21" i="94"/>
  <c r="AZ21" i="94"/>
  <c r="AV21" i="94"/>
  <c r="AR21" i="94"/>
  <c r="AC21" i="94"/>
  <c r="Y21" i="94"/>
  <c r="U21" i="94"/>
  <c r="Q21" i="94"/>
  <c r="M21" i="94"/>
  <c r="G21" i="94"/>
  <c r="C21" i="94"/>
  <c r="BI20" i="94"/>
  <c r="BE20" i="94"/>
  <c r="BA20" i="94"/>
  <c r="AW20" i="94"/>
  <c r="AS20" i="94"/>
  <c r="Z20" i="94"/>
  <c r="V20" i="94"/>
  <c r="R20" i="94"/>
  <c r="N20" i="94"/>
  <c r="H20" i="94"/>
  <c r="D20" i="94"/>
  <c r="BJ19" i="94"/>
  <c r="BF19" i="94"/>
  <c r="BB19" i="94"/>
  <c r="AX19" i="94"/>
  <c r="AT19" i="94"/>
  <c r="AA19" i="94"/>
  <c r="W19" i="94"/>
  <c r="S19" i="94"/>
  <c r="O19" i="94"/>
  <c r="I19" i="94"/>
  <c r="E19" i="94"/>
  <c r="BK18" i="94"/>
  <c r="BG18" i="94"/>
  <c r="BC18" i="94"/>
  <c r="AY18" i="94"/>
  <c r="AU18" i="94"/>
  <c r="AB18" i="94"/>
  <c r="T18" i="94"/>
  <c r="P18" i="94"/>
  <c r="L18" i="94"/>
  <c r="AX47" i="94"/>
  <c r="Z47" i="94"/>
  <c r="AS43" i="94"/>
  <c r="Z43" i="94"/>
  <c r="BL40" i="94"/>
  <c r="Q38" i="94"/>
  <c r="BK37" i="94"/>
  <c r="AS37" i="94"/>
  <c r="Z37" i="94"/>
  <c r="BJ36" i="94"/>
  <c r="AT36" i="94"/>
  <c r="BK34" i="94"/>
  <c r="AU34" i="94"/>
  <c r="AB34" i="94"/>
  <c r="L34" i="94"/>
  <c r="BL33" i="94"/>
  <c r="AV33" i="94"/>
  <c r="Q33" i="94"/>
  <c r="G33" i="94"/>
  <c r="BA32" i="94"/>
  <c r="R32" i="94"/>
  <c r="H32" i="94"/>
  <c r="BB31" i="94"/>
  <c r="S31" i="94"/>
  <c r="I31" i="94"/>
  <c r="BC30" i="94"/>
  <c r="T30" i="94"/>
  <c r="BK29" i="94"/>
  <c r="BC29" i="94"/>
  <c r="AU29" i="94"/>
  <c r="X29" i="94"/>
  <c r="P29" i="94"/>
  <c r="F29" i="94"/>
  <c r="BH28" i="94"/>
  <c r="AZ28" i="94"/>
  <c r="AR28" i="94"/>
  <c r="AC28" i="94"/>
  <c r="U28" i="94"/>
  <c r="O28" i="94"/>
  <c r="E28" i="94"/>
  <c r="BJ27" i="94"/>
  <c r="BF27" i="94"/>
  <c r="BB27" i="94"/>
  <c r="AX27" i="94"/>
  <c r="AT27" i="94"/>
  <c r="AA27" i="94"/>
  <c r="W27" i="94"/>
  <c r="S27" i="94"/>
  <c r="O27" i="94"/>
  <c r="I27" i="94"/>
  <c r="E27" i="94"/>
  <c r="BK26" i="94"/>
  <c r="BG26" i="94"/>
  <c r="BC26" i="94"/>
  <c r="AY26" i="94"/>
  <c r="AU26" i="94"/>
  <c r="AB26" i="94"/>
  <c r="T26" i="94"/>
  <c r="P26" i="94"/>
  <c r="L26" i="94"/>
  <c r="F26" i="94"/>
  <c r="BL25" i="94"/>
  <c r="BH25" i="94"/>
  <c r="BD25" i="94"/>
  <c r="AZ25" i="94"/>
  <c r="AV25" i="94"/>
  <c r="AR25" i="94"/>
  <c r="AC25" i="94"/>
  <c r="Y25" i="94"/>
  <c r="U25" i="94"/>
  <c r="Q25" i="94"/>
  <c r="M25" i="94"/>
  <c r="G25" i="94"/>
  <c r="C25" i="94"/>
  <c r="BI24" i="94"/>
  <c r="BE24" i="94"/>
  <c r="BA24" i="94"/>
  <c r="AW24" i="94"/>
  <c r="AS24" i="94"/>
  <c r="V24" i="94"/>
  <c r="R24" i="94"/>
  <c r="N24" i="94"/>
  <c r="H24" i="94"/>
  <c r="D24" i="94"/>
  <c r="BJ22" i="94"/>
  <c r="BF22" i="94"/>
  <c r="BB22" i="94"/>
  <c r="AX22" i="94"/>
  <c r="AT22" i="94"/>
  <c r="AA22" i="94"/>
  <c r="W22" i="94"/>
  <c r="S22" i="94"/>
  <c r="O22" i="94"/>
  <c r="I22" i="94"/>
  <c r="E22" i="94"/>
  <c r="BK21" i="94"/>
  <c r="BG21" i="94"/>
  <c r="BC21" i="94"/>
  <c r="AY21" i="94"/>
  <c r="AU21" i="94"/>
  <c r="AB21" i="94"/>
  <c r="X21" i="94"/>
  <c r="T21" i="94"/>
  <c r="P21" i="94"/>
  <c r="L21" i="94"/>
  <c r="F21" i="94"/>
  <c r="BL20" i="94"/>
  <c r="BH20" i="94"/>
  <c r="BD20" i="94"/>
  <c r="AZ20" i="94"/>
  <c r="AV20" i="94"/>
  <c r="AR20" i="94"/>
  <c r="AC20" i="94"/>
  <c r="Y20" i="94"/>
  <c r="U20" i="94"/>
  <c r="Q20" i="94"/>
  <c r="M20" i="94"/>
  <c r="G20" i="94"/>
  <c r="C20" i="94"/>
  <c r="BI19" i="94"/>
  <c r="BE19" i="94"/>
  <c r="BA19" i="94"/>
  <c r="AW19" i="94"/>
  <c r="AS19" i="94"/>
  <c r="Z19" i="94"/>
  <c r="V19" i="94"/>
  <c r="R19" i="94"/>
  <c r="N19" i="94"/>
  <c r="H19" i="94"/>
  <c r="D19" i="94"/>
  <c r="BJ18" i="94"/>
  <c r="BF18" i="94"/>
  <c r="BB18" i="94"/>
  <c r="AX18" i="94"/>
  <c r="AT18" i="94"/>
  <c r="AA18" i="94"/>
  <c r="W18" i="94"/>
  <c r="S18" i="94"/>
  <c r="O18" i="94"/>
  <c r="I18" i="94"/>
  <c r="E18" i="94"/>
  <c r="BK17" i="94"/>
  <c r="BG17" i="94"/>
  <c r="BC17" i="94"/>
  <c r="AY17" i="94"/>
  <c r="AU17" i="94"/>
  <c r="AB17" i="94"/>
  <c r="T17" i="94"/>
  <c r="P17" i="94"/>
  <c r="L17" i="94"/>
  <c r="F17" i="94"/>
  <c r="BL16" i="94"/>
  <c r="BH16" i="94"/>
  <c r="BD16" i="94"/>
  <c r="AZ16" i="94"/>
  <c r="AV16" i="94"/>
  <c r="AR16" i="94"/>
  <c r="AC16" i="94"/>
  <c r="Y16" i="94"/>
  <c r="U16" i="94"/>
  <c r="Q16" i="94"/>
  <c r="M16" i="94"/>
  <c r="G16" i="94"/>
  <c r="C16" i="94"/>
  <c r="BI15" i="94"/>
  <c r="BE15" i="94"/>
  <c r="BA15" i="94"/>
  <c r="AW15" i="94"/>
  <c r="AS15" i="94"/>
  <c r="Z15" i="94"/>
  <c r="V15" i="94"/>
  <c r="R15" i="94"/>
  <c r="N15" i="94"/>
  <c r="H15" i="94"/>
  <c r="D15" i="94"/>
  <c r="BJ14" i="94"/>
  <c r="BJ46" i="94"/>
  <c r="X46" i="94"/>
  <c r="BD44" i="94"/>
  <c r="Y44" i="94"/>
  <c r="BK41" i="94"/>
  <c r="AV40" i="94"/>
  <c r="Q40" i="94"/>
  <c r="C39" i="94"/>
  <c r="BF37" i="94"/>
  <c r="V37" i="94"/>
  <c r="BF36" i="94"/>
  <c r="BG34" i="94"/>
  <c r="BH33" i="94"/>
  <c r="AR33" i="94"/>
  <c r="AC33" i="94"/>
  <c r="M33" i="94"/>
  <c r="C33" i="94"/>
  <c r="AW32" i="94"/>
  <c r="N32" i="94"/>
  <c r="D32" i="94"/>
  <c r="AX31" i="94"/>
  <c r="O31" i="94"/>
  <c r="E31" i="94"/>
  <c r="AY30" i="94"/>
  <c r="P30" i="94"/>
  <c r="F30" i="94"/>
  <c r="BH29" i="94"/>
  <c r="AZ29" i="94"/>
  <c r="AR29" i="94"/>
  <c r="AC29" i="94"/>
  <c r="U29" i="94"/>
  <c r="M29" i="94"/>
  <c r="C29" i="94"/>
  <c r="BE28" i="94"/>
  <c r="AW28" i="94"/>
  <c r="Z28" i="94"/>
  <c r="S28" i="94"/>
  <c r="N28" i="94"/>
  <c r="I28" i="94"/>
  <c r="D28" i="94"/>
  <c r="BI27" i="94"/>
  <c r="BE27" i="94"/>
  <c r="BA27" i="94"/>
  <c r="AW27" i="94"/>
  <c r="AS27" i="94"/>
  <c r="Z27" i="94"/>
  <c r="V27" i="94"/>
  <c r="R27" i="94"/>
  <c r="N27" i="94"/>
  <c r="H27" i="94"/>
  <c r="D27" i="94"/>
  <c r="BJ26" i="94"/>
  <c r="BF26" i="94"/>
  <c r="BB26" i="94"/>
  <c r="AX26" i="94"/>
  <c r="AT26" i="94"/>
  <c r="AA26" i="94"/>
  <c r="W26" i="94"/>
  <c r="S26" i="94"/>
  <c r="O26" i="94"/>
  <c r="I26" i="94"/>
  <c r="E26" i="94"/>
  <c r="BK25" i="94"/>
  <c r="BG25" i="94"/>
  <c r="BC25" i="94"/>
  <c r="AY25" i="94"/>
  <c r="AU25" i="94"/>
  <c r="AB25" i="94"/>
  <c r="T25" i="94"/>
  <c r="P25" i="94"/>
  <c r="L25" i="94"/>
  <c r="F25" i="94"/>
  <c r="BL24" i="94"/>
  <c r="BH24" i="94"/>
  <c r="BD24" i="94"/>
  <c r="AZ24" i="94"/>
  <c r="AV24" i="94"/>
  <c r="AR24" i="94"/>
  <c r="U24" i="94"/>
  <c r="Q24" i="94"/>
  <c r="M24" i="94"/>
  <c r="G24" i="94"/>
  <c r="C24" i="94"/>
  <c r="BI22" i="94"/>
  <c r="BE22" i="94"/>
  <c r="BA22" i="94"/>
  <c r="AW22" i="94"/>
  <c r="AS22" i="94"/>
  <c r="Z22" i="94"/>
  <c r="V22" i="94"/>
  <c r="R22" i="94"/>
  <c r="N22" i="94"/>
  <c r="H22" i="94"/>
  <c r="D22" i="94"/>
  <c r="BJ21" i="94"/>
  <c r="BF21" i="94"/>
  <c r="BB21" i="94"/>
  <c r="AX21" i="94"/>
  <c r="AT21" i="94"/>
  <c r="AA21" i="94"/>
  <c r="W21" i="94"/>
  <c r="S21" i="94"/>
  <c r="O21" i="94"/>
  <c r="I21" i="94"/>
  <c r="E21" i="94"/>
  <c r="BK20" i="94"/>
  <c r="BG20" i="94"/>
  <c r="BC20" i="94"/>
  <c r="AY20" i="94"/>
  <c r="AU20" i="94"/>
  <c r="AB20" i="94"/>
  <c r="T20" i="94"/>
  <c r="P20" i="94"/>
  <c r="L20" i="94"/>
  <c r="F20" i="94"/>
  <c r="BL19" i="94"/>
  <c r="BH19" i="94"/>
  <c r="BD19" i="94"/>
  <c r="AZ19" i="94"/>
  <c r="AV19" i="94"/>
  <c r="AR19" i="94"/>
  <c r="AC19" i="94"/>
  <c r="Y19" i="94"/>
  <c r="U19" i="94"/>
  <c r="Q19" i="94"/>
  <c r="M19" i="94"/>
  <c r="G19" i="94"/>
  <c r="C19" i="94"/>
  <c r="BI18" i="94"/>
  <c r="BE18" i="94"/>
  <c r="BA18" i="94"/>
  <c r="AW18" i="94"/>
  <c r="AS18" i="94"/>
  <c r="Z18" i="94"/>
  <c r="V18" i="94"/>
  <c r="R18" i="94"/>
  <c r="N18" i="94"/>
  <c r="H18" i="94"/>
  <c r="D18" i="94"/>
  <c r="BJ17" i="94"/>
  <c r="I46" i="94"/>
  <c r="BA37" i="94"/>
  <c r="R37" i="94"/>
  <c r="BC34" i="94"/>
  <c r="T34" i="94"/>
  <c r="BI32" i="94"/>
  <c r="AT31" i="94"/>
  <c r="AA31" i="94"/>
  <c r="L30" i="94"/>
  <c r="T29" i="94"/>
  <c r="BD28" i="94"/>
  <c r="BD27" i="94"/>
  <c r="Y27" i="94"/>
  <c r="BI26" i="94"/>
  <c r="AS26" i="94"/>
  <c r="Z26" i="94"/>
  <c r="BJ25" i="94"/>
  <c r="AT25" i="94"/>
  <c r="AA25" i="94"/>
  <c r="BK24" i="94"/>
  <c r="AU24" i="94"/>
  <c r="L24" i="94"/>
  <c r="BL22" i="94"/>
  <c r="AV22" i="94"/>
  <c r="Q22" i="94"/>
  <c r="G22" i="94"/>
  <c r="BA21" i="94"/>
  <c r="R21" i="94"/>
  <c r="H21" i="94"/>
  <c r="BB20" i="94"/>
  <c r="S20" i="94"/>
  <c r="I20" i="94"/>
  <c r="BC19" i="94"/>
  <c r="T19" i="94"/>
  <c r="BD18" i="94"/>
  <c r="Y18" i="94"/>
  <c r="C18" i="94"/>
  <c r="BF17" i="94"/>
  <c r="BA17" i="94"/>
  <c r="AV17" i="94"/>
  <c r="AA17" i="94"/>
  <c r="V17" i="94"/>
  <c r="Q17" i="94"/>
  <c r="G17" i="94"/>
  <c r="BK16" i="94"/>
  <c r="BF16" i="94"/>
  <c r="BA16" i="94"/>
  <c r="AU16" i="94"/>
  <c r="Z16" i="94"/>
  <c r="T16" i="94"/>
  <c r="O16" i="94"/>
  <c r="E16" i="94"/>
  <c r="BJ15" i="94"/>
  <c r="BD15" i="94"/>
  <c r="AY15" i="94"/>
  <c r="AT15" i="94"/>
  <c r="Y15" i="94"/>
  <c r="T15" i="94"/>
  <c r="O15" i="94"/>
  <c r="E15" i="94"/>
  <c r="BI14" i="94"/>
  <c r="BE14" i="94"/>
  <c r="BA14" i="94"/>
  <c r="AW14" i="94"/>
  <c r="AS14" i="94"/>
  <c r="Z14" i="94"/>
  <c r="V14" i="94"/>
  <c r="R14" i="94"/>
  <c r="N14" i="94"/>
  <c r="H14" i="94"/>
  <c r="D14" i="94"/>
  <c r="BJ13" i="94"/>
  <c r="BF13" i="94"/>
  <c r="BB13" i="94"/>
  <c r="AX13" i="94"/>
  <c r="AT13" i="94"/>
  <c r="AA13" i="94"/>
  <c r="W13" i="94"/>
  <c r="S13" i="94"/>
  <c r="O13" i="94"/>
  <c r="I13" i="94"/>
  <c r="E13" i="94"/>
  <c r="BK12" i="94"/>
  <c r="BG12" i="94"/>
  <c r="BC12" i="94"/>
  <c r="AY12" i="94"/>
  <c r="AU12" i="94"/>
  <c r="AB12" i="94"/>
  <c r="T12" i="94"/>
  <c r="P12" i="94"/>
  <c r="L12" i="94"/>
  <c r="F12" i="94"/>
  <c r="BL11" i="94"/>
  <c r="BH11" i="94"/>
  <c r="BD11" i="94"/>
  <c r="AZ11" i="94"/>
  <c r="AV11" i="94"/>
  <c r="AR11" i="94"/>
  <c r="AC11" i="94"/>
  <c r="Y11" i="94"/>
  <c r="U11" i="94"/>
  <c r="Q11" i="94"/>
  <c r="M11" i="94"/>
  <c r="G11" i="94"/>
  <c r="C11" i="94"/>
  <c r="BI10" i="94"/>
  <c r="BE10" i="94"/>
  <c r="BA10" i="94"/>
  <c r="AW10" i="94"/>
  <c r="AS10" i="94"/>
  <c r="Z10" i="94"/>
  <c r="V10" i="94"/>
  <c r="R10" i="94"/>
  <c r="N10" i="94"/>
  <c r="H10" i="94"/>
  <c r="D10" i="94"/>
  <c r="BJ9" i="94"/>
  <c r="BF9" i="94"/>
  <c r="BB9" i="94"/>
  <c r="AX9" i="94"/>
  <c r="AT9" i="94"/>
  <c r="AA9" i="94"/>
  <c r="W9" i="94"/>
  <c r="S9" i="94"/>
  <c r="O9" i="94"/>
  <c r="I9" i="94"/>
  <c r="E9" i="94"/>
  <c r="BK8" i="94"/>
  <c r="BG8" i="94"/>
  <c r="BC8" i="94"/>
  <c r="AY8" i="94"/>
  <c r="AU8" i="94"/>
  <c r="T8" i="94"/>
  <c r="P8" i="94"/>
  <c r="L8" i="94"/>
  <c r="F8" i="94"/>
  <c r="H37" i="94"/>
  <c r="AS32" i="94"/>
  <c r="Z32" i="94"/>
  <c r="E30" i="94"/>
  <c r="L29" i="94"/>
  <c r="AV28" i="94"/>
  <c r="Y28" i="94"/>
  <c r="H28" i="94"/>
  <c r="AZ27" i="94"/>
  <c r="U27" i="94"/>
  <c r="BE26" i="94"/>
  <c r="V26" i="94"/>
  <c r="BF25" i="94"/>
  <c r="W25" i="94"/>
  <c r="BG24" i="94"/>
  <c r="BH22" i="94"/>
  <c r="AR22" i="94"/>
  <c r="AC22" i="94"/>
  <c r="M22" i="94"/>
  <c r="C22" i="94"/>
  <c r="AW21" i="94"/>
  <c r="N21" i="94"/>
  <c r="D21" i="94"/>
  <c r="AX20" i="94"/>
  <c r="O20" i="94"/>
  <c r="E20" i="94"/>
  <c r="AY19" i="94"/>
  <c r="P19" i="94"/>
  <c r="F19" i="94"/>
  <c r="AZ18" i="94"/>
  <c r="U18" i="94"/>
  <c r="BL17" i="94"/>
  <c r="BE17" i="94"/>
  <c r="AZ17" i="94"/>
  <c r="AT17" i="94"/>
  <c r="Z17" i="94"/>
  <c r="U17" i="94"/>
  <c r="O17" i="94"/>
  <c r="E17" i="94"/>
  <c r="BJ16" i="94"/>
  <c r="BE16" i="94"/>
  <c r="AY16" i="94"/>
  <c r="AT16" i="94"/>
  <c r="S16" i="94"/>
  <c r="N16" i="94"/>
  <c r="I16" i="94"/>
  <c r="D16" i="94"/>
  <c r="BH15" i="94"/>
  <c r="BC15" i="94"/>
  <c r="AX15" i="94"/>
  <c r="AR15" i="94"/>
  <c r="AC15" i="94"/>
  <c r="S15" i="94"/>
  <c r="M15" i="94"/>
  <c r="I15" i="94"/>
  <c r="C15" i="94"/>
  <c r="BH14" i="94"/>
  <c r="BD14" i="94"/>
  <c r="AZ14" i="94"/>
  <c r="AV14" i="94"/>
  <c r="AR14" i="94"/>
  <c r="AC14" i="94"/>
  <c r="Y14" i="94"/>
  <c r="U14" i="94"/>
  <c r="Q14" i="94"/>
  <c r="M14" i="94"/>
  <c r="G14" i="94"/>
  <c r="C14" i="94"/>
  <c r="BI13" i="94"/>
  <c r="BE13" i="94"/>
  <c r="BA13" i="94"/>
  <c r="AW13" i="94"/>
  <c r="AS13" i="94"/>
  <c r="Z13" i="94"/>
  <c r="V13" i="94"/>
  <c r="R13" i="94"/>
  <c r="N13" i="94"/>
  <c r="H13" i="94"/>
  <c r="D13" i="94"/>
  <c r="BJ12" i="94"/>
  <c r="BF12" i="94"/>
  <c r="BB12" i="94"/>
  <c r="AX12" i="94"/>
  <c r="AT12" i="94"/>
  <c r="AA12" i="94"/>
  <c r="W12" i="94"/>
  <c r="S12" i="94"/>
  <c r="O12" i="94"/>
  <c r="I12" i="94"/>
  <c r="E12" i="94"/>
  <c r="BK11" i="94"/>
  <c r="BG11" i="94"/>
  <c r="BC11" i="94"/>
  <c r="AY11" i="94"/>
  <c r="AU11" i="94"/>
  <c r="AB11" i="94"/>
  <c r="X11" i="94"/>
  <c r="T11" i="94"/>
  <c r="P11" i="94"/>
  <c r="L11" i="94"/>
  <c r="F11" i="94"/>
  <c r="BL10" i="94"/>
  <c r="BH10" i="94"/>
  <c r="BD10" i="94"/>
  <c r="AZ10" i="94"/>
  <c r="AV10" i="94"/>
  <c r="AR10" i="94"/>
  <c r="AC10" i="94"/>
  <c r="Y10" i="94"/>
  <c r="U10" i="94"/>
  <c r="Q10" i="94"/>
  <c r="M10" i="94"/>
  <c r="G10" i="94"/>
  <c r="C10" i="94"/>
  <c r="BI9" i="94"/>
  <c r="BE9" i="94"/>
  <c r="BA9" i="94"/>
  <c r="AW9" i="94"/>
  <c r="AS9" i="94"/>
  <c r="Z9" i="94"/>
  <c r="V9" i="94"/>
  <c r="R9" i="94"/>
  <c r="N9" i="94"/>
  <c r="H9" i="94"/>
  <c r="D9" i="94"/>
  <c r="BJ8" i="94"/>
  <c r="BF8" i="94"/>
  <c r="BB8" i="94"/>
  <c r="AX8" i="94"/>
  <c r="AT8" i="94"/>
  <c r="S8" i="94"/>
  <c r="O8" i="94"/>
  <c r="I8" i="94"/>
  <c r="E8" i="94"/>
  <c r="BB36" i="94"/>
  <c r="S36" i="94"/>
  <c r="BD33" i="94"/>
  <c r="Y33" i="94"/>
  <c r="BK30" i="94"/>
  <c r="BG29" i="94"/>
  <c r="R28" i="94"/>
  <c r="C28" i="94"/>
  <c r="AV27" i="94"/>
  <c r="Q27" i="94"/>
  <c r="G27" i="94"/>
  <c r="BA26" i="94"/>
  <c r="R26" i="94"/>
  <c r="H26" i="94"/>
  <c r="BB25" i="94"/>
  <c r="S25" i="94"/>
  <c r="I25" i="94"/>
  <c r="BC24" i="94"/>
  <c r="T24" i="94"/>
  <c r="BD22" i="94"/>
  <c r="Y22" i="94"/>
  <c r="BI21" i="94"/>
  <c r="AS21" i="94"/>
  <c r="Z21" i="94"/>
  <c r="BJ20" i="94"/>
  <c r="AT20" i="94"/>
  <c r="AA20" i="94"/>
  <c r="BK19" i="94"/>
  <c r="AU19" i="94"/>
  <c r="AB19" i="94"/>
  <c r="L19" i="94"/>
  <c r="BL18" i="94"/>
  <c r="AV18" i="94"/>
  <c r="Q18" i="94"/>
  <c r="G18" i="94"/>
  <c r="BI17" i="94"/>
  <c r="BD17" i="94"/>
  <c r="AX17" i="94"/>
  <c r="AS17" i="94"/>
  <c r="Y17" i="94"/>
  <c r="S17" i="94"/>
  <c r="N17" i="94"/>
  <c r="I17" i="94"/>
  <c r="D17" i="94"/>
  <c r="BI16" i="94"/>
  <c r="BC16" i="94"/>
  <c r="AX16" i="94"/>
  <c r="AS16" i="94"/>
  <c r="AB16" i="94"/>
  <c r="W16" i="94"/>
  <c r="R16" i="94"/>
  <c r="L16" i="94"/>
  <c r="H16" i="94"/>
  <c r="BL15" i="94"/>
  <c r="BG15" i="94"/>
  <c r="BB15" i="94"/>
  <c r="AV15" i="94"/>
  <c r="AB15" i="94"/>
  <c r="W15" i="94"/>
  <c r="Q15" i="94"/>
  <c r="L15" i="94"/>
  <c r="G15" i="94"/>
  <c r="BL14" i="94"/>
  <c r="BG14" i="94"/>
  <c r="BC14" i="94"/>
  <c r="AY14" i="94"/>
  <c r="AU14" i="94"/>
  <c r="AB14" i="94"/>
  <c r="T14" i="94"/>
  <c r="P14" i="94"/>
  <c r="L14" i="94"/>
  <c r="F14" i="94"/>
  <c r="BL13" i="94"/>
  <c r="BH13" i="94"/>
  <c r="BD13" i="94"/>
  <c r="AZ13" i="94"/>
  <c r="AV13" i="94"/>
  <c r="AR13" i="94"/>
  <c r="AC13" i="94"/>
  <c r="Y13" i="94"/>
  <c r="U13" i="94"/>
  <c r="Q13" i="94"/>
  <c r="M13" i="94"/>
  <c r="G13" i="94"/>
  <c r="C13" i="94"/>
  <c r="BI12" i="94"/>
  <c r="BE12" i="94"/>
  <c r="BA12" i="94"/>
  <c r="AW12" i="94"/>
  <c r="AS12" i="94"/>
  <c r="Z12" i="94"/>
  <c r="V12" i="94"/>
  <c r="R12" i="94"/>
  <c r="N12" i="94"/>
  <c r="H12" i="94"/>
  <c r="D12" i="94"/>
  <c r="BJ11" i="94"/>
  <c r="BF11" i="94"/>
  <c r="BB11" i="94"/>
  <c r="AX11" i="94"/>
  <c r="AT11" i="94"/>
  <c r="AA11" i="94"/>
  <c r="W11" i="94"/>
  <c r="S11" i="94"/>
  <c r="O11" i="94"/>
  <c r="I11" i="94"/>
  <c r="E11" i="94"/>
  <c r="BK10" i="94"/>
  <c r="BG10" i="94"/>
  <c r="BC10" i="94"/>
  <c r="AY10" i="94"/>
  <c r="AU10" i="94"/>
  <c r="AB10" i="94"/>
  <c r="X10" i="94"/>
  <c r="T10" i="94"/>
  <c r="P10" i="94"/>
  <c r="L10" i="94"/>
  <c r="F10" i="94"/>
  <c r="BL9" i="94"/>
  <c r="BH9" i="94"/>
  <c r="BD9" i="94"/>
  <c r="AZ9" i="94"/>
  <c r="AV9" i="94"/>
  <c r="AR9" i="94"/>
  <c r="AC9" i="94"/>
  <c r="Y9" i="94"/>
  <c r="U9" i="94"/>
  <c r="Q9" i="94"/>
  <c r="M9" i="94"/>
  <c r="G9" i="94"/>
  <c r="C9" i="94"/>
  <c r="BI8" i="94"/>
  <c r="BE8" i="94"/>
  <c r="BA8" i="94"/>
  <c r="AW8" i="94"/>
  <c r="AS8" i="94"/>
  <c r="V8" i="94"/>
  <c r="R8" i="94"/>
  <c r="N8" i="94"/>
  <c r="H8" i="94"/>
  <c r="D8" i="94"/>
  <c r="BJ31" i="94"/>
  <c r="AU30" i="94"/>
  <c r="AB30" i="94"/>
  <c r="AR27" i="94"/>
  <c r="AC27" i="94"/>
  <c r="D26" i="94"/>
  <c r="F24" i="94"/>
  <c r="F18" i="94"/>
  <c r="AR17" i="94"/>
  <c r="AC17" i="94"/>
  <c r="BB16" i="94"/>
  <c r="BF15" i="94"/>
  <c r="P15" i="94"/>
  <c r="BK14" i="94"/>
  <c r="AT14" i="94"/>
  <c r="AA14" i="94"/>
  <c r="BK13" i="94"/>
  <c r="AU13" i="94"/>
  <c r="AB13" i="94"/>
  <c r="L13" i="94"/>
  <c r="BL12" i="94"/>
  <c r="AV12" i="94"/>
  <c r="Q12" i="94"/>
  <c r="G12" i="94"/>
  <c r="BA11" i="94"/>
  <c r="R11" i="94"/>
  <c r="H11" i="94"/>
  <c r="BB10" i="94"/>
  <c r="S10" i="94"/>
  <c r="I10" i="94"/>
  <c r="BC9" i="94"/>
  <c r="T9" i="94"/>
  <c r="BD8" i="94"/>
  <c r="I36" i="94"/>
  <c r="AY29" i="94"/>
  <c r="AB29" i="94"/>
  <c r="M27" i="94"/>
  <c r="AX25" i="94"/>
  <c r="O25" i="94"/>
  <c r="AZ22" i="94"/>
  <c r="U22" i="94"/>
  <c r="BF20" i="94"/>
  <c r="W20" i="94"/>
  <c r="BH18" i="94"/>
  <c r="BH17" i="94"/>
  <c r="W17" i="94"/>
  <c r="H17" i="94"/>
  <c r="AW16" i="94"/>
  <c r="AA16" i="94"/>
  <c r="AZ15" i="94"/>
  <c r="BF14" i="94"/>
  <c r="W14" i="94"/>
  <c r="BG13" i="94"/>
  <c r="X13" i="94"/>
  <c r="BH12" i="94"/>
  <c r="AR12" i="94"/>
  <c r="AC12" i="94"/>
  <c r="M12" i="94"/>
  <c r="C12" i="94"/>
  <c r="AW11" i="94"/>
  <c r="N11" i="94"/>
  <c r="D11" i="94"/>
  <c r="AX10" i="94"/>
  <c r="O10" i="94"/>
  <c r="E10" i="94"/>
  <c r="AY9" i="94"/>
  <c r="P9" i="94"/>
  <c r="F9" i="94"/>
  <c r="AZ8" i="94"/>
  <c r="U8" i="94"/>
  <c r="BJ42" i="94"/>
  <c r="AU41" i="94"/>
  <c r="AB41" i="94"/>
  <c r="G40" i="94"/>
  <c r="BE38" i="94"/>
  <c r="BL28" i="94"/>
  <c r="M28" i="94"/>
  <c r="C27" i="94"/>
  <c r="E25" i="94"/>
  <c r="AR18" i="94"/>
  <c r="AC18" i="94"/>
  <c r="BB17" i="94"/>
  <c r="R17" i="94"/>
  <c r="C17" i="94"/>
  <c r="V16" i="94"/>
  <c r="F16" i="94"/>
  <c r="AU15" i="94"/>
  <c r="AA15" i="94"/>
  <c r="BB14" i="94"/>
  <c r="S14" i="94"/>
  <c r="I14" i="94"/>
  <c r="BC13" i="94"/>
  <c r="T13" i="94"/>
  <c r="BD12" i="94"/>
  <c r="Y12" i="94"/>
  <c r="BI11" i="94"/>
  <c r="AS11" i="94"/>
  <c r="Z11" i="94"/>
  <c r="BJ10" i="94"/>
  <c r="AT10" i="94"/>
  <c r="AA10" i="94"/>
  <c r="BK9" i="94"/>
  <c r="AU9" i="94"/>
  <c r="AB9" i="94"/>
  <c r="L9" i="94"/>
  <c r="BL8" i="94"/>
  <c r="AV8" i="94"/>
  <c r="Q8" i="94"/>
  <c r="G8" i="94"/>
  <c r="AW17" i="94"/>
  <c r="M17" i="94"/>
  <c r="AX14" i="94"/>
  <c r="O14" i="94"/>
  <c r="AZ12" i="94"/>
  <c r="U12" i="94"/>
  <c r="BF10" i="94"/>
  <c r="W10" i="94"/>
  <c r="BH8" i="94"/>
  <c r="BG16" i="94"/>
  <c r="P16" i="94"/>
  <c r="E14" i="94"/>
  <c r="AR8" i="94"/>
  <c r="BK15" i="94"/>
  <c r="U15" i="94"/>
  <c r="AY13" i="94"/>
  <c r="P13" i="94"/>
  <c r="BE11" i="94"/>
  <c r="V11" i="94"/>
  <c r="BG9" i="94"/>
  <c r="X9" i="94"/>
  <c r="M8" i="94"/>
  <c r="BH27" i="94"/>
  <c r="AW26" i="94"/>
  <c r="N26" i="94"/>
  <c r="AY24" i="94"/>
  <c r="P24" i="94"/>
  <c r="BE21" i="94"/>
  <c r="V21" i="94"/>
  <c r="BG19" i="94"/>
  <c r="X19" i="94"/>
  <c r="M18" i="94"/>
  <c r="F15" i="94"/>
  <c r="F13" i="94"/>
  <c r="C8" i="94"/>
  <c r="BL21" i="93"/>
  <c r="BH21" i="93"/>
  <c r="BD21" i="93"/>
  <c r="AZ21" i="93"/>
  <c r="AV21" i="93"/>
  <c r="AR21" i="93"/>
  <c r="AC21" i="93"/>
  <c r="Y21" i="93"/>
  <c r="U21" i="93"/>
  <c r="Q21" i="93"/>
  <c r="M21" i="93"/>
  <c r="G21" i="93"/>
  <c r="C21" i="93"/>
  <c r="BI20" i="93"/>
  <c r="BE20" i="93"/>
  <c r="BA20" i="93"/>
  <c r="AW20" i="93"/>
  <c r="AS20" i="93"/>
  <c r="Z20" i="93"/>
  <c r="V20" i="93"/>
  <c r="R20" i="93"/>
  <c r="N20" i="93"/>
  <c r="H20" i="93"/>
  <c r="D20" i="93"/>
  <c r="BJ19" i="93"/>
  <c r="BF19" i="93"/>
  <c r="BB19" i="93"/>
  <c r="AX19" i="93"/>
  <c r="AT19" i="93"/>
  <c r="AA19" i="93"/>
  <c r="W19" i="93"/>
  <c r="S19" i="93"/>
  <c r="O19" i="93"/>
  <c r="I19" i="93"/>
  <c r="E19" i="93"/>
  <c r="BK18" i="93"/>
  <c r="BG18" i="93"/>
  <c r="BC18" i="93"/>
  <c r="AY18" i="93"/>
  <c r="AU18" i="93"/>
  <c r="AB18" i="93"/>
  <c r="BK21" i="93"/>
  <c r="BG21" i="93"/>
  <c r="BC21" i="93"/>
  <c r="AY21" i="93"/>
  <c r="AU21" i="93"/>
  <c r="AB21" i="93"/>
  <c r="X21" i="93"/>
  <c r="T21" i="93"/>
  <c r="P21" i="93"/>
  <c r="L21" i="93"/>
  <c r="F21" i="93"/>
  <c r="BL20" i="93"/>
  <c r="BH20" i="93"/>
  <c r="BD20" i="93"/>
  <c r="AZ20" i="93"/>
  <c r="AV20" i="93"/>
  <c r="AR20" i="93"/>
  <c r="AC20" i="93"/>
  <c r="Y20" i="93"/>
  <c r="U20" i="93"/>
  <c r="Q20" i="93"/>
  <c r="M20" i="93"/>
  <c r="G20" i="93"/>
  <c r="C20" i="93"/>
  <c r="BI19" i="93"/>
  <c r="BE19" i="93"/>
  <c r="BA19" i="93"/>
  <c r="AW19" i="93"/>
  <c r="AS19" i="93"/>
  <c r="Z19" i="93"/>
  <c r="V19" i="93"/>
  <c r="R19" i="93"/>
  <c r="N19" i="93"/>
  <c r="H19" i="93"/>
  <c r="D19" i="93"/>
  <c r="BJ18" i="93"/>
  <c r="BF18" i="93"/>
  <c r="BB18" i="93"/>
  <c r="AX18" i="93"/>
  <c r="AT18" i="93"/>
  <c r="AA18" i="93"/>
  <c r="W18" i="93"/>
  <c r="S18" i="93"/>
  <c r="O18" i="93"/>
  <c r="I18" i="93"/>
  <c r="E18" i="93"/>
  <c r="BK17" i="93"/>
  <c r="BG17" i="93"/>
  <c r="BC17" i="93"/>
  <c r="AY17" i="93"/>
  <c r="AU17" i="93"/>
  <c r="AB17" i="93"/>
  <c r="T17" i="93"/>
  <c r="P17" i="93"/>
  <c r="L17" i="93"/>
  <c r="F17" i="93"/>
  <c r="BL16" i="93"/>
  <c r="BH16" i="93"/>
  <c r="BD16" i="93"/>
  <c r="AZ16" i="93"/>
  <c r="AV16" i="93"/>
  <c r="AR16" i="93"/>
  <c r="AC16" i="93"/>
  <c r="Y16" i="93"/>
  <c r="U16" i="93"/>
  <c r="Q16" i="93"/>
  <c r="M16" i="93"/>
  <c r="G16" i="93"/>
  <c r="C16" i="93"/>
  <c r="BI15" i="93"/>
  <c r="BE15" i="93"/>
  <c r="BA15" i="93"/>
  <c r="AW15" i="93"/>
  <c r="AS15" i="93"/>
  <c r="BJ21" i="93"/>
  <c r="BF21" i="93"/>
  <c r="BB21" i="93"/>
  <c r="AX21" i="93"/>
  <c r="AT21" i="93"/>
  <c r="AA21" i="93"/>
  <c r="W21" i="93"/>
  <c r="S21" i="93"/>
  <c r="O21" i="93"/>
  <c r="I21" i="93"/>
  <c r="E21" i="93"/>
  <c r="BK20" i="93"/>
  <c r="BG20" i="93"/>
  <c r="BC20" i="93"/>
  <c r="AY20" i="93"/>
  <c r="AU20" i="93"/>
  <c r="AB20" i="93"/>
  <c r="X20" i="93"/>
  <c r="T20" i="93"/>
  <c r="P20" i="93"/>
  <c r="L20" i="93"/>
  <c r="F20" i="93"/>
  <c r="BL19" i="93"/>
  <c r="BH19" i="93"/>
  <c r="BD19" i="93"/>
  <c r="AZ19" i="93"/>
  <c r="AV19" i="93"/>
  <c r="AR19" i="93"/>
  <c r="AC19" i="93"/>
  <c r="Y19" i="93"/>
  <c r="U19" i="93"/>
  <c r="Q19" i="93"/>
  <c r="M19" i="93"/>
  <c r="G19" i="93"/>
  <c r="C19" i="93"/>
  <c r="BI18" i="93"/>
  <c r="BE18" i="93"/>
  <c r="BA18" i="93"/>
  <c r="AW18" i="93"/>
  <c r="AS18" i="93"/>
  <c r="Z18" i="93"/>
  <c r="V18" i="93"/>
  <c r="R18" i="93"/>
  <c r="N18" i="93"/>
  <c r="H18" i="93"/>
  <c r="D18" i="93"/>
  <c r="BJ17" i="93"/>
  <c r="BF17" i="93"/>
  <c r="BB17" i="93"/>
  <c r="AX17" i="93"/>
  <c r="AT17" i="93"/>
  <c r="AA17" i="93"/>
  <c r="W17" i="93"/>
  <c r="S17" i="93"/>
  <c r="O17" i="93"/>
  <c r="I17" i="93"/>
  <c r="E17" i="93"/>
  <c r="BK16" i="93"/>
  <c r="BG16" i="93"/>
  <c r="BC16" i="93"/>
  <c r="AY16" i="93"/>
  <c r="AU16" i="93"/>
  <c r="AB16" i="93"/>
  <c r="X16" i="93"/>
  <c r="T16" i="93"/>
  <c r="P16" i="93"/>
  <c r="L16" i="93"/>
  <c r="F16" i="93"/>
  <c r="BL15" i="93"/>
  <c r="BH15" i="93"/>
  <c r="BD15" i="93"/>
  <c r="AZ15" i="93"/>
  <c r="AV15" i="93"/>
  <c r="AR15" i="93"/>
  <c r="AC15" i="93"/>
  <c r="Y15" i="93"/>
  <c r="U15" i="93"/>
  <c r="Q15" i="93"/>
  <c r="M15" i="93"/>
  <c r="G15" i="93"/>
  <c r="C15" i="93"/>
  <c r="BI14" i="93"/>
  <c r="BE14" i="93"/>
  <c r="BA14" i="93"/>
  <c r="AW14" i="93"/>
  <c r="AS14" i="93"/>
  <c r="Z14" i="93"/>
  <c r="V14" i="93"/>
  <c r="R14" i="93"/>
  <c r="N14" i="93"/>
  <c r="H14" i="93"/>
  <c r="D14" i="93"/>
  <c r="BJ13" i="93"/>
  <c r="BF13" i="93"/>
  <c r="BB13" i="93"/>
  <c r="AX13" i="93"/>
  <c r="AT13" i="93"/>
  <c r="AA13" i="93"/>
  <c r="W13" i="93"/>
  <c r="S13" i="93"/>
  <c r="O13" i="93"/>
  <c r="I13" i="93"/>
  <c r="BI21" i="93"/>
  <c r="AS21" i="93"/>
  <c r="Z21" i="93"/>
  <c r="BJ20" i="93"/>
  <c r="AT20" i="93"/>
  <c r="AA20" i="93"/>
  <c r="BK19" i="93"/>
  <c r="AU19" i="93"/>
  <c r="AB19" i="93"/>
  <c r="L19" i="93"/>
  <c r="BL18" i="93"/>
  <c r="AV18" i="93"/>
  <c r="U18" i="93"/>
  <c r="M18" i="93"/>
  <c r="C18" i="93"/>
  <c r="BE17" i="93"/>
  <c r="AW17" i="93"/>
  <c r="Z17" i="93"/>
  <c r="R17" i="93"/>
  <c r="H17" i="93"/>
  <c r="BJ16" i="93"/>
  <c r="BB16" i="93"/>
  <c r="AT16" i="93"/>
  <c r="V16" i="93"/>
  <c r="N16" i="93"/>
  <c r="D16" i="93"/>
  <c r="BF15" i="93"/>
  <c r="AX15" i="93"/>
  <c r="Z15" i="93"/>
  <c r="T15" i="93"/>
  <c r="O15" i="93"/>
  <c r="E15" i="93"/>
  <c r="BJ14" i="93"/>
  <c r="BD14" i="93"/>
  <c r="AY14" i="93"/>
  <c r="AT14" i="93"/>
  <c r="Y14" i="93"/>
  <c r="T14" i="93"/>
  <c r="O14" i="93"/>
  <c r="E14" i="93"/>
  <c r="BI13" i="93"/>
  <c r="BD13" i="93"/>
  <c r="AY13" i="93"/>
  <c r="AS13" i="93"/>
  <c r="Y13" i="93"/>
  <c r="T13" i="93"/>
  <c r="N13" i="93"/>
  <c r="E13" i="93"/>
  <c r="BK12" i="93"/>
  <c r="BG12" i="93"/>
  <c r="BC12" i="93"/>
  <c r="AY12" i="93"/>
  <c r="AU12" i="93"/>
  <c r="AB12" i="93"/>
  <c r="T12" i="93"/>
  <c r="P12" i="93"/>
  <c r="L12" i="93"/>
  <c r="F12" i="93"/>
  <c r="BL11" i="93"/>
  <c r="BH11" i="93"/>
  <c r="BD11" i="93"/>
  <c r="AZ11" i="93"/>
  <c r="AV11" i="93"/>
  <c r="AR11" i="93"/>
  <c r="AC11" i="93"/>
  <c r="Y11" i="93"/>
  <c r="U11" i="93"/>
  <c r="Q11" i="93"/>
  <c r="M11" i="93"/>
  <c r="G11" i="93"/>
  <c r="C11" i="93"/>
  <c r="BI10" i="93"/>
  <c r="BE10" i="93"/>
  <c r="BA10" i="93"/>
  <c r="AW10" i="93"/>
  <c r="AS10" i="93"/>
  <c r="Z10" i="93"/>
  <c r="V10" i="93"/>
  <c r="R10" i="93"/>
  <c r="N10" i="93"/>
  <c r="H10" i="93"/>
  <c r="D10" i="93"/>
  <c r="BJ9" i="93"/>
  <c r="BF9" i="93"/>
  <c r="BB9" i="93"/>
  <c r="AX9" i="93"/>
  <c r="AT9" i="93"/>
  <c r="AA9" i="93"/>
  <c r="W9" i="93"/>
  <c r="S9" i="93"/>
  <c r="O9" i="93"/>
  <c r="I9" i="93"/>
  <c r="E9" i="93"/>
  <c r="BK8" i="93"/>
  <c r="BG8" i="93"/>
  <c r="BC8" i="93"/>
  <c r="AY8" i="93"/>
  <c r="AU8" i="93"/>
  <c r="AB8" i="93"/>
  <c r="T8" i="93"/>
  <c r="P8" i="93"/>
  <c r="L8" i="93"/>
  <c r="F8" i="93"/>
  <c r="BL7" i="93"/>
  <c r="BH7" i="93"/>
  <c r="BD7" i="93"/>
  <c r="AZ7" i="93"/>
  <c r="AV7" i="93"/>
  <c r="AR7" i="93"/>
  <c r="U7" i="93"/>
  <c r="Q7" i="93"/>
  <c r="M7" i="93"/>
  <c r="G7" i="93"/>
  <c r="C7" i="93"/>
  <c r="BE21" i="93"/>
  <c r="V21" i="93"/>
  <c r="BF20" i="93"/>
  <c r="W20" i="93"/>
  <c r="BG19" i="93"/>
  <c r="BH18" i="93"/>
  <c r="AR18" i="93"/>
  <c r="AC18" i="93"/>
  <c r="T18" i="93"/>
  <c r="L18" i="93"/>
  <c r="BL17" i="93"/>
  <c r="BD17" i="93"/>
  <c r="AV17" i="93"/>
  <c r="Y17" i="93"/>
  <c r="Q17" i="93"/>
  <c r="G17" i="93"/>
  <c r="BI16" i="93"/>
  <c r="BA16" i="93"/>
  <c r="AS16" i="93"/>
  <c r="AA16" i="93"/>
  <c r="S16" i="93"/>
  <c r="I16" i="93"/>
  <c r="BK15" i="93"/>
  <c r="BC15" i="93"/>
  <c r="AU15" i="93"/>
  <c r="X15" i="93"/>
  <c r="S15" i="93"/>
  <c r="N15" i="93"/>
  <c r="I15" i="93"/>
  <c r="D15" i="93"/>
  <c r="BH14" i="93"/>
  <c r="BC14" i="93"/>
  <c r="AX14" i="93"/>
  <c r="AR14" i="93"/>
  <c r="AC14" i="93"/>
  <c r="S14" i="93"/>
  <c r="M14" i="93"/>
  <c r="I14" i="93"/>
  <c r="C14" i="93"/>
  <c r="BH13" i="93"/>
  <c r="BC13" i="93"/>
  <c r="AW13" i="93"/>
  <c r="AR13" i="93"/>
  <c r="AC13" i="93"/>
  <c r="R13" i="93"/>
  <c r="M13" i="93"/>
  <c r="H13" i="93"/>
  <c r="D13" i="93"/>
  <c r="BJ12" i="93"/>
  <c r="BF12" i="93"/>
  <c r="BB12" i="93"/>
  <c r="AX12" i="93"/>
  <c r="AT12" i="93"/>
  <c r="AA12" i="93"/>
  <c r="W12" i="93"/>
  <c r="S12" i="93"/>
  <c r="O12" i="93"/>
  <c r="I12" i="93"/>
  <c r="E12" i="93"/>
  <c r="BK11" i="93"/>
  <c r="BG11" i="93"/>
  <c r="BC11" i="93"/>
  <c r="AY11" i="93"/>
  <c r="AU11" i="93"/>
  <c r="AB11" i="93"/>
  <c r="T11" i="93"/>
  <c r="P11" i="93"/>
  <c r="L11" i="93"/>
  <c r="F11" i="93"/>
  <c r="BL10" i="93"/>
  <c r="BH10" i="93"/>
  <c r="BD10" i="93"/>
  <c r="AZ10" i="93"/>
  <c r="AV10" i="93"/>
  <c r="AR10" i="93"/>
  <c r="AC10" i="93"/>
  <c r="Y10" i="93"/>
  <c r="U10" i="93"/>
  <c r="Q10" i="93"/>
  <c r="M10" i="93"/>
  <c r="G10" i="93"/>
  <c r="C10" i="93"/>
  <c r="BI9" i="93"/>
  <c r="BE9" i="93"/>
  <c r="BA9" i="93"/>
  <c r="AW9" i="93"/>
  <c r="AS9" i="93"/>
  <c r="Z9" i="93"/>
  <c r="V9" i="93"/>
  <c r="R9" i="93"/>
  <c r="N9" i="93"/>
  <c r="H9" i="93"/>
  <c r="D9" i="93"/>
  <c r="BJ8" i="93"/>
  <c r="BF8" i="93"/>
  <c r="BB8" i="93"/>
  <c r="AX8" i="93"/>
  <c r="AT8" i="93"/>
  <c r="AA8" i="93"/>
  <c r="W8" i="93"/>
  <c r="S8" i="93"/>
  <c r="O8" i="93"/>
  <c r="I8" i="93"/>
  <c r="E8" i="93"/>
  <c r="BK7" i="93"/>
  <c r="BG7" i="93"/>
  <c r="BC7" i="93"/>
  <c r="AY7" i="93"/>
  <c r="AU7" i="93"/>
  <c r="T7" i="93"/>
  <c r="P7" i="93"/>
  <c r="L7" i="93"/>
  <c r="F7" i="93"/>
  <c r="BA21" i="93"/>
  <c r="R21" i="93"/>
  <c r="H21" i="93"/>
  <c r="BB20" i="93"/>
  <c r="S20" i="93"/>
  <c r="I20" i="93"/>
  <c r="BC19" i="93"/>
  <c r="T19" i="93"/>
  <c r="BD18" i="93"/>
  <c r="Y18" i="93"/>
  <c r="Q18" i="93"/>
  <c r="G18" i="93"/>
  <c r="BI17" i="93"/>
  <c r="BA17" i="93"/>
  <c r="AS17" i="93"/>
  <c r="V17" i="93"/>
  <c r="N17" i="93"/>
  <c r="D17" i="93"/>
  <c r="BF16" i="93"/>
  <c r="AX16" i="93"/>
  <c r="Z16" i="93"/>
  <c r="R16" i="93"/>
  <c r="H16" i="93"/>
  <c r="BJ15" i="93"/>
  <c r="BB15" i="93"/>
  <c r="AT15" i="93"/>
  <c r="AB15" i="93"/>
  <c r="W15" i="93"/>
  <c r="R15" i="93"/>
  <c r="L15" i="93"/>
  <c r="H15" i="93"/>
  <c r="BL14" i="93"/>
  <c r="BG14" i="93"/>
  <c r="BB14" i="93"/>
  <c r="AV14" i="93"/>
  <c r="AB14" i="93"/>
  <c r="W14" i="93"/>
  <c r="Q14" i="93"/>
  <c r="L14" i="93"/>
  <c r="G14" i="93"/>
  <c r="BL13" i="93"/>
  <c r="BG13" i="93"/>
  <c r="BA13" i="93"/>
  <c r="AV13" i="93"/>
  <c r="AB13" i="93"/>
  <c r="V13" i="93"/>
  <c r="Q13" i="93"/>
  <c r="L13" i="93"/>
  <c r="G13" i="93"/>
  <c r="C13" i="93"/>
  <c r="BI12" i="93"/>
  <c r="BE12" i="93"/>
  <c r="BA12" i="93"/>
  <c r="AW12" i="93"/>
  <c r="AS12" i="93"/>
  <c r="Z12" i="93"/>
  <c r="V12" i="93"/>
  <c r="R12" i="93"/>
  <c r="N12" i="93"/>
  <c r="H12" i="93"/>
  <c r="D12" i="93"/>
  <c r="BJ11" i="93"/>
  <c r="BF11" i="93"/>
  <c r="BB11" i="93"/>
  <c r="AX11" i="93"/>
  <c r="AT11" i="93"/>
  <c r="AA11" i="93"/>
  <c r="W11" i="93"/>
  <c r="S11" i="93"/>
  <c r="O11" i="93"/>
  <c r="I11" i="93"/>
  <c r="E11" i="93"/>
  <c r="BK10" i="93"/>
  <c r="BG10" i="93"/>
  <c r="BC10" i="93"/>
  <c r="AY10" i="93"/>
  <c r="AU10" i="93"/>
  <c r="AB10" i="93"/>
  <c r="T10" i="93"/>
  <c r="P10" i="93"/>
  <c r="L10" i="93"/>
  <c r="F10" i="93"/>
  <c r="BL9" i="93"/>
  <c r="BH9" i="93"/>
  <c r="BD9" i="93"/>
  <c r="AZ9" i="93"/>
  <c r="AV9" i="93"/>
  <c r="AR9" i="93"/>
  <c r="AC9" i="93"/>
  <c r="Y9" i="93"/>
  <c r="U9" i="93"/>
  <c r="Q9" i="93"/>
  <c r="M9" i="93"/>
  <c r="G9" i="93"/>
  <c r="C9" i="93"/>
  <c r="BI8" i="93"/>
  <c r="BE8" i="93"/>
  <c r="BA8" i="93"/>
  <c r="AW8" i="93"/>
  <c r="AS8" i="93"/>
  <c r="Z8" i="93"/>
  <c r="V8" i="93"/>
  <c r="R8" i="93"/>
  <c r="N8" i="93"/>
  <c r="H8" i="93"/>
  <c r="D8" i="93"/>
  <c r="BJ7" i="93"/>
  <c r="BF7" i="93"/>
  <c r="BB7" i="93"/>
  <c r="AX7" i="93"/>
  <c r="AT7" i="93"/>
  <c r="S7" i="93"/>
  <c r="O7" i="93"/>
  <c r="I7" i="93"/>
  <c r="E7" i="93"/>
  <c r="AW21" i="93"/>
  <c r="N21" i="93"/>
  <c r="AY19" i="93"/>
  <c r="P19" i="93"/>
  <c r="AR17" i="93"/>
  <c r="AC17" i="93"/>
  <c r="C17" i="93"/>
  <c r="V15" i="93"/>
  <c r="F15" i="93"/>
  <c r="AU14" i="93"/>
  <c r="AA14" i="93"/>
  <c r="AZ13" i="93"/>
  <c r="BH12" i="93"/>
  <c r="AR12" i="93"/>
  <c r="AC12" i="93"/>
  <c r="M12" i="93"/>
  <c r="C12" i="93"/>
  <c r="AW11" i="93"/>
  <c r="N11" i="93"/>
  <c r="D11" i="93"/>
  <c r="AX10" i="93"/>
  <c r="O10" i="93"/>
  <c r="E10" i="93"/>
  <c r="AY9" i="93"/>
  <c r="P9" i="93"/>
  <c r="F9" i="93"/>
  <c r="AZ8" i="93"/>
  <c r="U8" i="93"/>
  <c r="BE7" i="93"/>
  <c r="V7" i="93"/>
  <c r="D21" i="93"/>
  <c r="F19" i="93"/>
  <c r="F18" i="93"/>
  <c r="U17" i="93"/>
  <c r="BE16" i="93"/>
  <c r="E16" i="93"/>
  <c r="P15" i="93"/>
  <c r="BK14" i="93"/>
  <c r="U14" i="93"/>
  <c r="F14" i="93"/>
  <c r="AU13" i="93"/>
  <c r="Z13" i="93"/>
  <c r="BD12" i="93"/>
  <c r="Y12" i="93"/>
  <c r="BI11" i="93"/>
  <c r="AS11" i="93"/>
  <c r="Z11" i="93"/>
  <c r="BJ10" i="93"/>
  <c r="AT10" i="93"/>
  <c r="AA10" i="93"/>
  <c r="BK9" i="93"/>
  <c r="AU9" i="93"/>
  <c r="AB9" i="93"/>
  <c r="L9" i="93"/>
  <c r="BL8" i="93"/>
  <c r="AV8" i="93"/>
  <c r="Q8" i="93"/>
  <c r="G8" i="93"/>
  <c r="BA7" i="93"/>
  <c r="R7" i="93"/>
  <c r="H7" i="93"/>
  <c r="AX20" i="93"/>
  <c r="O20" i="93"/>
  <c r="AZ18" i="93"/>
  <c r="BH17" i="93"/>
  <c r="M17" i="93"/>
  <c r="AW16" i="93"/>
  <c r="W16" i="93"/>
  <c r="BG15" i="93"/>
  <c r="BF14" i="93"/>
  <c r="P14" i="93"/>
  <c r="BK13" i="93"/>
  <c r="U13" i="93"/>
  <c r="F13" i="93"/>
  <c r="AZ12" i="93"/>
  <c r="U12" i="93"/>
  <c r="BE11" i="93"/>
  <c r="V11" i="93"/>
  <c r="BF10" i="93"/>
  <c r="W10" i="93"/>
  <c r="BG9" i="93"/>
  <c r="BH8" i="93"/>
  <c r="AR8" i="93"/>
  <c r="AC8" i="93"/>
  <c r="M8" i="93"/>
  <c r="C8" i="93"/>
  <c r="AW7" i="93"/>
  <c r="N7" i="93"/>
  <c r="D7" i="93"/>
  <c r="E20" i="93"/>
  <c r="P18" i="93"/>
  <c r="AZ17" i="93"/>
  <c r="O16" i="93"/>
  <c r="AY15" i="93"/>
  <c r="AA15" i="93"/>
  <c r="AZ14" i="93"/>
  <c r="BE13" i="93"/>
  <c r="P13" i="93"/>
  <c r="BL12" i="93"/>
  <c r="AV12" i="93"/>
  <c r="Q12" i="93"/>
  <c r="G12" i="93"/>
  <c r="BA11" i="93"/>
  <c r="R11" i="93"/>
  <c r="H11" i="93"/>
  <c r="BB10" i="93"/>
  <c r="S10" i="93"/>
  <c r="I10" i="93"/>
  <c r="BC9" i="93"/>
  <c r="T9" i="93"/>
  <c r="BD8" i="93"/>
  <c r="Y8" i="93"/>
  <c r="BI7" i="93"/>
  <c r="AS7" i="93"/>
  <c r="V25" i="69"/>
  <c r="R25" i="69"/>
  <c r="U24" i="69"/>
  <c r="Q24" i="69"/>
  <c r="T23" i="69"/>
  <c r="P23" i="69"/>
  <c r="P25" i="69"/>
  <c r="S24" i="69"/>
  <c r="V24" i="69"/>
  <c r="U23" i="69"/>
  <c r="U25" i="69"/>
  <c r="Q25" i="69"/>
  <c r="T24" i="69"/>
  <c r="P24" i="69"/>
  <c r="S23" i="69"/>
  <c r="T25" i="69"/>
  <c r="V23" i="69"/>
  <c r="R23" i="69"/>
  <c r="S25" i="69"/>
  <c r="R24" i="69"/>
  <c r="Q23" i="69"/>
  <c r="S21" i="69"/>
  <c r="V20" i="69"/>
  <c r="R20" i="69"/>
  <c r="U19" i="69"/>
  <c r="Q19" i="69"/>
  <c r="T18" i="69"/>
  <c r="P18" i="69"/>
  <c r="S17" i="69"/>
  <c r="V16" i="69"/>
  <c r="R16" i="69"/>
  <c r="U15" i="69"/>
  <c r="Q15" i="69"/>
  <c r="T14" i="69"/>
  <c r="P14" i="69"/>
  <c r="S13" i="69"/>
  <c r="V12" i="69"/>
  <c r="R12" i="69"/>
  <c r="U11" i="69"/>
  <c r="Q11" i="69"/>
  <c r="T10" i="69"/>
  <c r="P10" i="69"/>
  <c r="S9" i="69"/>
  <c r="V8" i="69"/>
  <c r="R8" i="69"/>
  <c r="U7" i="69"/>
  <c r="Q7" i="69"/>
  <c r="U21" i="69"/>
  <c r="T20" i="69"/>
  <c r="S19" i="69"/>
  <c r="V18" i="69"/>
  <c r="U17" i="69"/>
  <c r="P16" i="69"/>
  <c r="S15" i="69"/>
  <c r="U13" i="69"/>
  <c r="Q13" i="69"/>
  <c r="P12" i="69"/>
  <c r="V10" i="69"/>
  <c r="U9" i="69"/>
  <c r="T8" i="69"/>
  <c r="S7" i="69"/>
  <c r="T21" i="69"/>
  <c r="S20" i="69"/>
  <c r="U18" i="69"/>
  <c r="T17" i="69"/>
  <c r="S16" i="69"/>
  <c r="R15" i="69"/>
  <c r="Q14" i="69"/>
  <c r="P13" i="69"/>
  <c r="S12" i="69"/>
  <c r="U10" i="69"/>
  <c r="T9" i="69"/>
  <c r="P9" i="69"/>
  <c r="R7" i="69"/>
  <c r="V21" i="69"/>
  <c r="R21" i="69"/>
  <c r="U20" i="69"/>
  <c r="Q20" i="69"/>
  <c r="T19" i="69"/>
  <c r="P19" i="69"/>
  <c r="S18" i="69"/>
  <c r="V17" i="69"/>
  <c r="R17" i="69"/>
  <c r="U16" i="69"/>
  <c r="Q16" i="69"/>
  <c r="T15" i="69"/>
  <c r="P15" i="69"/>
  <c r="S14" i="69"/>
  <c r="V13" i="69"/>
  <c r="R13" i="69"/>
  <c r="U12" i="69"/>
  <c r="Q12" i="69"/>
  <c r="T11" i="69"/>
  <c r="P11" i="69"/>
  <c r="S10" i="69"/>
  <c r="V9" i="69"/>
  <c r="R9" i="69"/>
  <c r="U8" i="69"/>
  <c r="Q8" i="69"/>
  <c r="T7" i="69"/>
  <c r="Q21" i="69"/>
  <c r="P20" i="69"/>
  <c r="R18" i="69"/>
  <c r="Q17" i="69"/>
  <c r="T16" i="69"/>
  <c r="V14" i="69"/>
  <c r="R14" i="69"/>
  <c r="T12" i="69"/>
  <c r="S11" i="69"/>
  <c r="R10" i="69"/>
  <c r="Q9" i="69"/>
  <c r="P8" i="69"/>
  <c r="P21" i="69"/>
  <c r="V19" i="69"/>
  <c r="R19" i="69"/>
  <c r="Q18" i="69"/>
  <c r="P17" i="69"/>
  <c r="V15" i="69"/>
  <c r="U14" i="69"/>
  <c r="T13" i="69"/>
  <c r="V11" i="69"/>
  <c r="R11" i="69"/>
  <c r="Q10" i="69"/>
  <c r="S8" i="69"/>
  <c r="V7" i="69"/>
  <c r="AD25" i="88"/>
  <c r="Z25" i="88"/>
  <c r="N25" i="88"/>
  <c r="J25" i="88"/>
  <c r="AC24" i="88"/>
  <c r="Y24" i="88"/>
  <c r="M24" i="88"/>
  <c r="AB23" i="88"/>
  <c r="X23" i="88"/>
  <c r="P23" i="88"/>
  <c r="L23" i="88"/>
  <c r="Y25" i="88"/>
  <c r="O25" i="88"/>
  <c r="AB24" i="88"/>
  <c r="L24" i="88"/>
  <c r="Z23" i="88"/>
  <c r="O23" i="88"/>
  <c r="J23" i="88"/>
  <c r="E26" i="88"/>
  <c r="X24" i="88"/>
  <c r="AA23" i="88"/>
  <c r="AC25" i="88"/>
  <c r="X25" i="88"/>
  <c r="M25" i="88"/>
  <c r="AA24" i="88"/>
  <c r="P24" i="88"/>
  <c r="K24" i="88"/>
  <c r="AD23" i="88"/>
  <c r="Y23" i="88"/>
  <c r="S26" i="88"/>
  <c r="N23" i="88"/>
  <c r="AA25" i="88"/>
  <c r="N24" i="88"/>
  <c r="F26" i="88"/>
  <c r="AB25" i="88"/>
  <c r="L25" i="88"/>
  <c r="Z24" i="88"/>
  <c r="O24" i="88"/>
  <c r="J24" i="88"/>
  <c r="AH26" i="88"/>
  <c r="AC23" i="88"/>
  <c r="M23" i="88"/>
  <c r="G26" i="88"/>
  <c r="P25" i="88"/>
  <c r="K25" i="88"/>
  <c r="AD24" i="88"/>
  <c r="K23" i="88"/>
  <c r="P7" i="88"/>
  <c r="X7" i="88"/>
  <c r="AD21" i="88"/>
  <c r="Z21" i="88"/>
  <c r="AC20" i="88"/>
  <c r="Y20" i="88"/>
  <c r="AB19" i="88"/>
  <c r="X19" i="88"/>
  <c r="AA18" i="88"/>
  <c r="AD17" i="88"/>
  <c r="Z17" i="88"/>
  <c r="AC16" i="88"/>
  <c r="Y16" i="88"/>
  <c r="AB15" i="88"/>
  <c r="X15" i="88"/>
  <c r="AA14" i="88"/>
  <c r="AD13" i="88"/>
  <c r="Z13" i="88"/>
  <c r="AC12" i="88"/>
  <c r="Y12" i="88"/>
  <c r="AB11" i="88"/>
  <c r="X11" i="88"/>
  <c r="AA10" i="88"/>
  <c r="AD9" i="88"/>
  <c r="Z9" i="88"/>
  <c r="AC8" i="88"/>
  <c r="Y8" i="88"/>
  <c r="AB7" i="88"/>
  <c r="Y21" i="88"/>
  <c r="AA19" i="88"/>
  <c r="AC17" i="88"/>
  <c r="X16" i="88"/>
  <c r="Y13" i="88"/>
  <c r="AA11" i="88"/>
  <c r="AC9" i="88"/>
  <c r="X8" i="88"/>
  <c r="AC21" i="88"/>
  <c r="AB21" i="88"/>
  <c r="X21" i="88"/>
  <c r="AA20" i="88"/>
  <c r="AD19" i="88"/>
  <c r="Z19" i="88"/>
  <c r="AC18" i="88"/>
  <c r="Y18" i="88"/>
  <c r="AB17" i="88"/>
  <c r="X17" i="88"/>
  <c r="AA16" i="88"/>
  <c r="AD15" i="88"/>
  <c r="Z15" i="88"/>
  <c r="AC14" i="88"/>
  <c r="Y14" i="88"/>
  <c r="AB13" i="88"/>
  <c r="X13" i="88"/>
  <c r="AA12" i="88"/>
  <c r="AD11" i="88"/>
  <c r="Z11" i="88"/>
  <c r="AC10" i="88"/>
  <c r="Y10" i="88"/>
  <c r="AB9" i="88"/>
  <c r="X9" i="88"/>
  <c r="AA8" i="88"/>
  <c r="AD7" i="88"/>
  <c r="Z7" i="88"/>
  <c r="X20" i="88"/>
  <c r="Z18" i="88"/>
  <c r="Y17" i="88"/>
  <c r="AA15" i="88"/>
  <c r="Z14" i="88"/>
  <c r="AB12" i="88"/>
  <c r="AD10" i="88"/>
  <c r="AB8" i="88"/>
  <c r="AA21" i="88"/>
  <c r="AD20" i="88"/>
  <c r="Z20" i="88"/>
  <c r="AC19" i="88"/>
  <c r="Y19" i="88"/>
  <c r="AB18" i="88"/>
  <c r="X18" i="88"/>
  <c r="AA17" i="88"/>
  <c r="AD16" i="88"/>
  <c r="Z16" i="88"/>
  <c r="AC15" i="88"/>
  <c r="Y15" i="88"/>
  <c r="AB14" i="88"/>
  <c r="X14" i="88"/>
  <c r="AA13" i="88"/>
  <c r="AD12" i="88"/>
  <c r="Z12" i="88"/>
  <c r="AC11" i="88"/>
  <c r="Y11" i="88"/>
  <c r="AB10" i="88"/>
  <c r="X10" i="88"/>
  <c r="AA9" i="88"/>
  <c r="AD8" i="88"/>
  <c r="Z8" i="88"/>
  <c r="AC7" i="88"/>
  <c r="Y7" i="88"/>
  <c r="AB20" i="88"/>
  <c r="AD18" i="88"/>
  <c r="AB16" i="88"/>
  <c r="AD14" i="88"/>
  <c r="AC13" i="88"/>
  <c r="X12" i="88"/>
  <c r="Z10" i="88"/>
  <c r="Y9" i="88"/>
  <c r="AA7" i="88"/>
  <c r="O21" i="88"/>
  <c r="K21" i="88"/>
  <c r="P20" i="88"/>
  <c r="L20" i="88"/>
  <c r="M19" i="88"/>
  <c r="N18" i="88"/>
  <c r="J18" i="88"/>
  <c r="O17" i="88"/>
  <c r="K17" i="88"/>
  <c r="P16" i="88"/>
  <c r="L16" i="88"/>
  <c r="M15" i="88"/>
  <c r="N14" i="88"/>
  <c r="J14" i="88"/>
  <c r="O13" i="88"/>
  <c r="K13" i="88"/>
  <c r="P12" i="88"/>
  <c r="L12" i="88"/>
  <c r="M11" i="88"/>
  <c r="N21" i="88"/>
  <c r="J21" i="88"/>
  <c r="O20" i="88"/>
  <c r="K20" i="88"/>
  <c r="P19" i="88"/>
  <c r="L19" i="88"/>
  <c r="M18" i="88"/>
  <c r="N17" i="88"/>
  <c r="J17" i="88"/>
  <c r="O16" i="88"/>
  <c r="K16" i="88"/>
  <c r="P15" i="88"/>
  <c r="L15" i="88"/>
  <c r="M14" i="88"/>
  <c r="N13" i="88"/>
  <c r="J13" i="88"/>
  <c r="O12" i="88"/>
  <c r="K12" i="88"/>
  <c r="P11" i="88"/>
  <c r="L11" i="88"/>
  <c r="M21" i="88"/>
  <c r="N20" i="88"/>
  <c r="J20" i="88"/>
  <c r="O19" i="88"/>
  <c r="K19" i="88"/>
  <c r="P18" i="88"/>
  <c r="L18" i="88"/>
  <c r="M17" i="88"/>
  <c r="N16" i="88"/>
  <c r="J16" i="88"/>
  <c r="O15" i="88"/>
  <c r="K15" i="88"/>
  <c r="P14" i="88"/>
  <c r="L14" i="88"/>
  <c r="M13" i="88"/>
  <c r="N12" i="88"/>
  <c r="J12" i="88"/>
  <c r="M20" i="88"/>
  <c r="L17" i="88"/>
  <c r="K14" i="88"/>
  <c r="P13" i="88"/>
  <c r="O11" i="88"/>
  <c r="O10" i="88"/>
  <c r="K10" i="88"/>
  <c r="P9" i="88"/>
  <c r="L9" i="88"/>
  <c r="M8" i="88"/>
  <c r="O7" i="88"/>
  <c r="K7" i="88"/>
  <c r="N11" i="88"/>
  <c r="J10" i="88"/>
  <c r="O9" i="88"/>
  <c r="L8" i="88"/>
  <c r="N7" i="88"/>
  <c r="O14" i="88"/>
  <c r="M9" i="88"/>
  <c r="J8" i="88"/>
  <c r="L7" i="88"/>
  <c r="N19" i="88"/>
  <c r="M16" i="88"/>
  <c r="L13" i="88"/>
  <c r="N10" i="88"/>
  <c r="K9" i="88"/>
  <c r="P8" i="88"/>
  <c r="J7" i="88"/>
  <c r="J11" i="88"/>
  <c r="L10" i="88"/>
  <c r="N8" i="88"/>
  <c r="P21" i="88"/>
  <c r="J19" i="88"/>
  <c r="O18" i="88"/>
  <c r="N15" i="88"/>
  <c r="M12" i="88"/>
  <c r="K11" i="88"/>
  <c r="M10" i="88"/>
  <c r="N9" i="88"/>
  <c r="J9" i="88"/>
  <c r="O8" i="88"/>
  <c r="K8" i="88"/>
  <c r="M7" i="88"/>
  <c r="L21" i="88"/>
  <c r="K18" i="88"/>
  <c r="P17" i="88"/>
  <c r="J15" i="88"/>
  <c r="P10" i="88"/>
  <c r="C22" i="95" l="1"/>
  <c r="U22" i="95"/>
  <c r="M26" i="93"/>
  <c r="C26" i="93"/>
  <c r="N25" i="95"/>
  <c r="BH19" i="95"/>
  <c r="G26" i="93"/>
  <c r="Q26" i="93"/>
  <c r="BF26" i="93"/>
  <c r="I15" i="95"/>
  <c r="R25" i="95"/>
  <c r="BF15" i="95"/>
  <c r="BJ15" i="95"/>
  <c r="AU15" i="95"/>
  <c r="O19" i="95"/>
  <c r="D7" i="95"/>
  <c r="V11" i="95"/>
  <c r="BI7" i="95"/>
  <c r="T15" i="95"/>
  <c r="E15" i="95"/>
  <c r="S35" i="94"/>
  <c r="T26" i="93"/>
  <c r="S15" i="95"/>
  <c r="BB35" i="94"/>
  <c r="BE11" i="95"/>
  <c r="BE7" i="95"/>
  <c r="P15" i="95"/>
  <c r="AY15" i="95"/>
  <c r="N15" i="95"/>
  <c r="AT22" i="95"/>
  <c r="BC22" i="95"/>
  <c r="BG15" i="95"/>
  <c r="H15" i="95"/>
  <c r="V15" i="95"/>
  <c r="BA15" i="95"/>
  <c r="AW25" i="95"/>
  <c r="N11" i="95"/>
  <c r="BF11" i="95"/>
  <c r="AW6" i="93"/>
  <c r="BK15" i="95"/>
  <c r="L22" i="95"/>
  <c r="AT35" i="94"/>
  <c r="AS25" i="95"/>
  <c r="P23" i="94"/>
  <c r="L15" i="95"/>
  <c r="BA7" i="95"/>
  <c r="AS11" i="95"/>
  <c r="BA25" i="95"/>
  <c r="BD15" i="95"/>
  <c r="BE19" i="95"/>
  <c r="BC15" i="95"/>
  <c r="AT15" i="95"/>
  <c r="AV7" i="94"/>
  <c r="BA7" i="94"/>
  <c r="H7" i="95"/>
  <c r="H11" i="95"/>
  <c r="V7" i="95"/>
  <c r="AS6" i="93"/>
  <c r="BL15" i="95"/>
  <c r="E22" i="95"/>
  <c r="M15" i="95"/>
  <c r="BI25" i="95"/>
  <c r="H25" i="95"/>
  <c r="P7" i="95"/>
  <c r="BA11" i="95"/>
  <c r="E25" i="95"/>
  <c r="S25" i="95"/>
  <c r="C15" i="95"/>
  <c r="O22" i="95"/>
  <c r="D19" i="95"/>
  <c r="S19" i="95"/>
  <c r="BG22" i="95"/>
  <c r="BI11" i="95"/>
  <c r="BI15" i="95"/>
  <c r="N7" i="95"/>
  <c r="AS7" i="95"/>
  <c r="I11" i="95"/>
  <c r="BF25" i="95"/>
  <c r="AV15" i="95"/>
  <c r="G15" i="95"/>
  <c r="Q15" i="95"/>
  <c r="BH15" i="95"/>
  <c r="BC23" i="94"/>
  <c r="E11" i="95"/>
  <c r="O11" i="95"/>
  <c r="AT11" i="95"/>
  <c r="BJ11" i="95"/>
  <c r="I25" i="95"/>
  <c r="AR15" i="95"/>
  <c r="L25" i="95"/>
  <c r="AS15" i="95"/>
  <c r="C19" i="95"/>
  <c r="R19" i="95"/>
  <c r="AW19" i="95"/>
  <c r="BK22" i="95"/>
  <c r="I19" i="95"/>
  <c r="BJ6" i="93"/>
  <c r="F26" i="93"/>
  <c r="D11" i="95"/>
  <c r="BE25" i="95"/>
  <c r="S11" i="95"/>
  <c r="AX11" i="95"/>
  <c r="P25" i="95"/>
  <c r="BB22" i="95"/>
  <c r="BB19" i="95"/>
  <c r="BF7" i="94"/>
  <c r="V23" i="94"/>
  <c r="AV7" i="95"/>
  <c r="AW7" i="95"/>
  <c r="BB11" i="95"/>
  <c r="O25" i="95"/>
  <c r="AZ15" i="95"/>
  <c r="F25" i="95"/>
  <c r="T25" i="95"/>
  <c r="BJ19" i="95"/>
  <c r="T22" i="95"/>
  <c r="BJ22" i="95"/>
  <c r="AT19" i="95"/>
  <c r="N19" i="95"/>
  <c r="AY22" i="95"/>
  <c r="H6" i="93"/>
  <c r="BD7" i="94"/>
  <c r="AY7" i="94"/>
  <c r="BE15" i="95"/>
  <c r="M19" i="95"/>
  <c r="F22" i="95"/>
  <c r="F19" i="95"/>
  <c r="BC19" i="95"/>
  <c r="N26" i="88"/>
  <c r="BI6" i="93"/>
  <c r="N6" i="93"/>
  <c r="F23" i="94"/>
  <c r="P35" i="94"/>
  <c r="BD35" i="94"/>
  <c r="AT26" i="93"/>
  <c r="AU26" i="93"/>
  <c r="O26" i="93"/>
  <c r="AW26" i="93"/>
  <c r="BL7" i="95"/>
  <c r="R7" i="95"/>
  <c r="AW11" i="95"/>
  <c r="BI19" i="95"/>
  <c r="S22" i="95"/>
  <c r="BG19" i="95"/>
  <c r="AC26" i="88"/>
  <c r="AT6" i="93"/>
  <c r="U23" i="94"/>
  <c r="AY26" i="93"/>
  <c r="E26" i="93"/>
  <c r="G7" i="95"/>
  <c r="AR7" i="95"/>
  <c r="R11" i="95"/>
  <c r="I7" i="95"/>
  <c r="BB7" i="95"/>
  <c r="L11" i="95"/>
  <c r="AU11" i="95"/>
  <c r="BK11" i="95"/>
  <c r="AY25" i="95"/>
  <c r="BG7" i="95"/>
  <c r="U11" i="95"/>
  <c r="AV11" i="95"/>
  <c r="BL11" i="95"/>
  <c r="D15" i="95"/>
  <c r="R15" i="95"/>
  <c r="AW15" i="95"/>
  <c r="C25" i="95"/>
  <c r="M25" i="95"/>
  <c r="BD25" i="95"/>
  <c r="H19" i="95"/>
  <c r="P22" i="95"/>
  <c r="U19" i="95"/>
  <c r="G19" i="95"/>
  <c r="BA19" i="95"/>
  <c r="L19" i="95"/>
  <c r="AU19" i="95"/>
  <c r="BK19" i="95"/>
  <c r="N22" i="95"/>
  <c r="AS22" i="95"/>
  <c r="BI22" i="95"/>
  <c r="BD7" i="95"/>
  <c r="M7" i="95"/>
  <c r="AZ7" i="95"/>
  <c r="BF7" i="95"/>
  <c r="P11" i="95"/>
  <c r="AY11" i="95"/>
  <c r="BC25" i="95"/>
  <c r="L7" i="95"/>
  <c r="AU7" i="95"/>
  <c r="BK7" i="95"/>
  <c r="AZ11" i="95"/>
  <c r="G25" i="95"/>
  <c r="Q25" i="95"/>
  <c r="AR25" i="95"/>
  <c r="BH25" i="95"/>
  <c r="Q19" i="95"/>
  <c r="BL19" i="95"/>
  <c r="P19" i="95"/>
  <c r="AY19" i="95"/>
  <c r="D22" i="95"/>
  <c r="R22" i="95"/>
  <c r="AW22" i="95"/>
  <c r="Q7" i="95"/>
  <c r="U7" i="95"/>
  <c r="BH7" i="95"/>
  <c r="O7" i="95"/>
  <c r="AT7" i="95"/>
  <c r="BJ7" i="95"/>
  <c r="F11" i="95"/>
  <c r="T11" i="95"/>
  <c r="BC11" i="95"/>
  <c r="BG25" i="95"/>
  <c r="AY7" i="95"/>
  <c r="C11" i="95"/>
  <c r="M11" i="95"/>
  <c r="BD11" i="95"/>
  <c r="U25" i="95"/>
  <c r="AV25" i="95"/>
  <c r="BL25" i="95"/>
  <c r="AR19" i="95"/>
  <c r="AX22" i="95"/>
  <c r="BD19" i="95"/>
  <c r="I22" i="95"/>
  <c r="T19" i="95"/>
  <c r="H22" i="95"/>
  <c r="V22" i="95"/>
  <c r="BA22" i="95"/>
  <c r="C7" i="95"/>
  <c r="E7" i="95"/>
  <c r="S7" i="95"/>
  <c r="AX7" i="95"/>
  <c r="BG11" i="95"/>
  <c r="AU25" i="95"/>
  <c r="BK25" i="95"/>
  <c r="F7" i="95"/>
  <c r="T7" i="95"/>
  <c r="BC7" i="95"/>
  <c r="G11" i="95"/>
  <c r="Q11" i="95"/>
  <c r="AR11" i="95"/>
  <c r="BH11" i="95"/>
  <c r="AZ25" i="95"/>
  <c r="BF22" i="95"/>
  <c r="AV19" i="95"/>
  <c r="BE22" i="95"/>
  <c r="E6" i="93"/>
  <c r="O6" i="93"/>
  <c r="F6" i="93"/>
  <c r="T6" i="93"/>
  <c r="AY6" i="93"/>
  <c r="C6" i="93"/>
  <c r="C27" i="93" s="1"/>
  <c r="M6" i="93"/>
  <c r="M27" i="93" s="1"/>
  <c r="Z26" i="88"/>
  <c r="Y26" i="88"/>
  <c r="R6" i="93"/>
  <c r="V6" i="93"/>
  <c r="I6" i="93"/>
  <c r="S6" i="93"/>
  <c r="AX6" i="93"/>
  <c r="BC6" i="93"/>
  <c r="G6" i="93"/>
  <c r="G28" i="93" s="1"/>
  <c r="Q6" i="93"/>
  <c r="Q27" i="93" s="1"/>
  <c r="AR6" i="93"/>
  <c r="BH6" i="93"/>
  <c r="D6" i="93"/>
  <c r="BA6" i="93"/>
  <c r="BE6" i="93"/>
  <c r="BB6" i="93"/>
  <c r="L6" i="93"/>
  <c r="BG6" i="93"/>
  <c r="U6" i="93"/>
  <c r="AV6" i="93"/>
  <c r="BL6" i="93"/>
  <c r="K26" i="88"/>
  <c r="L26" i="88"/>
  <c r="BF6" i="93"/>
  <c r="P6" i="93"/>
  <c r="AU6" i="93"/>
  <c r="BK6" i="93"/>
  <c r="AZ6" i="93"/>
  <c r="H7" i="94"/>
  <c r="V7" i="94"/>
  <c r="AY23" i="94"/>
  <c r="M7" i="94"/>
  <c r="BH7" i="94"/>
  <c r="BL7" i="94"/>
  <c r="U7" i="94"/>
  <c r="I35" i="94"/>
  <c r="BE7" i="94"/>
  <c r="E7" i="94"/>
  <c r="O7" i="94"/>
  <c r="AT7" i="94"/>
  <c r="BJ7" i="94"/>
  <c r="BG23" i="94"/>
  <c r="BC7" i="94"/>
  <c r="AU23" i="94"/>
  <c r="AZ23" i="94"/>
  <c r="BF35" i="94"/>
  <c r="BE23" i="94"/>
  <c r="BJ35" i="94"/>
  <c r="I23" i="94"/>
  <c r="S23" i="94"/>
  <c r="AX23" i="94"/>
  <c r="F35" i="94"/>
  <c r="T35" i="94"/>
  <c r="AY35" i="94"/>
  <c r="G35" i="94"/>
  <c r="Q35" i="94"/>
  <c r="AR35" i="94"/>
  <c r="BH35" i="94"/>
  <c r="H35" i="94"/>
  <c r="V35" i="94"/>
  <c r="BA35" i="94"/>
  <c r="P26" i="93"/>
  <c r="BK26" i="93"/>
  <c r="AZ26" i="93"/>
  <c r="I26" i="93"/>
  <c r="S26" i="93"/>
  <c r="BA26" i="93"/>
  <c r="BD6" i="93"/>
  <c r="C7" i="94"/>
  <c r="G7" i="94"/>
  <c r="AZ7" i="94"/>
  <c r="N7" i="94"/>
  <c r="AS7" i="94"/>
  <c r="BI7" i="94"/>
  <c r="T23" i="94"/>
  <c r="I7" i="94"/>
  <c r="S7" i="94"/>
  <c r="AX7" i="94"/>
  <c r="L7" i="94"/>
  <c r="BG7" i="94"/>
  <c r="BK23" i="94"/>
  <c r="C23" i="94"/>
  <c r="M23" i="94"/>
  <c r="BD23" i="94"/>
  <c r="N23" i="94"/>
  <c r="AS23" i="94"/>
  <c r="BI23" i="94"/>
  <c r="BB23" i="94"/>
  <c r="E35" i="94"/>
  <c r="BC35" i="94"/>
  <c r="U35" i="94"/>
  <c r="AV35" i="94"/>
  <c r="BL35" i="94"/>
  <c r="BE35" i="94"/>
  <c r="BB26" i="93"/>
  <c r="BJ26" i="93"/>
  <c r="AX26" i="93"/>
  <c r="U26" i="93"/>
  <c r="N26" i="93"/>
  <c r="BD26" i="93"/>
  <c r="BE26" i="93"/>
  <c r="AR7" i="94"/>
  <c r="Q7" i="94"/>
  <c r="D7" i="94"/>
  <c r="R7" i="94"/>
  <c r="AW7" i="94"/>
  <c r="BB7" i="94"/>
  <c r="P7" i="94"/>
  <c r="AU7" i="94"/>
  <c r="BK7" i="94"/>
  <c r="L23" i="94"/>
  <c r="G23" i="94"/>
  <c r="Q23" i="94"/>
  <c r="AR23" i="94"/>
  <c r="BH23" i="94"/>
  <c r="D23" i="94"/>
  <c r="R23" i="94"/>
  <c r="AW23" i="94"/>
  <c r="BF23" i="94"/>
  <c r="O35" i="94"/>
  <c r="L35" i="94"/>
  <c r="BG35" i="94"/>
  <c r="AZ35" i="94"/>
  <c r="N35" i="94"/>
  <c r="AS35" i="94"/>
  <c r="BI35" i="94"/>
  <c r="L26" i="93"/>
  <c r="BC26" i="93"/>
  <c r="BC28" i="93" s="1"/>
  <c r="D26" i="93"/>
  <c r="R26" i="93"/>
  <c r="AR26" i="93"/>
  <c r="AR28" i="93" s="1"/>
  <c r="BH26" i="93"/>
  <c r="AS26" i="93"/>
  <c r="BI26" i="93"/>
  <c r="F7" i="94"/>
  <c r="T7" i="94"/>
  <c r="AV23" i="94"/>
  <c r="BL23" i="94"/>
  <c r="H23" i="94"/>
  <c r="BA23" i="94"/>
  <c r="E23" i="94"/>
  <c r="O23" i="94"/>
  <c r="AT23" i="94"/>
  <c r="BJ23" i="94"/>
  <c r="AX35" i="94"/>
  <c r="AU35" i="94"/>
  <c r="BK35" i="94"/>
  <c r="C35" i="94"/>
  <c r="M35" i="94"/>
  <c r="D35" i="94"/>
  <c r="R35" i="94"/>
  <c r="AW35" i="94"/>
  <c r="BG26" i="93"/>
  <c r="H26" i="93"/>
  <c r="V26" i="93"/>
  <c r="AV26" i="93"/>
  <c r="BL26" i="93"/>
  <c r="Z7" i="93"/>
  <c r="Z6" i="93" s="1"/>
  <c r="AG6" i="93"/>
  <c r="W7" i="93"/>
  <c r="W6" i="93" s="1"/>
  <c r="AD6" i="93"/>
  <c r="AA7" i="93"/>
  <c r="AA6" i="93" s="1"/>
  <c r="AH6" i="93"/>
  <c r="AI6" i="93"/>
  <c r="AB7" i="93"/>
  <c r="AB6" i="93" s="1"/>
  <c r="AF6" i="93"/>
  <c r="Y7" i="93"/>
  <c r="Y6" i="93" s="1"/>
  <c r="AJ6" i="93"/>
  <c r="AC7" i="93"/>
  <c r="AC6" i="93" s="1"/>
  <c r="AJ7" i="94"/>
  <c r="AC8" i="94"/>
  <c r="AC7" i="94" s="1"/>
  <c r="AF7" i="94"/>
  <c r="Y8" i="94"/>
  <c r="Y7" i="94" s="1"/>
  <c r="AG7" i="94"/>
  <c r="Z8" i="94"/>
  <c r="Z7" i="94" s="1"/>
  <c r="AD7" i="94"/>
  <c r="W8" i="94"/>
  <c r="W7" i="94" s="1"/>
  <c r="AH7" i="94"/>
  <c r="AA8" i="94"/>
  <c r="AA7" i="94" s="1"/>
  <c r="X24" i="94"/>
  <c r="X8" i="94"/>
  <c r="AI7" i="94"/>
  <c r="AB8" i="94"/>
  <c r="AB7" i="94" s="1"/>
  <c r="AI23" i="94"/>
  <c r="AB24" i="94"/>
  <c r="AB23" i="94" s="1"/>
  <c r="AF23" i="94"/>
  <c r="Y24" i="94"/>
  <c r="Y23" i="94" s="1"/>
  <c r="AJ23" i="94"/>
  <c r="AC24" i="94"/>
  <c r="AC23" i="94" s="1"/>
  <c r="AD35" i="94"/>
  <c r="W36" i="94"/>
  <c r="W35" i="94" s="1"/>
  <c r="AG23" i="94"/>
  <c r="Z24" i="94"/>
  <c r="Z23" i="94" s="1"/>
  <c r="AH35" i="94"/>
  <c r="AA36" i="94"/>
  <c r="AA35" i="94" s="1"/>
  <c r="AD23" i="94"/>
  <c r="W24" i="94"/>
  <c r="W23" i="94" s="1"/>
  <c r="AA24" i="94"/>
  <c r="AA23" i="94" s="1"/>
  <c r="AH23" i="94"/>
  <c r="AI35" i="94"/>
  <c r="AB36" i="94"/>
  <c r="AB35" i="94" s="1"/>
  <c r="AF35" i="94"/>
  <c r="Y36" i="94"/>
  <c r="Y35" i="94" s="1"/>
  <c r="AJ35" i="94"/>
  <c r="AC36" i="94"/>
  <c r="AC35" i="94" s="1"/>
  <c r="AG35" i="94"/>
  <c r="Z36" i="94"/>
  <c r="Z35" i="94" s="1"/>
  <c r="W23" i="93"/>
  <c r="W26" i="93" s="1"/>
  <c r="AD26" i="93"/>
  <c r="AA23" i="93"/>
  <c r="AA26" i="93" s="1"/>
  <c r="AH26" i="93"/>
  <c r="AI26" i="93"/>
  <c r="AB23" i="93"/>
  <c r="AB26" i="93" s="1"/>
  <c r="AF26" i="93"/>
  <c r="Y23" i="93"/>
  <c r="Y26" i="93" s="1"/>
  <c r="AJ26" i="93"/>
  <c r="AC23" i="93"/>
  <c r="AC26" i="93" s="1"/>
  <c r="AG26" i="93"/>
  <c r="Z23" i="93"/>
  <c r="Z26" i="93" s="1"/>
  <c r="AF7" i="95"/>
  <c r="Y8" i="95"/>
  <c r="Y7" i="95" s="1"/>
  <c r="AG11" i="95"/>
  <c r="Z12" i="95"/>
  <c r="Z11" i="95" s="1"/>
  <c r="AG7" i="95"/>
  <c r="Z8" i="95"/>
  <c r="Z7" i="95" s="1"/>
  <c r="W16" i="95"/>
  <c r="W15" i="95" s="1"/>
  <c r="AD15" i="95"/>
  <c r="AJ7" i="95"/>
  <c r="AC8" i="95"/>
  <c r="AC7" i="95" s="1"/>
  <c r="AA16" i="95"/>
  <c r="AA15" i="95" s="1"/>
  <c r="AH15" i="95"/>
  <c r="AG25" i="95"/>
  <c r="Z26" i="95"/>
  <c r="Z25" i="95" s="1"/>
  <c r="W12" i="95"/>
  <c r="W11" i="95" s="1"/>
  <c r="AD11" i="95"/>
  <c r="AA12" i="95"/>
  <c r="AA11" i="95" s="1"/>
  <c r="AH11" i="95"/>
  <c r="AI15" i="95"/>
  <c r="AB16" i="95"/>
  <c r="AB15" i="95" s="1"/>
  <c r="AD25" i="95"/>
  <c r="W26" i="95"/>
  <c r="W25" i="95" s="1"/>
  <c r="AH25" i="95"/>
  <c r="AA26" i="95"/>
  <c r="AA25" i="95" s="1"/>
  <c r="AD7" i="95"/>
  <c r="W8" i="95"/>
  <c r="W7" i="95" s="1"/>
  <c r="AA8" i="95"/>
  <c r="AA7" i="95" s="1"/>
  <c r="AH7" i="95"/>
  <c r="AI11" i="95"/>
  <c r="AB12" i="95"/>
  <c r="AB11" i="95" s="1"/>
  <c r="AF15" i="95"/>
  <c r="Y16" i="95"/>
  <c r="Y15" i="95" s="1"/>
  <c r="AJ15" i="95"/>
  <c r="AC16" i="95"/>
  <c r="AC15" i="95" s="1"/>
  <c r="AI25" i="95"/>
  <c r="AB26" i="95"/>
  <c r="AB25" i="95" s="1"/>
  <c r="AI7" i="95"/>
  <c r="AB8" i="95"/>
  <c r="AB7" i="95" s="1"/>
  <c r="AF11" i="95"/>
  <c r="Y12" i="95"/>
  <c r="Y11" i="95" s="1"/>
  <c r="AJ11" i="95"/>
  <c r="AC12" i="95"/>
  <c r="AC11" i="95" s="1"/>
  <c r="AG15" i="95"/>
  <c r="Z16" i="95"/>
  <c r="Z15" i="95" s="1"/>
  <c r="Y26" i="95"/>
  <c r="Y25" i="95" s="1"/>
  <c r="AF25" i="95"/>
  <c r="AC26" i="95"/>
  <c r="AC25" i="95" s="1"/>
  <c r="AJ25" i="95"/>
  <c r="AG19" i="95"/>
  <c r="Z20" i="95"/>
  <c r="Z19" i="95" s="1"/>
  <c r="AI22" i="95"/>
  <c r="AB23" i="95"/>
  <c r="AB22" i="95" s="1"/>
  <c r="AA20" i="95"/>
  <c r="AA19" i="95" s="1"/>
  <c r="AH19" i="95"/>
  <c r="W20" i="95"/>
  <c r="W19" i="95" s="1"/>
  <c r="AD19" i="95"/>
  <c r="AJ19" i="95"/>
  <c r="AC20" i="95"/>
  <c r="AC19" i="95" s="1"/>
  <c r="W23" i="95"/>
  <c r="W22" i="95" s="1"/>
  <c r="AD22" i="95"/>
  <c r="AF19" i="95"/>
  <c r="Y20" i="95"/>
  <c r="Y19" i="95" s="1"/>
  <c r="AA23" i="95"/>
  <c r="AA22" i="95" s="1"/>
  <c r="AH22" i="95"/>
  <c r="AF22" i="95"/>
  <c r="Y23" i="95"/>
  <c r="Y22" i="95" s="1"/>
  <c r="AJ22" i="95"/>
  <c r="AC23" i="95"/>
  <c r="AC22" i="95" s="1"/>
  <c r="AI19" i="95"/>
  <c r="AB20" i="95"/>
  <c r="AB19" i="95" s="1"/>
  <c r="AG22" i="95"/>
  <c r="Z23" i="95"/>
  <c r="Z22" i="95" s="1"/>
  <c r="AG26" i="88"/>
  <c r="C26" i="88"/>
  <c r="D26" i="88"/>
  <c r="T26" i="88"/>
  <c r="AI26" i="88"/>
  <c r="AB26" i="88"/>
  <c r="I26" i="88"/>
  <c r="Q26" i="88"/>
  <c r="AE26" i="88"/>
  <c r="X26" i="88"/>
  <c r="M26" i="88"/>
  <c r="AA26" i="88"/>
  <c r="U26" i="88"/>
  <c r="AJ26" i="88"/>
  <c r="W26" i="88"/>
  <c r="V26" i="88"/>
  <c r="AD26" i="88"/>
  <c r="P26" i="88"/>
  <c r="H26" i="88"/>
  <c r="O26" i="88"/>
  <c r="AK26" i="88"/>
  <c r="J26" i="88"/>
  <c r="AE6" i="88"/>
  <c r="AJ6" i="88"/>
  <c r="AG6" i="88"/>
  <c r="AH6" i="88"/>
  <c r="AH28" i="88" s="1"/>
  <c r="AI6" i="88"/>
  <c r="AK6" i="88"/>
  <c r="U6" i="88"/>
  <c r="P6" i="88"/>
  <c r="M6" i="88"/>
  <c r="E6" i="88"/>
  <c r="E28" i="88" s="1"/>
  <c r="T6" i="88"/>
  <c r="J6" i="88"/>
  <c r="V6" i="88"/>
  <c r="G6" i="88"/>
  <c r="G27" i="88" s="1"/>
  <c r="W6" i="88"/>
  <c r="AC6" i="88"/>
  <c r="D6" i="88"/>
  <c r="I6" i="88"/>
  <c r="L6" i="88"/>
  <c r="K6" i="88"/>
  <c r="X6" i="88"/>
  <c r="F6" i="88"/>
  <c r="F28" i="88" s="1"/>
  <c r="O6" i="88"/>
  <c r="Z6" i="88"/>
  <c r="AB6" i="88"/>
  <c r="Q6" i="88"/>
  <c r="H6" i="88"/>
  <c r="N6" i="88"/>
  <c r="C6" i="88"/>
  <c r="S6" i="88"/>
  <c r="S28" i="88" s="1"/>
  <c r="AA6" i="88"/>
  <c r="Y6" i="88"/>
  <c r="AD6" i="88"/>
  <c r="A974" i="58"/>
  <c r="A973" i="58"/>
  <c r="A972" i="58"/>
  <c r="A971" i="58"/>
  <c r="A970" i="58"/>
  <c r="A969" i="58"/>
  <c r="A968" i="58"/>
  <c r="A967" i="58"/>
  <c r="A966" i="58"/>
  <c r="A965" i="58"/>
  <c r="A964" i="58"/>
  <c r="A963" i="58"/>
  <c r="A962" i="58"/>
  <c r="A961" i="58"/>
  <c r="A960" i="58"/>
  <c r="A959" i="58"/>
  <c r="A958" i="58"/>
  <c r="A957" i="58"/>
  <c r="A956" i="58"/>
  <c r="A955" i="58"/>
  <c r="A954" i="58"/>
  <c r="A953" i="58"/>
  <c r="A952" i="58"/>
  <c r="A951" i="58"/>
  <c r="A950" i="58"/>
  <c r="A949" i="58"/>
  <c r="A948" i="58"/>
  <c r="A947" i="58"/>
  <c r="A946" i="58"/>
  <c r="A945" i="58"/>
  <c r="A944" i="58"/>
  <c r="A943" i="58"/>
  <c r="A942" i="58"/>
  <c r="A941" i="58"/>
  <c r="A940" i="58"/>
  <c r="A939" i="58"/>
  <c r="A938" i="58"/>
  <c r="A937" i="58"/>
  <c r="A936" i="58"/>
  <c r="A935" i="58"/>
  <c r="A934" i="58"/>
  <c r="A933" i="58"/>
  <c r="A932" i="58"/>
  <c r="A931" i="58"/>
  <c r="A930" i="58"/>
  <c r="A929" i="58"/>
  <c r="A928" i="58"/>
  <c r="A927" i="58"/>
  <c r="A926" i="58"/>
  <c r="A925" i="58"/>
  <c r="A924" i="58"/>
  <c r="A923" i="58"/>
  <c r="A922" i="58"/>
  <c r="A921" i="58"/>
  <c r="A920" i="58"/>
  <c r="A919" i="58"/>
  <c r="A918" i="58"/>
  <c r="A917" i="58"/>
  <c r="A916" i="58"/>
  <c r="A915" i="58"/>
  <c r="A914" i="58"/>
  <c r="A913" i="58"/>
  <c r="A912" i="58"/>
  <c r="A911" i="58"/>
  <c r="A910" i="58"/>
  <c r="A909" i="58"/>
  <c r="A908" i="58"/>
  <c r="A907" i="58"/>
  <c r="A906" i="58"/>
  <c r="A905" i="58"/>
  <c r="A904" i="58"/>
  <c r="A903" i="58"/>
  <c r="A902" i="58"/>
  <c r="A901" i="58"/>
  <c r="A900" i="58"/>
  <c r="A899" i="58"/>
  <c r="A898" i="58"/>
  <c r="A897" i="58"/>
  <c r="A896" i="58"/>
  <c r="A895" i="58"/>
  <c r="A894" i="58"/>
  <c r="A893" i="58"/>
  <c r="A892" i="58"/>
  <c r="A891" i="58"/>
  <c r="A890" i="58"/>
  <c r="A889" i="58"/>
  <c r="A888" i="58"/>
  <c r="A887" i="58"/>
  <c r="A886" i="58"/>
  <c r="A885" i="58"/>
  <c r="A884" i="58"/>
  <c r="A883" i="58"/>
  <c r="A882" i="58"/>
  <c r="A881" i="58"/>
  <c r="A880" i="58"/>
  <c r="A879" i="58"/>
  <c r="A878" i="58"/>
  <c r="A877" i="58"/>
  <c r="A876" i="58"/>
  <c r="A875" i="58"/>
  <c r="A874" i="58"/>
  <c r="A873" i="58"/>
  <c r="A872" i="58"/>
  <c r="A871" i="58"/>
  <c r="A870" i="58"/>
  <c r="A869" i="58"/>
  <c r="A868" i="58"/>
  <c r="A867" i="58"/>
  <c r="A866" i="58"/>
  <c r="A865" i="58"/>
  <c r="A864" i="58"/>
  <c r="A863" i="58"/>
  <c r="A862" i="58"/>
  <c r="A861" i="58"/>
  <c r="A860" i="58"/>
  <c r="A859" i="58"/>
  <c r="A858" i="58"/>
  <c r="A857" i="58"/>
  <c r="A856" i="58"/>
  <c r="A855" i="58"/>
  <c r="A854" i="58"/>
  <c r="A853" i="58"/>
  <c r="A852" i="58"/>
  <c r="A851" i="58"/>
  <c r="A850" i="58"/>
  <c r="A849" i="58"/>
  <c r="A848" i="58"/>
  <c r="A847" i="58"/>
  <c r="A846" i="58"/>
  <c r="A845" i="58"/>
  <c r="A844" i="58"/>
  <c r="A843" i="58"/>
  <c r="A842" i="58"/>
  <c r="A841" i="58"/>
  <c r="A840" i="58"/>
  <c r="A839" i="58"/>
  <c r="A838" i="58"/>
  <c r="A837" i="58"/>
  <c r="A836" i="58"/>
  <c r="A835" i="58"/>
  <c r="A834" i="58"/>
  <c r="A833" i="58"/>
  <c r="A832" i="58"/>
  <c r="A831" i="58"/>
  <c r="A830" i="58"/>
  <c r="A829" i="58"/>
  <c r="A828" i="58"/>
  <c r="A827" i="58"/>
  <c r="A826" i="58"/>
  <c r="A825" i="58"/>
  <c r="A824" i="58"/>
  <c r="A823" i="58"/>
  <c r="A822" i="58"/>
  <c r="A821" i="58"/>
  <c r="A820" i="58"/>
  <c r="A819" i="58"/>
  <c r="A818" i="58"/>
  <c r="A817" i="58"/>
  <c r="A816" i="58"/>
  <c r="A815" i="58"/>
  <c r="A814" i="58"/>
  <c r="A813" i="58"/>
  <c r="A812" i="58"/>
  <c r="A811" i="58"/>
  <c r="A810" i="58"/>
  <c r="A809" i="58"/>
  <c r="A808" i="58"/>
  <c r="A807" i="58"/>
  <c r="A806" i="58"/>
  <c r="A805" i="58"/>
  <c r="A804" i="58"/>
  <c r="A803" i="58"/>
  <c r="A802" i="58"/>
  <c r="A801" i="58"/>
  <c r="A800" i="58"/>
  <c r="A799" i="58"/>
  <c r="A798" i="58"/>
  <c r="A797" i="58"/>
  <c r="A796" i="58"/>
  <c r="A795" i="58"/>
  <c r="A794" i="58"/>
  <c r="A793" i="58"/>
  <c r="A792" i="58"/>
  <c r="A791" i="58"/>
  <c r="A790" i="58"/>
  <c r="A789" i="58"/>
  <c r="A788" i="58"/>
  <c r="A787" i="58"/>
  <c r="A786" i="58"/>
  <c r="A785" i="58"/>
  <c r="A784" i="58"/>
  <c r="A783" i="58"/>
  <c r="A782" i="58"/>
  <c r="A781" i="58"/>
  <c r="A780" i="58"/>
  <c r="A779" i="58"/>
  <c r="A778" i="58"/>
  <c r="A777" i="58"/>
  <c r="A776" i="58"/>
  <c r="A775" i="58"/>
  <c r="A774" i="58"/>
  <c r="A773" i="58"/>
  <c r="A772" i="58"/>
  <c r="A771" i="58"/>
  <c r="A770" i="58"/>
  <c r="A769" i="58"/>
  <c r="A768" i="58"/>
  <c r="A767" i="58"/>
  <c r="A766" i="58"/>
  <c r="A765" i="58"/>
  <c r="A764" i="58"/>
  <c r="A763" i="58"/>
  <c r="A762" i="58"/>
  <c r="A761" i="58"/>
  <c r="A760" i="58"/>
  <c r="A759" i="58"/>
  <c r="A758" i="58"/>
  <c r="A757" i="58"/>
  <c r="A756" i="58"/>
  <c r="A755" i="58"/>
  <c r="A754" i="58"/>
  <c r="A753" i="58"/>
  <c r="A752" i="58"/>
  <c r="A751" i="58"/>
  <c r="A750" i="58"/>
  <c r="A749" i="58"/>
  <c r="A748" i="58"/>
  <c r="A747" i="58"/>
  <c r="A746" i="58"/>
  <c r="A745" i="58"/>
  <c r="A744" i="58"/>
  <c r="A743" i="58"/>
  <c r="A742" i="58"/>
  <c r="A741" i="58"/>
  <c r="A740" i="58"/>
  <c r="A739" i="58"/>
  <c r="A738" i="58"/>
  <c r="A737" i="58"/>
  <c r="A736" i="58"/>
  <c r="A735" i="58"/>
  <c r="A734" i="58"/>
  <c r="A733" i="58"/>
  <c r="A732" i="58"/>
  <c r="A731" i="58"/>
  <c r="A730" i="58"/>
  <c r="A729" i="58"/>
  <c r="A728" i="58"/>
  <c r="A727" i="58"/>
  <c r="A726" i="58"/>
  <c r="A725" i="58"/>
  <c r="A724" i="58"/>
  <c r="A723" i="58"/>
  <c r="A722" i="58"/>
  <c r="A721" i="58"/>
  <c r="A720" i="58"/>
  <c r="A719" i="58"/>
  <c r="A718" i="58"/>
  <c r="A717" i="58"/>
  <c r="A716" i="58"/>
  <c r="A715" i="58"/>
  <c r="A714" i="58"/>
  <c r="A713" i="58"/>
  <c r="A712" i="58"/>
  <c r="A711" i="58"/>
  <c r="A710" i="58"/>
  <c r="A709" i="58"/>
  <c r="A708" i="58"/>
  <c r="A707" i="58"/>
  <c r="A706" i="58"/>
  <c r="A705" i="58"/>
  <c r="A704" i="58"/>
  <c r="A703" i="58"/>
  <c r="A702" i="58"/>
  <c r="A701" i="58"/>
  <c r="A700" i="58"/>
  <c r="A699" i="58"/>
  <c r="A698" i="58"/>
  <c r="A697" i="58"/>
  <c r="A696" i="58"/>
  <c r="A695" i="58"/>
  <c r="A694" i="58"/>
  <c r="A693" i="58"/>
  <c r="A692" i="58"/>
  <c r="A691" i="58"/>
  <c r="A690" i="58"/>
  <c r="A689" i="58"/>
  <c r="A688" i="58"/>
  <c r="A687" i="58"/>
  <c r="A686" i="58"/>
  <c r="A685" i="58"/>
  <c r="A684" i="58"/>
  <c r="A683" i="58"/>
  <c r="A682" i="58"/>
  <c r="A681" i="58"/>
  <c r="A680" i="58"/>
  <c r="A679" i="58"/>
  <c r="A678" i="58"/>
  <c r="A677" i="58"/>
  <c r="A676" i="58"/>
  <c r="A675" i="58"/>
  <c r="A674" i="58"/>
  <c r="A673" i="58"/>
  <c r="A672" i="58"/>
  <c r="A671" i="58"/>
  <c r="A670" i="58"/>
  <c r="A669" i="58"/>
  <c r="A668" i="58"/>
  <c r="A667" i="58"/>
  <c r="A666" i="58"/>
  <c r="A665" i="58"/>
  <c r="A664" i="58"/>
  <c r="A663" i="58"/>
  <c r="A662" i="58"/>
  <c r="A661" i="58"/>
  <c r="A660" i="58"/>
  <c r="A659" i="58"/>
  <c r="A658" i="58"/>
  <c r="A657" i="58"/>
  <c r="A656" i="58"/>
  <c r="A655" i="58"/>
  <c r="A654" i="58"/>
  <c r="A653" i="58"/>
  <c r="A652" i="58"/>
  <c r="A651" i="58"/>
  <c r="A650" i="58"/>
  <c r="A649" i="58"/>
  <c r="A648" i="58"/>
  <c r="A647" i="58"/>
  <c r="A646" i="58"/>
  <c r="A645" i="58"/>
  <c r="A644" i="58"/>
  <c r="A643" i="58"/>
  <c r="A642" i="58"/>
  <c r="A641" i="58"/>
  <c r="A640" i="58"/>
  <c r="A639" i="58"/>
  <c r="A638" i="58"/>
  <c r="A637" i="58"/>
  <c r="A636" i="58"/>
  <c r="A635" i="58"/>
  <c r="A634" i="58"/>
  <c r="A633" i="58"/>
  <c r="A632" i="58"/>
  <c r="A631" i="58"/>
  <c r="A630" i="58"/>
  <c r="A629" i="58"/>
  <c r="A628" i="58"/>
  <c r="A627" i="58"/>
  <c r="A626" i="58"/>
  <c r="A625" i="58"/>
  <c r="A624" i="58"/>
  <c r="A623" i="58"/>
  <c r="A622" i="58"/>
  <c r="A621" i="58"/>
  <c r="A620" i="58"/>
  <c r="A619" i="58"/>
  <c r="A618" i="58"/>
  <c r="A617" i="58"/>
  <c r="A616" i="58"/>
  <c r="A615" i="58"/>
  <c r="A614" i="58"/>
  <c r="A613" i="58"/>
  <c r="A612" i="58"/>
  <c r="A611" i="58"/>
  <c r="A610" i="58"/>
  <c r="A609" i="58"/>
  <c r="A608" i="58"/>
  <c r="A607" i="58"/>
  <c r="A606" i="58"/>
  <c r="A605" i="58"/>
  <c r="A604" i="58"/>
  <c r="A603" i="58"/>
  <c r="A602" i="58"/>
  <c r="A601" i="58"/>
  <c r="A600" i="58"/>
  <c r="A599" i="58"/>
  <c r="A598" i="58"/>
  <c r="A597" i="58"/>
  <c r="A596" i="58"/>
  <c r="A595" i="58"/>
  <c r="A594" i="58"/>
  <c r="A593" i="58"/>
  <c r="A592" i="58"/>
  <c r="A591" i="58"/>
  <c r="A590" i="58"/>
  <c r="A589" i="58"/>
  <c r="A588" i="58"/>
  <c r="A587" i="58"/>
  <c r="A586" i="58"/>
  <c r="A585" i="58"/>
  <c r="A584" i="58"/>
  <c r="A583" i="58"/>
  <c r="A582" i="58"/>
  <c r="A581" i="58"/>
  <c r="A580" i="58"/>
  <c r="A579" i="58"/>
  <c r="A578" i="58"/>
  <c r="A577" i="58"/>
  <c r="A576" i="58"/>
  <c r="A575" i="58"/>
  <c r="A574" i="58"/>
  <c r="A573" i="58"/>
  <c r="A572" i="58"/>
  <c r="A571" i="58"/>
  <c r="A570" i="58"/>
  <c r="A569" i="58"/>
  <c r="A568" i="58"/>
  <c r="A567" i="58"/>
  <c r="A566" i="58"/>
  <c r="A565" i="58"/>
  <c r="A564" i="58"/>
  <c r="A563" i="58"/>
  <c r="A562" i="58"/>
  <c r="A561" i="58"/>
  <c r="A560" i="58"/>
  <c r="A559" i="58"/>
  <c r="A558" i="58"/>
  <c r="A557" i="58"/>
  <c r="A556" i="58"/>
  <c r="A555" i="58"/>
  <c r="A554" i="58"/>
  <c r="A553" i="58"/>
  <c r="A552" i="58"/>
  <c r="A551" i="58"/>
  <c r="A550" i="58"/>
  <c r="A549" i="58"/>
  <c r="A548" i="58"/>
  <c r="A547" i="58"/>
  <c r="A546" i="58"/>
  <c r="A545" i="58"/>
  <c r="A544" i="58"/>
  <c r="A543" i="58"/>
  <c r="A542" i="58"/>
  <c r="A541" i="58"/>
  <c r="A540" i="58"/>
  <c r="A539" i="58"/>
  <c r="A538" i="58"/>
  <c r="A537" i="58"/>
  <c r="A536" i="58"/>
  <c r="A535" i="58"/>
  <c r="A534" i="58"/>
  <c r="A533" i="58"/>
  <c r="A532" i="58"/>
  <c r="A531" i="58"/>
  <c r="A530" i="58"/>
  <c r="A529" i="58"/>
  <c r="A528" i="58"/>
  <c r="A527" i="58"/>
  <c r="A526" i="58"/>
  <c r="A525" i="58"/>
  <c r="A524" i="58"/>
  <c r="A523" i="58"/>
  <c r="A522" i="58"/>
  <c r="A521" i="58"/>
  <c r="A520" i="58"/>
  <c r="A519" i="58"/>
  <c r="A518" i="58"/>
  <c r="A517" i="58"/>
  <c r="A516" i="58"/>
  <c r="A515" i="58"/>
  <c r="A514" i="58"/>
  <c r="A513" i="58"/>
  <c r="A512" i="58"/>
  <c r="A511" i="58"/>
  <c r="A510" i="58"/>
  <c r="A509" i="58"/>
  <c r="A508" i="58"/>
  <c r="A507" i="58"/>
  <c r="A506" i="58"/>
  <c r="A505" i="58"/>
  <c r="A504" i="58"/>
  <c r="A503" i="58"/>
  <c r="A502" i="58"/>
  <c r="A501" i="58"/>
  <c r="A500" i="58"/>
  <c r="A499" i="58"/>
  <c r="A498" i="58"/>
  <c r="A497" i="58"/>
  <c r="A496" i="58"/>
  <c r="A495" i="58"/>
  <c r="A494" i="58"/>
  <c r="A493" i="58"/>
  <c r="A492" i="58"/>
  <c r="A491" i="58"/>
  <c r="A490" i="58"/>
  <c r="A489" i="58"/>
  <c r="A488" i="58"/>
  <c r="A487" i="58"/>
  <c r="A486" i="58"/>
  <c r="A485" i="58"/>
  <c r="A484" i="58"/>
  <c r="A483" i="58"/>
  <c r="A482" i="58"/>
  <c r="A481" i="58"/>
  <c r="A480" i="58"/>
  <c r="A479" i="58"/>
  <c r="A478" i="58"/>
  <c r="A477" i="58"/>
  <c r="A476" i="58"/>
  <c r="A475" i="58"/>
  <c r="A474" i="58"/>
  <c r="A473" i="58"/>
  <c r="A472" i="58"/>
  <c r="A471" i="58"/>
  <c r="A470" i="58"/>
  <c r="A469" i="58"/>
  <c r="A468" i="58"/>
  <c r="A467" i="58"/>
  <c r="A466" i="58"/>
  <c r="A465" i="58"/>
  <c r="A464" i="58"/>
  <c r="A463" i="58"/>
  <c r="A462" i="58"/>
  <c r="A461" i="58"/>
  <c r="A460" i="58"/>
  <c r="A459" i="58"/>
  <c r="A458" i="58"/>
  <c r="A457" i="58"/>
  <c r="A456" i="58"/>
  <c r="A455" i="58"/>
  <c r="A454" i="58"/>
  <c r="A453" i="58"/>
  <c r="A452" i="58"/>
  <c r="A451" i="58"/>
  <c r="A450" i="58"/>
  <c r="A449" i="58"/>
  <c r="A448" i="58"/>
  <c r="A447" i="58"/>
  <c r="A446" i="58"/>
  <c r="A445" i="58"/>
  <c r="A444" i="58"/>
  <c r="A443" i="58"/>
  <c r="A442" i="58"/>
  <c r="A441" i="58"/>
  <c r="A440" i="58"/>
  <c r="A439" i="58"/>
  <c r="A438" i="58"/>
  <c r="A437" i="58"/>
  <c r="A436" i="58"/>
  <c r="A435" i="58"/>
  <c r="A434" i="58"/>
  <c r="A433" i="58"/>
  <c r="A432" i="58"/>
  <c r="A431" i="58"/>
  <c r="A430" i="58"/>
  <c r="A429" i="58"/>
  <c r="A428" i="58"/>
  <c r="A427" i="58"/>
  <c r="A426" i="58"/>
  <c r="A425" i="58"/>
  <c r="A424" i="58"/>
  <c r="A423" i="58"/>
  <c r="A422" i="58"/>
  <c r="A421" i="58"/>
  <c r="A420" i="58"/>
  <c r="A419" i="58"/>
  <c r="A418" i="58"/>
  <c r="A417" i="58"/>
  <c r="A416" i="58"/>
  <c r="A415" i="58"/>
  <c r="A414" i="58"/>
  <c r="A413" i="58"/>
  <c r="A412" i="58"/>
  <c r="A411" i="58"/>
  <c r="A410" i="58"/>
  <c r="A409" i="58"/>
  <c r="A408" i="58"/>
  <c r="A407" i="58"/>
  <c r="A406" i="58"/>
  <c r="A405" i="58"/>
  <c r="A404" i="58"/>
  <c r="A403" i="58"/>
  <c r="A402" i="58"/>
  <c r="A401" i="58"/>
  <c r="A400" i="58"/>
  <c r="A399" i="58"/>
  <c r="A398" i="58"/>
  <c r="A397" i="58"/>
  <c r="A396" i="58"/>
  <c r="A395" i="58"/>
  <c r="A394" i="58"/>
  <c r="A393" i="58"/>
  <c r="A392" i="58"/>
  <c r="A391" i="58"/>
  <c r="A390" i="58"/>
  <c r="A389" i="58"/>
  <c r="A388" i="58"/>
  <c r="A387" i="58"/>
  <c r="A386" i="58"/>
  <c r="A385" i="58"/>
  <c r="A384" i="58"/>
  <c r="A383" i="58"/>
  <c r="A382" i="58"/>
  <c r="A381" i="58"/>
  <c r="A380" i="58"/>
  <c r="A379" i="58"/>
  <c r="A378" i="58"/>
  <c r="A377" i="58"/>
  <c r="A376" i="58"/>
  <c r="A375" i="58"/>
  <c r="A374" i="58"/>
  <c r="A373" i="58"/>
  <c r="A372" i="58"/>
  <c r="A371" i="58"/>
  <c r="A370" i="58"/>
  <c r="A369" i="58"/>
  <c r="A368" i="58"/>
  <c r="A367" i="58"/>
  <c r="A366" i="58"/>
  <c r="A365" i="58"/>
  <c r="A364" i="58"/>
  <c r="A363" i="58"/>
  <c r="A362" i="58"/>
  <c r="A361" i="58"/>
  <c r="A360" i="58"/>
  <c r="A359" i="58"/>
  <c r="A358" i="58"/>
  <c r="A357" i="58"/>
  <c r="A356" i="58"/>
  <c r="A355" i="58"/>
  <c r="A354" i="58"/>
  <c r="A353" i="58"/>
  <c r="A352" i="58"/>
  <c r="A351" i="58"/>
  <c r="A350" i="58"/>
  <c r="A349" i="58"/>
  <c r="A348" i="58"/>
  <c r="A347" i="58"/>
  <c r="A346" i="58"/>
  <c r="A345" i="58"/>
  <c r="A344" i="58"/>
  <c r="A343" i="58"/>
  <c r="A342" i="58"/>
  <c r="A341" i="58"/>
  <c r="A340" i="58"/>
  <c r="A339" i="58"/>
  <c r="A338" i="58"/>
  <c r="A337" i="58"/>
  <c r="A336" i="58"/>
  <c r="A335" i="58"/>
  <c r="A334" i="58"/>
  <c r="A333" i="58"/>
  <c r="A332" i="58"/>
  <c r="A331" i="58"/>
  <c r="A330" i="58"/>
  <c r="A329" i="58"/>
  <c r="A328" i="58"/>
  <c r="A327" i="58"/>
  <c r="A326" i="58"/>
  <c r="A325" i="58"/>
  <c r="A324" i="58"/>
  <c r="A323" i="58"/>
  <c r="A322" i="58"/>
  <c r="A321" i="58"/>
  <c r="A320" i="58"/>
  <c r="A319" i="58"/>
  <c r="A318" i="58"/>
  <c r="A317" i="58"/>
  <c r="A316" i="58"/>
  <c r="A315" i="58"/>
  <c r="A314" i="58"/>
  <c r="A313" i="58"/>
  <c r="A312" i="58"/>
  <c r="A311" i="58"/>
  <c r="A310" i="58"/>
  <c r="A309" i="58"/>
  <c r="A308" i="58"/>
  <c r="A307" i="58"/>
  <c r="A306" i="58"/>
  <c r="A305" i="58"/>
  <c r="A304" i="58"/>
  <c r="A303" i="58"/>
  <c r="A302" i="58"/>
  <c r="A301" i="58"/>
  <c r="A300" i="58"/>
  <c r="A299" i="58"/>
  <c r="A298" i="58"/>
  <c r="A297" i="58"/>
  <c r="A296" i="58"/>
  <c r="A295" i="58"/>
  <c r="A294" i="58"/>
  <c r="A293" i="58"/>
  <c r="A292" i="58"/>
  <c r="A291" i="58"/>
  <c r="A290" i="58"/>
  <c r="A289" i="58"/>
  <c r="A288" i="58"/>
  <c r="A287" i="58"/>
  <c r="A286" i="58"/>
  <c r="A285" i="58"/>
  <c r="A284" i="58"/>
  <c r="A283" i="58"/>
  <c r="A282" i="58"/>
  <c r="A281" i="58"/>
  <c r="A280" i="58"/>
  <c r="A279" i="58"/>
  <c r="A278" i="58"/>
  <c r="A277" i="58"/>
  <c r="A276" i="58"/>
  <c r="A275" i="58"/>
  <c r="A274" i="58"/>
  <c r="A273" i="58"/>
  <c r="A272" i="58"/>
  <c r="A271" i="58"/>
  <c r="A270" i="58"/>
  <c r="A269" i="58"/>
  <c r="A268" i="58"/>
  <c r="A267" i="58"/>
  <c r="A266" i="58"/>
  <c r="A265" i="58"/>
  <c r="A264" i="58"/>
  <c r="A263" i="58"/>
  <c r="A262" i="58"/>
  <c r="A261" i="58"/>
  <c r="A260" i="58"/>
  <c r="A259" i="58"/>
  <c r="A258" i="58"/>
  <c r="A257" i="58"/>
  <c r="A256" i="58"/>
  <c r="A255" i="58"/>
  <c r="A254" i="58"/>
  <c r="A253" i="58"/>
  <c r="A252" i="58"/>
  <c r="A251" i="58"/>
  <c r="A250" i="58"/>
  <c r="A249" i="58"/>
  <c r="A248" i="58"/>
  <c r="A247" i="58"/>
  <c r="A246" i="58"/>
  <c r="A245" i="58"/>
  <c r="A244" i="58"/>
  <c r="A243" i="58"/>
  <c r="A242" i="58"/>
  <c r="A241" i="58"/>
  <c r="A240" i="58"/>
  <c r="A239" i="58"/>
  <c r="A238" i="58"/>
  <c r="A237" i="58"/>
  <c r="A236" i="58"/>
  <c r="A235" i="58"/>
  <c r="A234" i="58"/>
  <c r="A233" i="58"/>
  <c r="A232" i="58"/>
  <c r="A231" i="58"/>
  <c r="A230" i="58"/>
  <c r="A229" i="58"/>
  <c r="A228" i="58"/>
  <c r="A227" i="58"/>
  <c r="A226" i="58"/>
  <c r="A225" i="58"/>
  <c r="A224" i="58"/>
  <c r="A223" i="58"/>
  <c r="A222" i="58"/>
  <c r="A221" i="58"/>
  <c r="A220" i="58"/>
  <c r="A219" i="58"/>
  <c r="A218" i="58"/>
  <c r="A217" i="58"/>
  <c r="A216" i="58"/>
  <c r="A215" i="58"/>
  <c r="A214" i="58"/>
  <c r="A213" i="58"/>
  <c r="A212" i="58"/>
  <c r="A211" i="58"/>
  <c r="A210" i="58"/>
  <c r="A209" i="58"/>
  <c r="A208" i="58"/>
  <c r="A207" i="58"/>
  <c r="A206" i="58"/>
  <c r="A205" i="58"/>
  <c r="A204" i="58"/>
  <c r="A203" i="58"/>
  <c r="A202" i="58"/>
  <c r="A201" i="58"/>
  <c r="A200" i="58"/>
  <c r="A199" i="58"/>
  <c r="A198" i="58"/>
  <c r="A197" i="58"/>
  <c r="A196" i="58"/>
  <c r="A195" i="58"/>
  <c r="A194" i="58"/>
  <c r="A193" i="58"/>
  <c r="A192" i="58"/>
  <c r="A191" i="58"/>
  <c r="A190" i="58"/>
  <c r="A189" i="58"/>
  <c r="A188" i="58"/>
  <c r="A187" i="58"/>
  <c r="A186" i="58"/>
  <c r="A185" i="58"/>
  <c r="A184" i="58"/>
  <c r="A183" i="58"/>
  <c r="A182" i="58"/>
  <c r="A181" i="58"/>
  <c r="A180" i="58"/>
  <c r="A179" i="58"/>
  <c r="A178" i="58"/>
  <c r="A177" i="58"/>
  <c r="A176" i="58"/>
  <c r="A175" i="58"/>
  <c r="A174" i="58"/>
  <c r="A173" i="58"/>
  <c r="A172" i="58"/>
  <c r="A171" i="58"/>
  <c r="A170" i="58"/>
  <c r="A169" i="58"/>
  <c r="A168" i="58"/>
  <c r="A167" i="58"/>
  <c r="A166" i="58"/>
  <c r="A165" i="58"/>
  <c r="A164" i="58"/>
  <c r="A163" i="58"/>
  <c r="A162" i="58"/>
  <c r="A161" i="58"/>
  <c r="A160" i="58"/>
  <c r="A159" i="58"/>
  <c r="A158" i="58"/>
  <c r="A157" i="58"/>
  <c r="A156" i="58"/>
  <c r="A155" i="58"/>
  <c r="A154" i="58"/>
  <c r="A153" i="58"/>
  <c r="A152" i="58"/>
  <c r="A151" i="58"/>
  <c r="A150" i="58"/>
  <c r="A149" i="58"/>
  <c r="A148" i="58"/>
  <c r="A147" i="58"/>
  <c r="A146" i="58"/>
  <c r="A145" i="58"/>
  <c r="A144" i="58"/>
  <c r="A143" i="58"/>
  <c r="A142" i="58"/>
  <c r="A141" i="58"/>
  <c r="A140" i="58"/>
  <c r="A139" i="58"/>
  <c r="A138" i="58"/>
  <c r="A137" i="58"/>
  <c r="A136" i="58"/>
  <c r="A135" i="58"/>
  <c r="A134" i="58"/>
  <c r="A133" i="58"/>
  <c r="A132" i="58"/>
  <c r="A131" i="58"/>
  <c r="A130" i="58"/>
  <c r="A129" i="58"/>
  <c r="A128" i="58"/>
  <c r="A127" i="58"/>
  <c r="A126" i="58"/>
  <c r="A125" i="58"/>
  <c r="A124" i="58"/>
  <c r="A123" i="58"/>
  <c r="A122" i="58"/>
  <c r="A121" i="58"/>
  <c r="A120" i="58"/>
  <c r="A119" i="58"/>
  <c r="A118" i="58"/>
  <c r="A117" i="58"/>
  <c r="A116" i="58"/>
  <c r="A115" i="58"/>
  <c r="A114" i="58"/>
  <c r="A113" i="58"/>
  <c r="A112" i="58"/>
  <c r="A111" i="58"/>
  <c r="A110" i="58"/>
  <c r="A109" i="58"/>
  <c r="A108" i="58"/>
  <c r="A107" i="58"/>
  <c r="A106" i="58"/>
  <c r="A105" i="58"/>
  <c r="A104" i="58"/>
  <c r="A103" i="58"/>
  <c r="A102" i="58"/>
  <c r="A101" i="58"/>
  <c r="A100" i="58"/>
  <c r="A99" i="58"/>
  <c r="A98" i="58"/>
  <c r="A97" i="58"/>
  <c r="A96" i="58"/>
  <c r="A95" i="58"/>
  <c r="A94" i="58"/>
  <c r="A93" i="58"/>
  <c r="A92" i="58"/>
  <c r="A91" i="58"/>
  <c r="A90" i="58"/>
  <c r="A89" i="58"/>
  <c r="A88" i="58"/>
  <c r="A87" i="58"/>
  <c r="A86" i="58"/>
  <c r="A85" i="58"/>
  <c r="A84" i="58"/>
  <c r="A83" i="58"/>
  <c r="A82" i="58"/>
  <c r="A81" i="58"/>
  <c r="A80" i="58"/>
  <c r="A79" i="58"/>
  <c r="A78" i="58"/>
  <c r="A77" i="58"/>
  <c r="A76" i="58"/>
  <c r="A75" i="58"/>
  <c r="A74" i="58"/>
  <c r="A73" i="58"/>
  <c r="A72" i="58"/>
  <c r="A71" i="58"/>
  <c r="A70" i="58"/>
  <c r="A69" i="58"/>
  <c r="A68" i="58"/>
  <c r="A67" i="58"/>
  <c r="A66" i="58"/>
  <c r="A65" i="58"/>
  <c r="A64" i="58"/>
  <c r="A63" i="58"/>
  <c r="A62" i="58"/>
  <c r="A61" i="58"/>
  <c r="A60" i="58"/>
  <c r="A59" i="58"/>
  <c r="A58" i="58"/>
  <c r="A57" i="58"/>
  <c r="A56" i="58"/>
  <c r="A55" i="58"/>
  <c r="A54" i="58"/>
  <c r="A53" i="58"/>
  <c r="A52" i="58"/>
  <c r="A51" i="58"/>
  <c r="A50" i="58"/>
  <c r="A49" i="58"/>
  <c r="A48" i="58"/>
  <c r="A47" i="58"/>
  <c r="A46" i="58"/>
  <c r="A45" i="58"/>
  <c r="A44" i="58"/>
  <c r="A43" i="58"/>
  <c r="A42" i="58"/>
  <c r="A41" i="58"/>
  <c r="A40" i="58"/>
  <c r="A39" i="58"/>
  <c r="A38" i="58"/>
  <c r="A37" i="58"/>
  <c r="A36" i="58"/>
  <c r="A35" i="58"/>
  <c r="A34" i="58"/>
  <c r="A33" i="58"/>
  <c r="A32" i="58"/>
  <c r="A31" i="58"/>
  <c r="A30" i="58"/>
  <c r="A29" i="58"/>
  <c r="A28" i="58"/>
  <c r="A27" i="58"/>
  <c r="A26" i="58"/>
  <c r="A25" i="58"/>
  <c r="A24" i="58"/>
  <c r="A2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BF28" i="93" l="1"/>
  <c r="BB6" i="94"/>
  <c r="T27" i="93"/>
  <c r="BF27" i="93"/>
  <c r="AW28" i="93"/>
  <c r="O27" i="93"/>
  <c r="BE6" i="95"/>
  <c r="V6" i="95"/>
  <c r="V27" i="93"/>
  <c r="H28" i="93"/>
  <c r="BL28" i="93"/>
  <c r="BG27" i="93"/>
  <c r="C28" i="93"/>
  <c r="V28" i="93"/>
  <c r="BE28" i="93"/>
  <c r="Y27" i="88"/>
  <c r="H27" i="93"/>
  <c r="N6" i="95"/>
  <c r="BC6" i="95"/>
  <c r="AY27" i="93"/>
  <c r="H6" i="95"/>
  <c r="AS28" i="93"/>
  <c r="AU28" i="93"/>
  <c r="BA6" i="95"/>
  <c r="AS6" i="95"/>
  <c r="O28" i="93"/>
  <c r="P28" i="93"/>
  <c r="AC28" i="88"/>
  <c r="M28" i="93"/>
  <c r="P6" i="94"/>
  <c r="AU27" i="93"/>
  <c r="BD28" i="93"/>
  <c r="E6" i="95"/>
  <c r="I28" i="93"/>
  <c r="E28" i="93"/>
  <c r="U28" i="93"/>
  <c r="BB27" i="93"/>
  <c r="S27" i="93"/>
  <c r="T6" i="95"/>
  <c r="BA6" i="94"/>
  <c r="G27" i="93"/>
  <c r="U27" i="93"/>
  <c r="T28" i="93"/>
  <c r="AY6" i="95"/>
  <c r="Z28" i="88"/>
  <c r="K27" i="88"/>
  <c r="AW27" i="93"/>
  <c r="F27" i="93"/>
  <c r="N28" i="88"/>
  <c r="BB28" i="93"/>
  <c r="BI28" i="93"/>
  <c r="S28" i="93"/>
  <c r="D27" i="93"/>
  <c r="BF6" i="94"/>
  <c r="AY6" i="94"/>
  <c r="BB6" i="95"/>
  <c r="BK28" i="93"/>
  <c r="L6" i="95"/>
  <c r="E27" i="93"/>
  <c r="D28" i="93"/>
  <c r="AX27" i="93"/>
  <c r="AS27" i="93"/>
  <c r="Q28" i="93"/>
  <c r="AY28" i="93"/>
  <c r="AV27" i="93"/>
  <c r="R28" i="93"/>
  <c r="L27" i="93"/>
  <c r="N27" i="93"/>
  <c r="BJ27" i="93"/>
  <c r="S6" i="94"/>
  <c r="AX6" i="95"/>
  <c r="BJ6" i="95"/>
  <c r="BA28" i="93"/>
  <c r="S6" i="95"/>
  <c r="L27" i="88"/>
  <c r="BD27" i="93"/>
  <c r="AX28" i="93"/>
  <c r="BK27" i="93"/>
  <c r="AG27" i="88"/>
  <c r="AV28" i="93"/>
  <c r="BJ28" i="93"/>
  <c r="AV6" i="95"/>
  <c r="U6" i="95"/>
  <c r="P6" i="95"/>
  <c r="AT28" i="93"/>
  <c r="N28" i="93"/>
  <c r="F6" i="95"/>
  <c r="AZ27" i="93"/>
  <c r="P27" i="93"/>
  <c r="BH27" i="93"/>
  <c r="BC27" i="93"/>
  <c r="I27" i="93"/>
  <c r="BF6" i="95"/>
  <c r="R6" i="95"/>
  <c r="BL27" i="93"/>
  <c r="BG28" i="93"/>
  <c r="BE27" i="93"/>
  <c r="AR27" i="93"/>
  <c r="D6" i="95"/>
  <c r="BI27" i="93"/>
  <c r="BA27" i="93"/>
  <c r="BH28" i="93"/>
  <c r="AZ28" i="93"/>
  <c r="R27" i="93"/>
  <c r="F28" i="93"/>
  <c r="AT27" i="93"/>
  <c r="L28" i="93"/>
  <c r="T6" i="94"/>
  <c r="AT6" i="95"/>
  <c r="BL6" i="95"/>
  <c r="BG6" i="95"/>
  <c r="AU6" i="95"/>
  <c r="W6" i="94"/>
  <c r="AV6" i="94"/>
  <c r="F6" i="94"/>
  <c r="O6" i="95"/>
  <c r="AW6" i="95"/>
  <c r="BD6" i="94"/>
  <c r="I6" i="94"/>
  <c r="BK6" i="95"/>
  <c r="AZ6" i="95"/>
  <c r="BI6" i="95"/>
  <c r="M6" i="95"/>
  <c r="AR6" i="95"/>
  <c r="G6" i="95"/>
  <c r="C6" i="95"/>
  <c r="Q6" i="95"/>
  <c r="BH6" i="95"/>
  <c r="BD6" i="95"/>
  <c r="I6" i="95"/>
  <c r="W6" i="95"/>
  <c r="AB6" i="94"/>
  <c r="Y6" i="94"/>
  <c r="AW6" i="94"/>
  <c r="AR6" i="94"/>
  <c r="BG6" i="94"/>
  <c r="N6" i="94"/>
  <c r="C6" i="94"/>
  <c r="BC6" i="94"/>
  <c r="AT6" i="94"/>
  <c r="BH6" i="94"/>
  <c r="V6" i="94"/>
  <c r="AD6" i="95"/>
  <c r="AI6" i="94"/>
  <c r="AD6" i="94"/>
  <c r="AF6" i="94"/>
  <c r="R6" i="94"/>
  <c r="L6" i="94"/>
  <c r="O6" i="94"/>
  <c r="M6" i="94"/>
  <c r="H6" i="94"/>
  <c r="AB6" i="95"/>
  <c r="AH6" i="95"/>
  <c r="AC6" i="95"/>
  <c r="Z6" i="95"/>
  <c r="Y6" i="95"/>
  <c r="Z6" i="94"/>
  <c r="AA6" i="94"/>
  <c r="AC6" i="94"/>
  <c r="BK6" i="94"/>
  <c r="D6" i="94"/>
  <c r="AX6" i="94"/>
  <c r="BI6" i="94"/>
  <c r="AZ6" i="94"/>
  <c r="E6" i="94"/>
  <c r="U6" i="94"/>
  <c r="AI6" i="95"/>
  <c r="AA6" i="95"/>
  <c r="AJ6" i="95"/>
  <c r="AG6" i="95"/>
  <c r="AF6" i="95"/>
  <c r="AH6" i="94"/>
  <c r="AG6" i="94"/>
  <c r="AJ6" i="94"/>
  <c r="AU6" i="94"/>
  <c r="Q6" i="94"/>
  <c r="AS6" i="94"/>
  <c r="G6" i="94"/>
  <c r="BJ6" i="94"/>
  <c r="BE6" i="94"/>
  <c r="BL6" i="94"/>
  <c r="Z28" i="93"/>
  <c r="Z27" i="93"/>
  <c r="AG28" i="93"/>
  <c r="AG27" i="93"/>
  <c r="AC27" i="93"/>
  <c r="AC28" i="93"/>
  <c r="AJ27" i="93"/>
  <c r="AJ28" i="93"/>
  <c r="Y28" i="93"/>
  <c r="Y27" i="93"/>
  <c r="AF28" i="93"/>
  <c r="AF27" i="93"/>
  <c r="AB27" i="93"/>
  <c r="AB28" i="93"/>
  <c r="AI28" i="93"/>
  <c r="AI27" i="93"/>
  <c r="AH28" i="93"/>
  <c r="AH27" i="93"/>
  <c r="AA28" i="93"/>
  <c r="AA27" i="93"/>
  <c r="AD27" i="93"/>
  <c r="AD28" i="93"/>
  <c r="W28" i="93"/>
  <c r="W27" i="93"/>
  <c r="C27" i="88"/>
  <c r="D27" i="88"/>
  <c r="AB28" i="88"/>
  <c r="T28" i="88"/>
  <c r="AI27" i="88"/>
  <c r="X27" i="88"/>
  <c r="W27" i="88"/>
  <c r="I27" i="88"/>
  <c r="Q27" i="88"/>
  <c r="AJ28" i="88"/>
  <c r="J28" i="88"/>
  <c r="P27" i="88"/>
  <c r="AE27" i="88"/>
  <c r="O27" i="88"/>
  <c r="V28" i="88"/>
  <c r="X28" i="88"/>
  <c r="H27" i="88"/>
  <c r="AA28" i="88"/>
  <c r="M28" i="88"/>
  <c r="AK28" i="88"/>
  <c r="AD27" i="88"/>
  <c r="U28" i="88"/>
  <c r="AI28" i="88"/>
  <c r="AE28" i="88"/>
  <c r="AO26" i="88"/>
  <c r="AH27" i="88"/>
  <c r="AD28" i="88"/>
  <c r="AP26" i="88"/>
  <c r="AA27" i="88"/>
  <c r="J27" i="88"/>
  <c r="I28" i="88"/>
  <c r="AO6" i="88"/>
  <c r="AB27" i="88"/>
  <c r="AC27" i="88"/>
  <c r="F27" i="88"/>
  <c r="P28" i="88"/>
  <c r="H28" i="88"/>
  <c r="U27" i="88"/>
  <c r="T27" i="88"/>
  <c r="D28" i="88"/>
  <c r="M27" i="88"/>
  <c r="AK27" i="88"/>
  <c r="AP6" i="88"/>
  <c r="N27" i="88"/>
  <c r="AN6" i="88"/>
  <c r="AJ27" i="88"/>
  <c r="C28" i="88"/>
  <c r="Z27" i="88"/>
  <c r="Y28" i="88"/>
  <c r="AG28" i="88"/>
  <c r="E27" i="88"/>
  <c r="K28" i="88"/>
  <c r="AR6" i="88"/>
  <c r="G28" i="88"/>
  <c r="O28" i="88"/>
  <c r="L28" i="88"/>
  <c r="AL6" i="88"/>
  <c r="V27" i="88"/>
  <c r="W28" i="88"/>
  <c r="S27" i="88"/>
  <c r="Q28" i="88"/>
  <c r="AQ6" i="88"/>
  <c r="AR26" i="88"/>
  <c r="AQ26" i="88"/>
  <c r="AN26" i="88"/>
  <c r="AL26" i="88"/>
  <c r="AP27" i="88" l="1"/>
  <c r="AO27" i="88"/>
  <c r="AO28" i="88"/>
  <c r="AP28" i="88"/>
  <c r="AL28" i="88"/>
  <c r="AL27" i="88"/>
  <c r="AQ27" i="88"/>
  <c r="AQ28" i="88"/>
  <c r="AN28" i="88"/>
  <c r="AN27" i="88"/>
  <c r="AR28" i="88"/>
  <c r="AR27" i="88"/>
  <c r="O6" i="58"/>
  <c r="CB7" i="79" l="1"/>
  <c r="CA7" i="79"/>
  <c r="BZ7" i="79"/>
  <c r="BY7" i="79"/>
  <c r="BX7" i="79"/>
  <c r="BW7" i="79"/>
  <c r="BV7" i="79"/>
  <c r="BU7" i="79"/>
  <c r="BT7" i="79"/>
  <c r="BS7" i="79"/>
  <c r="BR7" i="79"/>
  <c r="BQ7" i="79"/>
  <c r="BP7" i="79"/>
  <c r="BO7" i="79"/>
  <c r="BN7" i="79"/>
  <c r="BM7" i="79"/>
  <c r="BL7" i="79"/>
  <c r="BK7" i="79"/>
  <c r="BJ7" i="79"/>
  <c r="BI7" i="79"/>
  <c r="BH7" i="79"/>
  <c r="BG7" i="79"/>
  <c r="BF7" i="79"/>
  <c r="BE7" i="79"/>
  <c r="BD7" i="79"/>
  <c r="BC7" i="79"/>
  <c r="BB7" i="79"/>
  <c r="BA7" i="79"/>
  <c r="AZ7" i="79"/>
  <c r="AY7" i="79"/>
  <c r="AX7" i="79"/>
  <c r="AW7" i="79"/>
  <c r="AV7" i="79"/>
  <c r="AU7" i="79"/>
  <c r="AT7" i="79"/>
  <c r="AS7" i="79"/>
  <c r="AR7" i="79"/>
  <c r="AQ7" i="79"/>
  <c r="AP7" i="79"/>
  <c r="AO7" i="79"/>
  <c r="AN7" i="79"/>
  <c r="AM7" i="79"/>
  <c r="AL7" i="79"/>
  <c r="AK7" i="79"/>
  <c r="AJ7" i="79"/>
  <c r="AI7" i="79"/>
  <c r="AH7" i="79"/>
  <c r="AG7" i="79"/>
  <c r="AF7" i="79"/>
  <c r="AE7" i="79"/>
  <c r="AD7" i="79"/>
  <c r="AC7" i="79"/>
  <c r="AB7" i="79"/>
  <c r="AA7" i="79"/>
  <c r="Z7" i="79"/>
  <c r="Y7" i="79"/>
  <c r="V7" i="79"/>
  <c r="U7" i="79"/>
  <c r="S7" i="79"/>
  <c r="R7" i="79"/>
  <c r="Q7" i="79"/>
  <c r="P7" i="79"/>
  <c r="O7" i="79"/>
  <c r="N7" i="79"/>
  <c r="M7" i="79"/>
  <c r="L7" i="79"/>
  <c r="K7" i="79"/>
  <c r="J7" i="79"/>
  <c r="I7" i="79"/>
  <c r="H7" i="79"/>
  <c r="G7" i="79"/>
  <c r="F7" i="79"/>
  <c r="E7" i="79"/>
  <c r="D7" i="79"/>
  <c r="C7" i="79"/>
  <c r="B7" i="79"/>
  <c r="AK81" i="85" l="1"/>
  <c r="AK76" i="85"/>
  <c r="AK71" i="85"/>
  <c r="AK66" i="85"/>
  <c r="AK61" i="85"/>
  <c r="AK56" i="85"/>
  <c r="AK51" i="85"/>
  <c r="AK46" i="85"/>
  <c r="AK41" i="85"/>
  <c r="AK36" i="85"/>
  <c r="AK31" i="85"/>
  <c r="AK26" i="85"/>
  <c r="AK21" i="85"/>
  <c r="AK16" i="85"/>
  <c r="AK11" i="85"/>
  <c r="AK75" i="85"/>
  <c r="AK55" i="85"/>
  <c r="AK40" i="85"/>
  <c r="AK25" i="85"/>
  <c r="AK10" i="85"/>
  <c r="AK80" i="85"/>
  <c r="AK79" i="85"/>
  <c r="AK74" i="85"/>
  <c r="AK69" i="85"/>
  <c r="AK64" i="85"/>
  <c r="AK59" i="85"/>
  <c r="AK54" i="85"/>
  <c r="AK49" i="85"/>
  <c r="AK44" i="85"/>
  <c r="AK39" i="85"/>
  <c r="AK34" i="85"/>
  <c r="AK29" i="85"/>
  <c r="AK24" i="85"/>
  <c r="AK19" i="85"/>
  <c r="AK14" i="85"/>
  <c r="AK9" i="85"/>
  <c r="AK65" i="85"/>
  <c r="AK50" i="85"/>
  <c r="AK35" i="85"/>
  <c r="AK20" i="85"/>
  <c r="AK78" i="85"/>
  <c r="AK73" i="85"/>
  <c r="AK68" i="85"/>
  <c r="AK63" i="85"/>
  <c r="AK58" i="85"/>
  <c r="AK53" i="85"/>
  <c r="AK48" i="85"/>
  <c r="AK43" i="85"/>
  <c r="AK38" i="85"/>
  <c r="AK33" i="85"/>
  <c r="AK28" i="85"/>
  <c r="AK23" i="85"/>
  <c r="AK18" i="85"/>
  <c r="AK13" i="85"/>
  <c r="AK8" i="85"/>
  <c r="AK7" i="85" s="1"/>
  <c r="AK70" i="85"/>
  <c r="AK60" i="85"/>
  <c r="AK45" i="85"/>
  <c r="AK30" i="85"/>
  <c r="AK15" i="85"/>
  <c r="AQ81" i="85"/>
  <c r="AP81" i="85"/>
  <c r="AL81" i="85"/>
  <c r="AN80" i="85"/>
  <c r="AP79" i="85"/>
  <c r="AL79" i="85"/>
  <c r="AN78" i="85"/>
  <c r="AP76" i="85"/>
  <c r="AL76" i="85"/>
  <c r="AN75" i="85"/>
  <c r="AP74" i="85"/>
  <c r="AL74" i="85"/>
  <c r="AN73" i="85"/>
  <c r="AP11" i="85"/>
  <c r="AL11" i="85"/>
  <c r="AN10" i="85"/>
  <c r="AP9" i="85"/>
  <c r="AL9" i="85"/>
  <c r="AN8" i="85"/>
  <c r="AM81" i="85"/>
  <c r="AM79" i="85"/>
  <c r="AM76" i="85"/>
  <c r="AM74" i="85"/>
  <c r="AM11" i="85"/>
  <c r="AM9" i="85"/>
  <c r="AO81" i="85"/>
  <c r="AQ80" i="85"/>
  <c r="AM80" i="85"/>
  <c r="AO79" i="85"/>
  <c r="AQ78" i="85"/>
  <c r="AM78" i="85"/>
  <c r="AO76" i="85"/>
  <c r="AQ75" i="85"/>
  <c r="AM75" i="85"/>
  <c r="AO74" i="85"/>
  <c r="AQ73" i="85"/>
  <c r="AM73" i="85"/>
  <c r="AO11" i="85"/>
  <c r="AQ10" i="85"/>
  <c r="AM10" i="85"/>
  <c r="AO9" i="85"/>
  <c r="AQ8" i="85"/>
  <c r="AM8" i="85"/>
  <c r="AL8" i="85"/>
  <c r="AQ79" i="85"/>
  <c r="AQ76" i="85"/>
  <c r="AQ74" i="85"/>
  <c r="AQ11" i="85"/>
  <c r="AQ9" i="85"/>
  <c r="AN81" i="85"/>
  <c r="AP80" i="85"/>
  <c r="AL80" i="85"/>
  <c r="AN79" i="85"/>
  <c r="AP78" i="85"/>
  <c r="AL78" i="85"/>
  <c r="AN76" i="85"/>
  <c r="AP75" i="85"/>
  <c r="AL75" i="85"/>
  <c r="AN74" i="85"/>
  <c r="AP73" i="85"/>
  <c r="AL73" i="85"/>
  <c r="AN11" i="85"/>
  <c r="AP10" i="85"/>
  <c r="AL10" i="85"/>
  <c r="AN9" i="85"/>
  <c r="AP8" i="85"/>
  <c r="AO80" i="85"/>
  <c r="AO78" i="85"/>
  <c r="AO75" i="85"/>
  <c r="AO73" i="85"/>
  <c r="AO10" i="85"/>
  <c r="AO8" i="85"/>
  <c r="AQ71" i="85"/>
  <c r="AM71" i="85"/>
  <c r="AO70" i="85"/>
  <c r="AQ69" i="85"/>
  <c r="AM69" i="85"/>
  <c r="AO68" i="85"/>
  <c r="AQ66" i="85"/>
  <c r="AM66" i="85"/>
  <c r="AO65" i="85"/>
  <c r="AQ64" i="85"/>
  <c r="AM64" i="85"/>
  <c r="AO63" i="85"/>
  <c r="AQ61" i="85"/>
  <c r="AM61" i="85"/>
  <c r="AO60" i="85"/>
  <c r="AQ59" i="85"/>
  <c r="AM59" i="85"/>
  <c r="AO58" i="85"/>
  <c r="AQ56" i="85"/>
  <c r="AM56" i="85"/>
  <c r="AO55" i="85"/>
  <c r="AQ54" i="85"/>
  <c r="AM54" i="85"/>
  <c r="AO53" i="85"/>
  <c r="AQ51" i="85"/>
  <c r="AM51" i="85"/>
  <c r="AO50" i="85"/>
  <c r="AQ49" i="85"/>
  <c r="AM49" i="85"/>
  <c r="AO48" i="85"/>
  <c r="AQ46" i="85"/>
  <c r="AM46" i="85"/>
  <c r="AO45" i="85"/>
  <c r="AQ44" i="85"/>
  <c r="AM44" i="85"/>
  <c r="AO43" i="85"/>
  <c r="AQ41" i="85"/>
  <c r="AM41" i="85"/>
  <c r="AO40" i="85"/>
  <c r="AQ39" i="85"/>
  <c r="AM39" i="85"/>
  <c r="AO38" i="85"/>
  <c r="AQ36" i="85"/>
  <c r="AM36" i="85"/>
  <c r="AO35" i="85"/>
  <c r="AQ34" i="85"/>
  <c r="AM34" i="85"/>
  <c r="AO33" i="85"/>
  <c r="AQ31" i="85"/>
  <c r="AM31" i="85"/>
  <c r="AO30" i="85"/>
  <c r="AQ29" i="85"/>
  <c r="AM29" i="85"/>
  <c r="AO28" i="85"/>
  <c r="AQ26" i="85"/>
  <c r="AM26" i="85"/>
  <c r="AO25" i="85"/>
  <c r="AQ24" i="85"/>
  <c r="AM24" i="85"/>
  <c r="AO23" i="85"/>
  <c r="AQ21" i="85"/>
  <c r="AM21" i="85"/>
  <c r="AO20" i="85"/>
  <c r="AQ19" i="85"/>
  <c r="AM19" i="85"/>
  <c r="AO18" i="85"/>
  <c r="AQ16" i="85"/>
  <c r="AM16" i="85"/>
  <c r="AP71" i="85"/>
  <c r="AL71" i="85"/>
  <c r="AN70" i="85"/>
  <c r="AP69" i="85"/>
  <c r="AL69" i="85"/>
  <c r="AN68" i="85"/>
  <c r="AP66" i="85"/>
  <c r="AL66" i="85"/>
  <c r="AN65" i="85"/>
  <c r="AP64" i="85"/>
  <c r="AL64" i="85"/>
  <c r="AN63" i="85"/>
  <c r="AP61" i="85"/>
  <c r="AL61" i="85"/>
  <c r="AN60" i="85"/>
  <c r="AP59" i="85"/>
  <c r="AL59" i="85"/>
  <c r="AN58" i="85"/>
  <c r="AP56" i="85"/>
  <c r="AL56" i="85"/>
  <c r="AN55" i="85"/>
  <c r="AP54" i="85"/>
  <c r="AL54" i="85"/>
  <c r="AN53" i="85"/>
  <c r="AP51" i="85"/>
  <c r="AL51" i="85"/>
  <c r="AN50" i="85"/>
  <c r="AP49" i="85"/>
  <c r="AL49" i="85"/>
  <c r="AN48" i="85"/>
  <c r="AP46" i="85"/>
  <c r="AL46" i="85"/>
  <c r="AN45" i="85"/>
  <c r="AP44" i="85"/>
  <c r="AL44" i="85"/>
  <c r="AN43" i="85"/>
  <c r="AP41" i="85"/>
  <c r="AL41" i="85"/>
  <c r="AN40" i="85"/>
  <c r="AP39" i="85"/>
  <c r="AL39" i="85"/>
  <c r="AN38" i="85"/>
  <c r="AP36" i="85"/>
  <c r="AL36" i="85"/>
  <c r="AN35" i="85"/>
  <c r="AP34" i="85"/>
  <c r="AL34" i="85"/>
  <c r="AN33" i="85"/>
  <c r="AP31" i="85"/>
  <c r="AL31" i="85"/>
  <c r="AN30" i="85"/>
  <c r="AP29" i="85"/>
  <c r="AL29" i="85"/>
  <c r="AN28" i="85"/>
  <c r="AP26" i="85"/>
  <c r="AL26" i="85"/>
  <c r="AN25" i="85"/>
  <c r="AP24" i="85"/>
  <c r="AL24" i="85"/>
  <c r="AN23" i="85"/>
  <c r="AP21" i="85"/>
  <c r="AL21" i="85"/>
  <c r="AN20" i="85"/>
  <c r="AP19" i="85"/>
  <c r="AL19" i="85"/>
  <c r="AN18" i="85"/>
  <c r="AP16" i="85"/>
  <c r="AL16" i="85"/>
  <c r="AN15" i="85"/>
  <c r="AP14" i="85"/>
  <c r="AL14" i="85"/>
  <c r="AN13" i="85"/>
  <c r="AO71" i="85"/>
  <c r="AQ70" i="85"/>
  <c r="AM70" i="85"/>
  <c r="AO69" i="85"/>
  <c r="AQ68" i="85"/>
  <c r="AM68" i="85"/>
  <c r="AO66" i="85"/>
  <c r="AQ65" i="85"/>
  <c r="AM65" i="85"/>
  <c r="AO64" i="85"/>
  <c r="AQ63" i="85"/>
  <c r="AM63" i="85"/>
  <c r="AO61" i="85"/>
  <c r="AQ60" i="85"/>
  <c r="AM60" i="85"/>
  <c r="AO59" i="85"/>
  <c r="AQ58" i="85"/>
  <c r="AM58" i="85"/>
  <c r="AO56" i="85"/>
  <c r="AQ55" i="85"/>
  <c r="AM55" i="85"/>
  <c r="AO54" i="85"/>
  <c r="AQ53" i="85"/>
  <c r="AM53" i="85"/>
  <c r="AO51" i="85"/>
  <c r="AQ50" i="85"/>
  <c r="AM50" i="85"/>
  <c r="AO49" i="85"/>
  <c r="AQ48" i="85"/>
  <c r="AM48" i="85"/>
  <c r="AO46" i="85"/>
  <c r="AQ45" i="85"/>
  <c r="AM45" i="85"/>
  <c r="AO44" i="85"/>
  <c r="AQ43" i="85"/>
  <c r="AM43" i="85"/>
  <c r="AO41" i="85"/>
  <c r="AQ40" i="85"/>
  <c r="AM40" i="85"/>
  <c r="AO39" i="85"/>
  <c r="AQ38" i="85"/>
  <c r="AM38" i="85"/>
  <c r="AO36" i="85"/>
  <c r="AQ35" i="85"/>
  <c r="AM35" i="85"/>
  <c r="AO34" i="85"/>
  <c r="AQ33" i="85"/>
  <c r="AM33" i="85"/>
  <c r="AO31" i="85"/>
  <c r="AQ30" i="85"/>
  <c r="AM30" i="85"/>
  <c r="AO29" i="85"/>
  <c r="AQ28" i="85"/>
  <c r="AM28" i="85"/>
  <c r="AO26" i="85"/>
  <c r="AQ25" i="85"/>
  <c r="AM25" i="85"/>
  <c r="AO24" i="85"/>
  <c r="AQ23" i="85"/>
  <c r="AM23" i="85"/>
  <c r="AO21" i="85"/>
  <c r="AQ20" i="85"/>
  <c r="AM20" i="85"/>
  <c r="AO19" i="85"/>
  <c r="AQ18" i="85"/>
  <c r="AM18" i="85"/>
  <c r="AO16" i="85"/>
  <c r="AQ15" i="85"/>
  <c r="AM15" i="85"/>
  <c r="AO14" i="85"/>
  <c r="AQ13" i="85"/>
  <c r="AM13" i="85"/>
  <c r="AN71" i="85"/>
  <c r="AP68" i="85"/>
  <c r="AL65" i="85"/>
  <c r="AN61" i="85"/>
  <c r="AP58" i="85"/>
  <c r="AL55" i="85"/>
  <c r="AN51" i="85"/>
  <c r="AP48" i="85"/>
  <c r="AL45" i="85"/>
  <c r="AN41" i="85"/>
  <c r="AP38" i="85"/>
  <c r="AL35" i="85"/>
  <c r="AN31" i="85"/>
  <c r="AP28" i="85"/>
  <c r="AL25" i="85"/>
  <c r="AN21" i="85"/>
  <c r="AP18" i="85"/>
  <c r="AO15" i="85"/>
  <c r="AM14" i="85"/>
  <c r="AP70" i="85"/>
  <c r="AL68" i="85"/>
  <c r="AN64" i="85"/>
  <c r="AP60" i="85"/>
  <c r="AL58" i="85"/>
  <c r="AN54" i="85"/>
  <c r="AP50" i="85"/>
  <c r="AL48" i="85"/>
  <c r="AN44" i="85"/>
  <c r="AP40" i="85"/>
  <c r="AL38" i="85"/>
  <c r="AN34" i="85"/>
  <c r="AP30" i="85"/>
  <c r="AL28" i="85"/>
  <c r="AN24" i="85"/>
  <c r="AP20" i="85"/>
  <c r="AL18" i="85"/>
  <c r="AL15" i="85"/>
  <c r="AP13" i="85"/>
  <c r="AL70" i="85"/>
  <c r="AN66" i="85"/>
  <c r="AP63" i="85"/>
  <c r="AL60" i="85"/>
  <c r="AN56" i="85"/>
  <c r="AP53" i="85"/>
  <c r="AL50" i="85"/>
  <c r="AN46" i="85"/>
  <c r="AP43" i="85"/>
  <c r="AL40" i="85"/>
  <c r="AN36" i="85"/>
  <c r="AP33" i="85"/>
  <c r="AL30" i="85"/>
  <c r="AN26" i="85"/>
  <c r="AP23" i="85"/>
  <c r="AL20" i="85"/>
  <c r="AN16" i="85"/>
  <c r="AQ14" i="85"/>
  <c r="AO13" i="85"/>
  <c r="AP65" i="85"/>
  <c r="AL53" i="85"/>
  <c r="AN39" i="85"/>
  <c r="AP25" i="85"/>
  <c r="AN14" i="85"/>
  <c r="AL63" i="85"/>
  <c r="AN49" i="85"/>
  <c r="AP35" i="85"/>
  <c r="AL23" i="85"/>
  <c r="AL13" i="85"/>
  <c r="AN59" i="85"/>
  <c r="AP45" i="85"/>
  <c r="AL33" i="85"/>
  <c r="AN19" i="85"/>
  <c r="AK77" i="85"/>
  <c r="AN69" i="85"/>
  <c r="AP55" i="85"/>
  <c r="AL43" i="85"/>
  <c r="AN29" i="85"/>
  <c r="AP15" i="85"/>
  <c r="T7" i="79"/>
  <c r="AN21" i="69"/>
  <c r="AP20" i="69"/>
  <c r="AL20" i="69"/>
  <c r="AN19" i="69"/>
  <c r="AP18" i="69"/>
  <c r="AL18" i="69"/>
  <c r="AN17" i="69"/>
  <c r="AP16" i="69"/>
  <c r="AL16" i="69"/>
  <c r="AN15" i="69"/>
  <c r="AP14" i="69"/>
  <c r="AL14" i="69"/>
  <c r="AN13" i="69"/>
  <c r="AP12" i="69"/>
  <c r="AL12" i="69"/>
  <c r="AN11" i="69"/>
  <c r="AP10" i="69"/>
  <c r="AL10" i="69"/>
  <c r="AN9" i="69"/>
  <c r="AP8" i="69"/>
  <c r="AL8" i="69"/>
  <c r="AN7" i="69"/>
  <c r="AK20" i="69"/>
  <c r="AK16" i="69"/>
  <c r="AK12" i="69"/>
  <c r="AK8" i="69"/>
  <c r="AN10" i="69"/>
  <c r="AN8" i="69"/>
  <c r="AK18" i="69"/>
  <c r="AO21" i="69"/>
  <c r="AO19" i="69"/>
  <c r="AO17" i="69"/>
  <c r="AO15" i="69"/>
  <c r="AO13" i="69"/>
  <c r="AO11" i="69"/>
  <c r="AO9" i="69"/>
  <c r="AQ21" i="69"/>
  <c r="AM21" i="69"/>
  <c r="AO20" i="69"/>
  <c r="AQ19" i="69"/>
  <c r="AM19" i="69"/>
  <c r="AO18" i="69"/>
  <c r="AQ17" i="69"/>
  <c r="AM17" i="69"/>
  <c r="AO16" i="69"/>
  <c r="AQ15" i="69"/>
  <c r="AM15" i="69"/>
  <c r="AO14" i="69"/>
  <c r="AQ13" i="69"/>
  <c r="AM13" i="69"/>
  <c r="AO12" i="69"/>
  <c r="AQ11" i="69"/>
  <c r="AM11" i="69"/>
  <c r="AO10" i="69"/>
  <c r="AQ9" i="69"/>
  <c r="AM9" i="69"/>
  <c r="AO8" i="69"/>
  <c r="AQ7" i="69"/>
  <c r="AM7" i="69"/>
  <c r="AK19" i="69"/>
  <c r="AK15" i="69"/>
  <c r="AK11" i="69"/>
  <c r="AK7" i="69"/>
  <c r="AP11" i="69"/>
  <c r="AP9" i="69"/>
  <c r="AP7" i="69"/>
  <c r="AK14" i="69"/>
  <c r="AQ20" i="69"/>
  <c r="AM18" i="69"/>
  <c r="AM16" i="69"/>
  <c r="AM14" i="69"/>
  <c r="AM12" i="69"/>
  <c r="AQ10" i="69"/>
  <c r="AP21" i="69"/>
  <c r="AL21" i="69"/>
  <c r="AN20" i="69"/>
  <c r="AP19" i="69"/>
  <c r="AL19" i="69"/>
  <c r="AN18" i="69"/>
  <c r="AP17" i="69"/>
  <c r="AL17" i="69"/>
  <c r="AN16" i="69"/>
  <c r="AP15" i="69"/>
  <c r="AL15" i="69"/>
  <c r="AN14" i="69"/>
  <c r="AP13" i="69"/>
  <c r="AL13" i="69"/>
  <c r="AN12" i="69"/>
  <c r="AL11" i="69"/>
  <c r="AL9" i="69"/>
  <c r="AL7" i="69"/>
  <c r="AK10" i="69"/>
  <c r="AM20" i="69"/>
  <c r="AQ18" i="69"/>
  <c r="AQ16" i="69"/>
  <c r="AQ14" i="69"/>
  <c r="AQ12" i="69"/>
  <c r="AM10" i="69"/>
  <c r="AQ8" i="69"/>
  <c r="AK17" i="69"/>
  <c r="AM8" i="69"/>
  <c r="AK13" i="69"/>
  <c r="AO7" i="69"/>
  <c r="AK9" i="69"/>
  <c r="AK21" i="69"/>
  <c r="AQ25" i="69"/>
  <c r="AM25" i="69"/>
  <c r="AP24" i="69"/>
  <c r="AL24" i="69"/>
  <c r="AO23" i="69"/>
  <c r="AK23" i="69"/>
  <c r="AN25" i="69"/>
  <c r="AP25" i="69"/>
  <c r="AL25" i="69"/>
  <c r="AO24" i="69"/>
  <c r="AK24" i="69"/>
  <c r="AN23" i="69"/>
  <c r="AQ24" i="69"/>
  <c r="AP23" i="69"/>
  <c r="AO25" i="69"/>
  <c r="AK25" i="69"/>
  <c r="AN24" i="69"/>
  <c r="AQ23" i="69"/>
  <c r="AM23" i="69"/>
  <c r="AM24" i="69"/>
  <c r="AL23" i="69"/>
  <c r="AL72" i="85" l="1"/>
  <c r="AM7" i="85"/>
  <c r="AL62" i="85"/>
  <c r="AL12" i="85"/>
  <c r="AO12" i="85"/>
  <c r="AL42" i="85"/>
  <c r="AL32" i="85"/>
  <c r="AL22" i="85"/>
  <c r="AL52" i="85"/>
  <c r="AK32" i="85"/>
  <c r="AK47" i="85"/>
  <c r="AK17" i="85"/>
  <c r="AM12" i="85"/>
  <c r="AM22" i="85"/>
  <c r="AM32" i="85"/>
  <c r="AM42" i="85"/>
  <c r="AM52" i="85"/>
  <c r="AM62" i="85"/>
  <c r="AM72" i="85"/>
  <c r="AQ17" i="85"/>
  <c r="AQ27" i="85"/>
  <c r="AQ37" i="85"/>
  <c r="AQ47" i="85"/>
  <c r="AQ57" i="85"/>
  <c r="AQ67" i="85"/>
  <c r="AQ77" i="85"/>
  <c r="AN7" i="85"/>
  <c r="AP32" i="85"/>
  <c r="AP72" i="85"/>
  <c r="AL27" i="85"/>
  <c r="AL67" i="85"/>
  <c r="AL7" i="85"/>
  <c r="AP17" i="85"/>
  <c r="AP57" i="85"/>
  <c r="AN17" i="85"/>
  <c r="AN27" i="85"/>
  <c r="AN37" i="85"/>
  <c r="AN47" i="85"/>
  <c r="AN57" i="85"/>
  <c r="AN67" i="85"/>
  <c r="AN77" i="85"/>
  <c r="AO17" i="85"/>
  <c r="AO27" i="85"/>
  <c r="AO37" i="85"/>
  <c r="AO47" i="85"/>
  <c r="AO57" i="85"/>
  <c r="AO67" i="85"/>
  <c r="AO77" i="85"/>
  <c r="AQ7" i="85"/>
  <c r="AK62" i="85"/>
  <c r="AP22" i="85"/>
  <c r="AP62" i="85"/>
  <c r="AK37" i="85"/>
  <c r="AK72" i="85"/>
  <c r="AL17" i="85"/>
  <c r="AL57" i="85"/>
  <c r="AP7" i="85"/>
  <c r="AP47" i="85"/>
  <c r="AK12" i="85"/>
  <c r="AO7" i="85"/>
  <c r="AK22" i="85"/>
  <c r="AK57" i="85"/>
  <c r="AK52" i="85"/>
  <c r="AK67" i="85"/>
  <c r="AP52" i="85"/>
  <c r="AL47" i="85"/>
  <c r="AP37" i="85"/>
  <c r="AP77" i="85"/>
  <c r="AQ12" i="85"/>
  <c r="AQ22" i="85"/>
  <c r="AQ32" i="85"/>
  <c r="AQ42" i="85"/>
  <c r="AQ52" i="85"/>
  <c r="AQ62" i="85"/>
  <c r="AQ72" i="85"/>
  <c r="AN12" i="85"/>
  <c r="AN22" i="85"/>
  <c r="AN32" i="85"/>
  <c r="AN42" i="85"/>
  <c r="AN52" i="85"/>
  <c r="AN62" i="85"/>
  <c r="AN72" i="85"/>
  <c r="AO22" i="85"/>
  <c r="AO32" i="85"/>
  <c r="AO42" i="85"/>
  <c r="AO52" i="85"/>
  <c r="AO62" i="85"/>
  <c r="AO72" i="85"/>
  <c r="AK27" i="85"/>
  <c r="AK42" i="85"/>
  <c r="AP42" i="85"/>
  <c r="AP12" i="85"/>
  <c r="AL37" i="85"/>
  <c r="AL77" i="85"/>
  <c r="AP27" i="85"/>
  <c r="AP67" i="85"/>
  <c r="AM17" i="85"/>
  <c r="AM27" i="85"/>
  <c r="AM37" i="85"/>
  <c r="AM47" i="85"/>
  <c r="AM57" i="85"/>
  <c r="AM67" i="85"/>
  <c r="AM77" i="85"/>
  <c r="AP6" i="85" l="1"/>
  <c r="AO6" i="85"/>
  <c r="AQ6" i="85"/>
  <c r="AL6" i="85"/>
  <c r="AM6" i="85"/>
  <c r="AK6" i="85"/>
  <c r="AN6" i="85"/>
  <c r="O81" i="85" l="1"/>
  <c r="M80" i="85"/>
  <c r="O79" i="85"/>
  <c r="M78" i="85"/>
  <c r="O76" i="85"/>
  <c r="M75" i="85"/>
  <c r="O74" i="85"/>
  <c r="M73" i="85"/>
  <c r="O71" i="85"/>
  <c r="M70" i="85"/>
  <c r="O69" i="85"/>
  <c r="M68" i="85"/>
  <c r="O66" i="85"/>
  <c r="M65" i="85"/>
  <c r="O64" i="85"/>
  <c r="M63" i="85"/>
  <c r="O61" i="85"/>
  <c r="M60" i="85"/>
  <c r="O59" i="85"/>
  <c r="M58" i="85"/>
  <c r="O56" i="85"/>
  <c r="M55" i="85"/>
  <c r="O54" i="85"/>
  <c r="M53" i="85"/>
  <c r="O51" i="85"/>
  <c r="M50" i="85"/>
  <c r="O49" i="85"/>
  <c r="M48" i="85"/>
  <c r="O46" i="85"/>
  <c r="M45" i="85"/>
  <c r="O44" i="85"/>
  <c r="M43" i="85"/>
  <c r="O41" i="85"/>
  <c r="M40" i="85"/>
  <c r="O39" i="85"/>
  <c r="M38" i="85"/>
  <c r="O36" i="85"/>
  <c r="M35" i="85"/>
  <c r="O34" i="85"/>
  <c r="M33" i="85"/>
  <c r="O31" i="85"/>
  <c r="M30" i="85"/>
  <c r="O29" i="85"/>
  <c r="M28" i="85"/>
  <c r="O26" i="85"/>
  <c r="M25" i="85"/>
  <c r="O24" i="85"/>
  <c r="M23" i="85"/>
  <c r="O21" i="85"/>
  <c r="M20" i="85"/>
  <c r="O19" i="85"/>
  <c r="M18" i="85"/>
  <c r="O16" i="85"/>
  <c r="M15" i="85"/>
  <c r="O14" i="85"/>
  <c r="M13" i="85"/>
  <c r="BL81" i="85"/>
  <c r="N81" i="85"/>
  <c r="O80" i="85"/>
  <c r="L76" i="85"/>
  <c r="L75" i="85"/>
  <c r="M74" i="85"/>
  <c r="N73" i="85"/>
  <c r="N71" i="85"/>
  <c r="O70" i="85"/>
  <c r="L66" i="85"/>
  <c r="L65" i="85"/>
  <c r="M64" i="85"/>
  <c r="N63" i="85"/>
  <c r="N61" i="85"/>
  <c r="O60" i="85"/>
  <c r="L56" i="85"/>
  <c r="L55" i="85"/>
  <c r="M54" i="85"/>
  <c r="N53" i="85"/>
  <c r="N51" i="85"/>
  <c r="O50" i="85"/>
  <c r="L46" i="85"/>
  <c r="L45" i="85"/>
  <c r="M44" i="85"/>
  <c r="N43" i="85"/>
  <c r="N41" i="85"/>
  <c r="O40" i="85"/>
  <c r="L36" i="85"/>
  <c r="L35" i="85"/>
  <c r="M34" i="85"/>
  <c r="N33" i="85"/>
  <c r="N31" i="85"/>
  <c r="O30" i="85"/>
  <c r="L26" i="85"/>
  <c r="L25" i="85"/>
  <c r="M24" i="85"/>
  <c r="N23" i="85"/>
  <c r="N21" i="85"/>
  <c r="O20" i="85"/>
  <c r="L16" i="85"/>
  <c r="L15" i="85"/>
  <c r="M14" i="85"/>
  <c r="N13" i="85"/>
  <c r="BK81" i="85"/>
  <c r="BG81" i="85"/>
  <c r="F81" i="85"/>
  <c r="BL80" i="85"/>
  <c r="BH80" i="85"/>
  <c r="M81" i="85"/>
  <c r="N80" i="85"/>
  <c r="N79" i="85"/>
  <c r="O78" i="85"/>
  <c r="L74" i="85"/>
  <c r="L73" i="85"/>
  <c r="M71" i="85"/>
  <c r="N70" i="85"/>
  <c r="N69" i="85"/>
  <c r="O68" i="85"/>
  <c r="L64" i="85"/>
  <c r="L63" i="85"/>
  <c r="M61" i="85"/>
  <c r="N60" i="85"/>
  <c r="N59" i="85"/>
  <c r="O58" i="85"/>
  <c r="L54" i="85"/>
  <c r="L53" i="85"/>
  <c r="M51" i="85"/>
  <c r="N50" i="85"/>
  <c r="N49" i="85"/>
  <c r="O48" i="85"/>
  <c r="L44" i="85"/>
  <c r="L43" i="85"/>
  <c r="M41" i="85"/>
  <c r="N40" i="85"/>
  <c r="N39" i="85"/>
  <c r="O38" i="85"/>
  <c r="L34" i="85"/>
  <c r="L33" i="85"/>
  <c r="M31" i="85"/>
  <c r="N30" i="85"/>
  <c r="N29" i="85"/>
  <c r="O28" i="85"/>
  <c r="L24" i="85"/>
  <c r="L23" i="85"/>
  <c r="M21" i="85"/>
  <c r="N20" i="85"/>
  <c r="N19" i="85"/>
  <c r="O18" i="85"/>
  <c r="L14" i="85"/>
  <c r="L13" i="85"/>
  <c r="BJ81" i="85"/>
  <c r="BF81" i="85"/>
  <c r="I81" i="85"/>
  <c r="E81" i="85"/>
  <c r="BK80" i="85"/>
  <c r="BG80" i="85"/>
  <c r="L81" i="85"/>
  <c r="L80" i="85"/>
  <c r="M79" i="85"/>
  <c r="N78" i="85"/>
  <c r="N76" i="85"/>
  <c r="O75" i="85"/>
  <c r="L71" i="85"/>
  <c r="L70" i="85"/>
  <c r="M69" i="85"/>
  <c r="N68" i="85"/>
  <c r="N66" i="85"/>
  <c r="O65" i="85"/>
  <c r="L61" i="85"/>
  <c r="L60" i="85"/>
  <c r="M59" i="85"/>
  <c r="N58" i="85"/>
  <c r="N56" i="85"/>
  <c r="O55" i="85"/>
  <c r="L51" i="85"/>
  <c r="L50" i="85"/>
  <c r="M49" i="85"/>
  <c r="N48" i="85"/>
  <c r="N46" i="85"/>
  <c r="O45" i="85"/>
  <c r="M76" i="85"/>
  <c r="L68" i="85"/>
  <c r="O63" i="85"/>
  <c r="L59" i="85"/>
  <c r="N54" i="85"/>
  <c r="N45" i="85"/>
  <c r="L38" i="85"/>
  <c r="N35" i="85"/>
  <c r="O33" i="85"/>
  <c r="L29" i="85"/>
  <c r="M26" i="85"/>
  <c r="N24" i="85"/>
  <c r="L18" i="85"/>
  <c r="N15" i="85"/>
  <c r="O13" i="85"/>
  <c r="BH81" i="85"/>
  <c r="H81" i="85"/>
  <c r="BJ80" i="85"/>
  <c r="H80" i="85"/>
  <c r="D80" i="85"/>
  <c r="BJ79" i="85"/>
  <c r="BF79" i="85"/>
  <c r="I79" i="85"/>
  <c r="E79" i="85"/>
  <c r="BK78" i="85"/>
  <c r="BG78" i="85"/>
  <c r="F78" i="85"/>
  <c r="BL76" i="85"/>
  <c r="BH76" i="85"/>
  <c r="N75" i="85"/>
  <c r="M66" i="85"/>
  <c r="L58" i="85"/>
  <c r="O53" i="85"/>
  <c r="L49" i="85"/>
  <c r="N44" i="85"/>
  <c r="L41" i="85"/>
  <c r="M39" i="85"/>
  <c r="N36" i="85"/>
  <c r="L30" i="85"/>
  <c r="N28" i="85"/>
  <c r="O25" i="85"/>
  <c r="L21" i="85"/>
  <c r="M19" i="85"/>
  <c r="N16" i="85"/>
  <c r="G81" i="85"/>
  <c r="BI80" i="85"/>
  <c r="G80" i="85"/>
  <c r="C80" i="85"/>
  <c r="BI79" i="85"/>
  <c r="AB79" i="85"/>
  <c r="H79" i="85"/>
  <c r="D79" i="85"/>
  <c r="BJ78" i="85"/>
  <c r="BF78" i="85"/>
  <c r="I78" i="85"/>
  <c r="E78" i="85"/>
  <c r="BK76" i="85"/>
  <c r="BG76" i="85"/>
  <c r="Z76" i="85"/>
  <c r="F76" i="85"/>
  <c r="BL75" i="85"/>
  <c r="BH75" i="85"/>
  <c r="L79" i="85"/>
  <c r="N74" i="85"/>
  <c r="N65" i="85"/>
  <c r="M56" i="85"/>
  <c r="L48" i="85"/>
  <c r="O43" i="85"/>
  <c r="L39" i="85"/>
  <c r="M36" i="85"/>
  <c r="N34" i="85"/>
  <c r="L28" i="85"/>
  <c r="N25" i="85"/>
  <c r="O23" i="85"/>
  <c r="L19" i="85"/>
  <c r="M16" i="85"/>
  <c r="N14" i="85"/>
  <c r="D81" i="85"/>
  <c r="BF80" i="85"/>
  <c r="F80" i="85"/>
  <c r="BL79" i="85"/>
  <c r="BH79" i="85"/>
  <c r="G79" i="85"/>
  <c r="C79" i="85"/>
  <c r="BI78" i="85"/>
  <c r="H78" i="85"/>
  <c r="D78" i="85"/>
  <c r="BJ76" i="85"/>
  <c r="BF76" i="85"/>
  <c r="I76" i="85"/>
  <c r="E76" i="85"/>
  <c r="BK75" i="85"/>
  <c r="BG75" i="85"/>
  <c r="L78" i="85"/>
  <c r="O15" i="85"/>
  <c r="BG79" i="85"/>
  <c r="G78" i="85"/>
  <c r="C76" i="85"/>
  <c r="I75" i="85"/>
  <c r="E75" i="85"/>
  <c r="BK74" i="85"/>
  <c r="BG74" i="85"/>
  <c r="Z74" i="85"/>
  <c r="F74" i="85"/>
  <c r="BL73" i="85"/>
  <c r="BH73" i="85"/>
  <c r="G73" i="85"/>
  <c r="C73" i="85"/>
  <c r="BI11" i="85"/>
  <c r="L11" i="85"/>
  <c r="F11" i="85"/>
  <c r="BL10" i="85"/>
  <c r="BH10" i="85"/>
  <c r="O10" i="85"/>
  <c r="I10" i="85"/>
  <c r="E10" i="85"/>
  <c r="BK9" i="85"/>
  <c r="BG9" i="85"/>
  <c r="N9" i="85"/>
  <c r="H9" i="85"/>
  <c r="D9" i="85"/>
  <c r="BJ8" i="85"/>
  <c r="BF8" i="85"/>
  <c r="M8" i="85"/>
  <c r="G8" i="85"/>
  <c r="C8" i="85"/>
  <c r="I8" i="85"/>
  <c r="BH78" i="85"/>
  <c r="O73" i="85"/>
  <c r="N55" i="85"/>
  <c r="L40" i="85"/>
  <c r="L31" i="85"/>
  <c r="I80" i="85"/>
  <c r="F79" i="85"/>
  <c r="C78" i="85"/>
  <c r="H76" i="85"/>
  <c r="BJ75" i="85"/>
  <c r="X75" i="85"/>
  <c r="H75" i="85"/>
  <c r="D75" i="85"/>
  <c r="BJ74" i="85"/>
  <c r="BF74" i="85"/>
  <c r="I74" i="85"/>
  <c r="E74" i="85"/>
  <c r="BK73" i="85"/>
  <c r="BG73" i="85"/>
  <c r="F73" i="85"/>
  <c r="BL11" i="85"/>
  <c r="BH11" i="85"/>
  <c r="O11" i="85"/>
  <c r="I11" i="85"/>
  <c r="E11" i="85"/>
  <c r="BK10" i="85"/>
  <c r="BG10" i="85"/>
  <c r="N10" i="85"/>
  <c r="H10" i="85"/>
  <c r="D10" i="85"/>
  <c r="BJ9" i="85"/>
  <c r="BF9" i="85"/>
  <c r="M9" i="85"/>
  <c r="G9" i="85"/>
  <c r="C9" i="85"/>
  <c r="BI8" i="85"/>
  <c r="L8" i="85"/>
  <c r="F8" i="85"/>
  <c r="O8" i="85"/>
  <c r="E8" i="85"/>
  <c r="N64" i="85"/>
  <c r="N26" i="85"/>
  <c r="N18" i="85"/>
  <c r="C81" i="85"/>
  <c r="BK79" i="85"/>
  <c r="L69" i="85"/>
  <c r="N38" i="85"/>
  <c r="M29" i="85"/>
  <c r="L20" i="85"/>
  <c r="BI81" i="85"/>
  <c r="E80" i="85"/>
  <c r="BL78" i="85"/>
  <c r="BI76" i="85"/>
  <c r="G76" i="85"/>
  <c r="BI75" i="85"/>
  <c r="G75" i="85"/>
  <c r="C75" i="85"/>
  <c r="BI74" i="85"/>
  <c r="H74" i="85"/>
  <c r="D74" i="85"/>
  <c r="BJ73" i="85"/>
  <c r="BF73" i="85"/>
  <c r="I73" i="85"/>
  <c r="E73" i="85"/>
  <c r="BK11" i="85"/>
  <c r="BG11" i="85"/>
  <c r="N11" i="85"/>
  <c r="H11" i="85"/>
  <c r="D11" i="85"/>
  <c r="BJ10" i="85"/>
  <c r="BF10" i="85"/>
  <c r="M10" i="85"/>
  <c r="G10" i="85"/>
  <c r="C10" i="85"/>
  <c r="BI9" i="85"/>
  <c r="AB9" i="85"/>
  <c r="L9" i="85"/>
  <c r="F9" i="85"/>
  <c r="BL8" i="85"/>
  <c r="BH8" i="85"/>
  <c r="M46" i="85"/>
  <c r="O35" i="85"/>
  <c r="BH74" i="85"/>
  <c r="BF11" i="85"/>
  <c r="M11" i="85"/>
  <c r="C11" i="85"/>
  <c r="G74" i="85"/>
  <c r="H73" i="85"/>
  <c r="BI10" i="85"/>
  <c r="F10" i="85"/>
  <c r="I9" i="85"/>
  <c r="C74" i="85"/>
  <c r="D73" i="85"/>
  <c r="L10" i="85"/>
  <c r="E9" i="85"/>
  <c r="BH9" i="85"/>
  <c r="BK8" i="85"/>
  <c r="BG8" i="85"/>
  <c r="D76" i="85"/>
  <c r="F75" i="85"/>
  <c r="AB10" i="85"/>
  <c r="BL9" i="85"/>
  <c r="O9" i="85"/>
  <c r="H8" i="85"/>
  <c r="BL74" i="85"/>
  <c r="BL72" i="85" s="1"/>
  <c r="BF75" i="85"/>
  <c r="BI73" i="85"/>
  <c r="BJ11" i="85"/>
  <c r="G11" i="85"/>
  <c r="N8" i="85"/>
  <c r="D8" i="85"/>
  <c r="L16" i="69"/>
  <c r="L10" i="69"/>
  <c r="M17" i="69"/>
  <c r="O14" i="69"/>
  <c r="M9" i="69"/>
  <c r="L19" i="69"/>
  <c r="L11" i="69"/>
  <c r="N7" i="69"/>
  <c r="N16" i="69"/>
  <c r="N8" i="69"/>
  <c r="O19" i="69"/>
  <c r="M14" i="69"/>
  <c r="O11" i="69"/>
  <c r="L18" i="69"/>
  <c r="N21" i="69"/>
  <c r="N15" i="69"/>
  <c r="N9" i="69"/>
  <c r="M19" i="69"/>
  <c r="O16" i="69"/>
  <c r="M11" i="69"/>
  <c r="O8" i="69"/>
  <c r="N18" i="69"/>
  <c r="N10" i="69"/>
  <c r="L21" i="69"/>
  <c r="L13" i="69"/>
  <c r="O21" i="69"/>
  <c r="M16" i="69"/>
  <c r="O13" i="69"/>
  <c r="M8" i="69"/>
  <c r="N17" i="69"/>
  <c r="L20" i="69"/>
  <c r="L12" i="69"/>
  <c r="M21" i="69"/>
  <c r="O18" i="69"/>
  <c r="M13" i="69"/>
  <c r="O10" i="69"/>
  <c r="L15" i="69"/>
  <c r="L7" i="69"/>
  <c r="N20" i="69"/>
  <c r="N12" i="69"/>
  <c r="M18" i="69"/>
  <c r="O15" i="69"/>
  <c r="M10" i="69"/>
  <c r="O7" i="69"/>
  <c r="L14" i="69"/>
  <c r="N19" i="69"/>
  <c r="N11" i="69"/>
  <c r="O20" i="69"/>
  <c r="M15" i="69"/>
  <c r="O12" i="69"/>
  <c r="M7" i="69"/>
  <c r="N14" i="69"/>
  <c r="L8" i="69"/>
  <c r="L17" i="69"/>
  <c r="L9" i="69"/>
  <c r="M20" i="69"/>
  <c r="O17" i="69"/>
  <c r="M12" i="69"/>
  <c r="O9" i="69"/>
  <c r="N13" i="69"/>
  <c r="N25" i="69"/>
  <c r="O24" i="69"/>
  <c r="N24" i="69"/>
  <c r="M24" i="69"/>
  <c r="L24" i="69"/>
  <c r="M23" i="69"/>
  <c r="M25" i="69"/>
  <c r="O23" i="69"/>
  <c r="N23" i="69"/>
  <c r="L23" i="69"/>
  <c r="L25" i="69"/>
  <c r="O25" i="69"/>
  <c r="E19" i="85"/>
  <c r="F18" i="85"/>
  <c r="BH16" i="85"/>
  <c r="Y16" i="85"/>
  <c r="G16" i="85"/>
  <c r="BI15" i="85"/>
  <c r="AA15" i="85"/>
  <c r="F15" i="85"/>
  <c r="BK14" i="85"/>
  <c r="BF14" i="85"/>
  <c r="Z14" i="85"/>
  <c r="E14" i="85"/>
  <c r="BJ13" i="85"/>
  <c r="BK18" i="85"/>
  <c r="D18" i="85"/>
  <c r="BF16" i="85"/>
  <c r="W16" i="85"/>
  <c r="E16" i="85"/>
  <c r="BG15" i="85"/>
  <c r="Z15" i="85"/>
  <c r="E15" i="85"/>
  <c r="BJ14" i="85"/>
  <c r="Y14" i="85"/>
  <c r="I14" i="85"/>
  <c r="D14" i="85"/>
  <c r="BI13" i="85"/>
  <c r="H13" i="85"/>
  <c r="D13" i="85"/>
  <c r="BG18" i="85"/>
  <c r="AC16" i="85"/>
  <c r="C16" i="85"/>
  <c r="W15" i="85"/>
  <c r="H15" i="85"/>
  <c r="BG14" i="85"/>
  <c r="AA14" i="85"/>
  <c r="BK13" i="85"/>
  <c r="G13" i="85"/>
  <c r="H18" i="85"/>
  <c r="AA16" i="85"/>
  <c r="BK15" i="85"/>
  <c r="D15" i="85"/>
  <c r="W14" i="85"/>
  <c r="H14" i="85"/>
  <c r="BG13" i="85"/>
  <c r="F13" i="85"/>
  <c r="BL16" i="85"/>
  <c r="AB15" i="85"/>
  <c r="BL14" i="85"/>
  <c r="G14" i="85"/>
  <c r="BF13" i="85"/>
  <c r="O12" i="85"/>
  <c r="E13" i="85"/>
  <c r="I19" i="85"/>
  <c r="BJ16" i="85"/>
  <c r="I16" i="85"/>
  <c r="I15" i="85"/>
  <c r="BH14" i="85"/>
  <c r="AC14" i="85"/>
  <c r="C14" i="85"/>
  <c r="Z11" i="85"/>
  <c r="Z10" i="85"/>
  <c r="I13" i="85"/>
  <c r="AB11" i="85"/>
  <c r="C13" i="85"/>
  <c r="AA11" i="85"/>
  <c r="W11" i="85"/>
  <c r="AA10" i="85"/>
  <c r="W10" i="85"/>
  <c r="AC11" i="85"/>
  <c r="Y10" i="85"/>
  <c r="AC9" i="85"/>
  <c r="Y9" i="85"/>
  <c r="Y11" i="85"/>
  <c r="BL7" i="85"/>
  <c r="BC7" i="85"/>
  <c r="T7" i="85"/>
  <c r="F7" i="85"/>
  <c r="AA9" i="85"/>
  <c r="W9" i="85"/>
  <c r="AC10" i="85"/>
  <c r="Z9" i="85"/>
  <c r="AW7" i="85"/>
  <c r="Z81" i="85"/>
  <c r="AC80" i="85"/>
  <c r="Y80" i="85"/>
  <c r="AC81" i="85"/>
  <c r="Y81" i="85"/>
  <c r="AB81" i="85"/>
  <c r="AA80" i="85"/>
  <c r="W80" i="85"/>
  <c r="Z79" i="85"/>
  <c r="BF77" i="85"/>
  <c r="AA81" i="85"/>
  <c r="W81" i="85"/>
  <c r="Z80" i="85"/>
  <c r="AC79" i="85"/>
  <c r="Y79" i="85"/>
  <c r="AB80" i="85"/>
  <c r="G77" i="85"/>
  <c r="AC76" i="85"/>
  <c r="Y76" i="85"/>
  <c r="AB75" i="85"/>
  <c r="AA74" i="85"/>
  <c r="W74" i="85"/>
  <c r="BJ71" i="85"/>
  <c r="BF71" i="85"/>
  <c r="AA79" i="85"/>
  <c r="AX77" i="85"/>
  <c r="AB76" i="85"/>
  <c r="AA75" i="85"/>
  <c r="W75" i="85"/>
  <c r="BI71" i="85"/>
  <c r="AB71" i="85"/>
  <c r="W79" i="85"/>
  <c r="BG77" i="85"/>
  <c r="S77" i="85"/>
  <c r="N77" i="85"/>
  <c r="D77" i="85"/>
  <c r="AA76" i="85"/>
  <c r="W76" i="85"/>
  <c r="Z75" i="85"/>
  <c r="Y75" i="85"/>
  <c r="BH71" i="85"/>
  <c r="Z71" i="85"/>
  <c r="F71" i="85"/>
  <c r="BL70" i="85"/>
  <c r="BH70" i="85"/>
  <c r="AA70" i="85"/>
  <c r="W70" i="85"/>
  <c r="I70" i="85"/>
  <c r="E70" i="85"/>
  <c r="BK69" i="85"/>
  <c r="BG69" i="85"/>
  <c r="Z69" i="85"/>
  <c r="H69" i="85"/>
  <c r="D69" i="85"/>
  <c r="BJ68" i="85"/>
  <c r="BF68" i="85"/>
  <c r="G68" i="85"/>
  <c r="C68" i="85"/>
  <c r="BI66" i="85"/>
  <c r="H77" i="85"/>
  <c r="AC74" i="85"/>
  <c r="BG71" i="85"/>
  <c r="Y71" i="85"/>
  <c r="I71" i="85"/>
  <c r="E71" i="85"/>
  <c r="BK70" i="85"/>
  <c r="BG70" i="85"/>
  <c r="Z70" i="85"/>
  <c r="H70" i="85"/>
  <c r="D70" i="85"/>
  <c r="BJ69" i="85"/>
  <c r="BF69" i="85"/>
  <c r="AC69" i="85"/>
  <c r="Y69" i="85"/>
  <c r="G69" i="85"/>
  <c r="C69" i="85"/>
  <c r="BI68" i="85"/>
  <c r="F68" i="85"/>
  <c r="BL66" i="85"/>
  <c r="BH66" i="85"/>
  <c r="AB74" i="85"/>
  <c r="BC72" i="85"/>
  <c r="BL71" i="85"/>
  <c r="AC71" i="85"/>
  <c r="W71" i="85"/>
  <c r="H71" i="85"/>
  <c r="D71" i="85"/>
  <c r="BJ70" i="85"/>
  <c r="BF70" i="85"/>
  <c r="AC70" i="85"/>
  <c r="Y70" i="85"/>
  <c r="G70" i="85"/>
  <c r="C70" i="85"/>
  <c r="BI69" i="85"/>
  <c r="AB69" i="85"/>
  <c r="F69" i="85"/>
  <c r="BL68" i="85"/>
  <c r="BH68" i="85"/>
  <c r="I68" i="85"/>
  <c r="E68" i="85"/>
  <c r="BK66" i="85"/>
  <c r="AC75" i="85"/>
  <c r="BK71" i="85"/>
  <c r="G71" i="85"/>
  <c r="BH69" i="85"/>
  <c r="AA69" i="85"/>
  <c r="BK68" i="85"/>
  <c r="D68" i="85"/>
  <c r="Z66" i="85"/>
  <c r="H66" i="85"/>
  <c r="D66" i="85"/>
  <c r="BJ65" i="85"/>
  <c r="BF65" i="85"/>
  <c r="AC65" i="85"/>
  <c r="C71" i="85"/>
  <c r="W69" i="85"/>
  <c r="BG68" i="85"/>
  <c r="BJ66" i="85"/>
  <c r="AC66" i="85"/>
  <c r="Y66" i="85"/>
  <c r="G66" i="85"/>
  <c r="C66" i="85"/>
  <c r="BI65" i="85"/>
  <c r="AB65" i="85"/>
  <c r="F65" i="85"/>
  <c r="BL64" i="85"/>
  <c r="BH64" i="85"/>
  <c r="AA64" i="85"/>
  <c r="W64" i="85"/>
  <c r="I64" i="85"/>
  <c r="E64" i="85"/>
  <c r="BK63" i="85"/>
  <c r="BG63" i="85"/>
  <c r="Y74" i="85"/>
  <c r="BI72" i="85"/>
  <c r="AA71" i="85"/>
  <c r="BI70" i="85"/>
  <c r="F70" i="85"/>
  <c r="I69" i="85"/>
  <c r="BG66" i="85"/>
  <c r="AB66" i="85"/>
  <c r="F66" i="85"/>
  <c r="BL65" i="85"/>
  <c r="BH65" i="85"/>
  <c r="AA65" i="85"/>
  <c r="W65" i="85"/>
  <c r="I65" i="85"/>
  <c r="E65" i="85"/>
  <c r="BK64" i="85"/>
  <c r="BG64" i="85"/>
  <c r="Z64" i="85"/>
  <c r="H64" i="85"/>
  <c r="D64" i="85"/>
  <c r="BJ63" i="85"/>
  <c r="BF63" i="85"/>
  <c r="G63" i="85"/>
  <c r="C63" i="85"/>
  <c r="BI61" i="85"/>
  <c r="BF66" i="85"/>
  <c r="I66" i="85"/>
  <c r="Y65" i="85"/>
  <c r="G65" i="85"/>
  <c r="BI64" i="85"/>
  <c r="I72" i="85"/>
  <c r="BL69" i="85"/>
  <c r="E66" i="85"/>
  <c r="D65" i="85"/>
  <c r="BF64" i="85"/>
  <c r="Y64" i="85"/>
  <c r="G64" i="85"/>
  <c r="BI63" i="85"/>
  <c r="F63" i="85"/>
  <c r="BK61" i="85"/>
  <c r="BF61" i="85"/>
  <c r="AC61" i="85"/>
  <c r="Y61" i="85"/>
  <c r="G61" i="85"/>
  <c r="C61" i="85"/>
  <c r="BI60" i="85"/>
  <c r="AB60" i="85"/>
  <c r="F60" i="85"/>
  <c r="BL59" i="85"/>
  <c r="BH59" i="85"/>
  <c r="AA59" i="85"/>
  <c r="W59" i="85"/>
  <c r="I59" i="85"/>
  <c r="E59" i="85"/>
  <c r="BK58" i="85"/>
  <c r="BG58" i="85"/>
  <c r="H58" i="85"/>
  <c r="D58" i="85"/>
  <c r="BJ56" i="85"/>
  <c r="BF56" i="85"/>
  <c r="AC56" i="85"/>
  <c r="Y56" i="85"/>
  <c r="G56" i="85"/>
  <c r="C56" i="85"/>
  <c r="BI55" i="85"/>
  <c r="AB55" i="85"/>
  <c r="X55" i="85"/>
  <c r="F55" i="85"/>
  <c r="BL54" i="85"/>
  <c r="BH54" i="85"/>
  <c r="AA54" i="85"/>
  <c r="W54" i="85"/>
  <c r="I54" i="85"/>
  <c r="E54" i="85"/>
  <c r="BK53" i="85"/>
  <c r="BG53" i="85"/>
  <c r="E69" i="85"/>
  <c r="AA66" i="85"/>
  <c r="BK65" i="85"/>
  <c r="C65" i="85"/>
  <c r="F64" i="85"/>
  <c r="BH63" i="85"/>
  <c r="E63" i="85"/>
  <c r="BJ61" i="85"/>
  <c r="AB61" i="85"/>
  <c r="F61" i="85"/>
  <c r="BL60" i="85"/>
  <c r="BH60" i="85"/>
  <c r="AA60" i="85"/>
  <c r="W60" i="85"/>
  <c r="I60" i="85"/>
  <c r="E60" i="85"/>
  <c r="BK59" i="85"/>
  <c r="BG59" i="85"/>
  <c r="Z59" i="85"/>
  <c r="H59" i="85"/>
  <c r="D59" i="85"/>
  <c r="BJ58" i="85"/>
  <c r="BF58" i="85"/>
  <c r="G58" i="85"/>
  <c r="C58" i="85"/>
  <c r="BI56" i="85"/>
  <c r="AB56" i="85"/>
  <c r="X56" i="85"/>
  <c r="F56" i="85"/>
  <c r="BL55" i="85"/>
  <c r="BH55" i="85"/>
  <c r="AA55" i="85"/>
  <c r="W55" i="85"/>
  <c r="I55" i="85"/>
  <c r="E55" i="85"/>
  <c r="BK54" i="85"/>
  <c r="BG54" i="85"/>
  <c r="Z54" i="85"/>
  <c r="H54" i="85"/>
  <c r="D54" i="85"/>
  <c r="BJ53" i="85"/>
  <c r="BF53" i="85"/>
  <c r="G53" i="85"/>
  <c r="C53" i="85"/>
  <c r="BI51" i="85"/>
  <c r="AB51" i="85"/>
  <c r="F51" i="85"/>
  <c r="BL50" i="85"/>
  <c r="BH50" i="85"/>
  <c r="AB70" i="85"/>
  <c r="H68" i="85"/>
  <c r="W66" i="85"/>
  <c r="BG65" i="85"/>
  <c r="Z65" i="85"/>
  <c r="H65" i="85"/>
  <c r="BJ64" i="85"/>
  <c r="AC64" i="85"/>
  <c r="C64" i="85"/>
  <c r="I63" i="85"/>
  <c r="D63" i="85"/>
  <c r="BH61" i="85"/>
  <c r="AA61" i="85"/>
  <c r="W61" i="85"/>
  <c r="I61" i="85"/>
  <c r="E61" i="85"/>
  <c r="BK60" i="85"/>
  <c r="BG60" i="85"/>
  <c r="Z60" i="85"/>
  <c r="H60" i="85"/>
  <c r="D60" i="85"/>
  <c r="BJ59" i="85"/>
  <c r="BF59" i="85"/>
  <c r="AC59" i="85"/>
  <c r="Y59" i="85"/>
  <c r="G59" i="85"/>
  <c r="C59" i="85"/>
  <c r="BI58" i="85"/>
  <c r="F58" i="85"/>
  <c r="BL56" i="85"/>
  <c r="BH56" i="85"/>
  <c r="AA56" i="85"/>
  <c r="W56" i="85"/>
  <c r="I56" i="85"/>
  <c r="E56" i="85"/>
  <c r="BK55" i="85"/>
  <c r="BG55" i="85"/>
  <c r="Z55" i="85"/>
  <c r="H55" i="85"/>
  <c r="D55" i="85"/>
  <c r="BJ54" i="85"/>
  <c r="BF54" i="85"/>
  <c r="H63" i="85"/>
  <c r="D61" i="85"/>
  <c r="AB59" i="85"/>
  <c r="BL58" i="85"/>
  <c r="E58" i="85"/>
  <c r="H56" i="85"/>
  <c r="Y55" i="85"/>
  <c r="BI54" i="85"/>
  <c r="F54" i="85"/>
  <c r="BH53" i="85"/>
  <c r="E53" i="85"/>
  <c r="BJ51" i="85"/>
  <c r="Y51" i="85"/>
  <c r="I51" i="85"/>
  <c r="D51" i="85"/>
  <c r="BI50" i="85"/>
  <c r="AA50" i="85"/>
  <c r="W50" i="85"/>
  <c r="I50" i="85"/>
  <c r="E50" i="85"/>
  <c r="BK49" i="85"/>
  <c r="BG49" i="85"/>
  <c r="Z49" i="85"/>
  <c r="H49" i="85"/>
  <c r="D49" i="85"/>
  <c r="BJ48" i="85"/>
  <c r="BF48" i="85"/>
  <c r="G48" i="85"/>
  <c r="C48" i="85"/>
  <c r="BI46" i="85"/>
  <c r="AB46" i="85"/>
  <c r="F46" i="85"/>
  <c r="BL45" i="85"/>
  <c r="BH45" i="85"/>
  <c r="AA45" i="85"/>
  <c r="W45" i="85"/>
  <c r="I45" i="85"/>
  <c r="E45" i="85"/>
  <c r="BK44" i="85"/>
  <c r="BG44" i="85"/>
  <c r="Z44" i="85"/>
  <c r="H44" i="85"/>
  <c r="D44" i="85"/>
  <c r="BJ43" i="85"/>
  <c r="BF43" i="85"/>
  <c r="G43" i="85"/>
  <c r="C43" i="85"/>
  <c r="BI41" i="85"/>
  <c r="AB64" i="85"/>
  <c r="BL63" i="85"/>
  <c r="BL61" i="85"/>
  <c r="Z61" i="85"/>
  <c r="BJ60" i="85"/>
  <c r="G60" i="85"/>
  <c r="BH58" i="85"/>
  <c r="BK56" i="85"/>
  <c r="D56" i="85"/>
  <c r="AC54" i="85"/>
  <c r="C54" i="85"/>
  <c r="I53" i="85"/>
  <c r="D53" i="85"/>
  <c r="BH51" i="85"/>
  <c r="AC51" i="85"/>
  <c r="W51" i="85"/>
  <c r="H51" i="85"/>
  <c r="C51" i="85"/>
  <c r="BG50" i="85"/>
  <c r="Z50" i="85"/>
  <c r="H50" i="85"/>
  <c r="D50" i="85"/>
  <c r="BJ49" i="85"/>
  <c r="BF49" i="85"/>
  <c r="AC49" i="85"/>
  <c r="Y49" i="85"/>
  <c r="G49" i="85"/>
  <c r="C49" i="85"/>
  <c r="BI48" i="85"/>
  <c r="F48" i="85"/>
  <c r="BL46" i="85"/>
  <c r="BH46" i="85"/>
  <c r="AA46" i="85"/>
  <c r="W46" i="85"/>
  <c r="I46" i="85"/>
  <c r="E46" i="85"/>
  <c r="BK45" i="85"/>
  <c r="BG45" i="85"/>
  <c r="Z45" i="85"/>
  <c r="H45" i="85"/>
  <c r="D45" i="85"/>
  <c r="BJ44" i="85"/>
  <c r="BF44" i="85"/>
  <c r="AC44" i="85"/>
  <c r="Y44" i="85"/>
  <c r="G44" i="85"/>
  <c r="C44" i="85"/>
  <c r="BI43" i="85"/>
  <c r="F43" i="85"/>
  <c r="BL41" i="85"/>
  <c r="BH41" i="85"/>
  <c r="AA41" i="85"/>
  <c r="W41" i="85"/>
  <c r="I41" i="85"/>
  <c r="E41" i="85"/>
  <c r="BK40" i="85"/>
  <c r="BG40" i="85"/>
  <c r="Z40" i="85"/>
  <c r="H40" i="85"/>
  <c r="D40" i="85"/>
  <c r="BJ39" i="85"/>
  <c r="BF39" i="85"/>
  <c r="AC39" i="85"/>
  <c r="BG61" i="85"/>
  <c r="BF60" i="85"/>
  <c r="AC60" i="85"/>
  <c r="C60" i="85"/>
  <c r="BG56" i="85"/>
  <c r="Z56" i="85"/>
  <c r="BJ55" i="85"/>
  <c r="G55" i="85"/>
  <c r="AB54" i="85"/>
  <c r="BL53" i="85"/>
  <c r="L52" i="85"/>
  <c r="H53" i="85"/>
  <c r="BL51" i="85"/>
  <c r="BG51" i="85"/>
  <c r="AA51" i="85"/>
  <c r="G51" i="85"/>
  <c r="BK50" i="85"/>
  <c r="BF50" i="85"/>
  <c r="AC50" i="85"/>
  <c r="Y50" i="85"/>
  <c r="G50" i="85"/>
  <c r="C50" i="85"/>
  <c r="BI49" i="85"/>
  <c r="AB49" i="85"/>
  <c r="F49" i="85"/>
  <c r="BL48" i="85"/>
  <c r="BH48" i="85"/>
  <c r="I48" i="85"/>
  <c r="E48" i="85"/>
  <c r="BK46" i="85"/>
  <c r="BG46" i="85"/>
  <c r="Z46" i="85"/>
  <c r="H46" i="85"/>
  <c r="D46" i="85"/>
  <c r="BJ45" i="85"/>
  <c r="BF45" i="85"/>
  <c r="AC45" i="85"/>
  <c r="Y45" i="85"/>
  <c r="G45" i="85"/>
  <c r="C45" i="85"/>
  <c r="BI44" i="85"/>
  <c r="AB44" i="85"/>
  <c r="F44" i="85"/>
  <c r="BL43" i="85"/>
  <c r="BH43" i="85"/>
  <c r="I43" i="85"/>
  <c r="E43" i="85"/>
  <c r="BK41" i="85"/>
  <c r="BG41" i="85"/>
  <c r="Z41" i="85"/>
  <c r="H61" i="85"/>
  <c r="F59" i="85"/>
  <c r="BF55" i="85"/>
  <c r="AC55" i="85"/>
  <c r="AB50" i="85"/>
  <c r="BL49" i="85"/>
  <c r="E49" i="85"/>
  <c r="H48" i="85"/>
  <c r="Y46" i="85"/>
  <c r="BI45" i="85"/>
  <c r="F45" i="85"/>
  <c r="I44" i="85"/>
  <c r="BF41" i="85"/>
  <c r="AC41" i="85"/>
  <c r="G41" i="85"/>
  <c r="BL40" i="85"/>
  <c r="BF40" i="85"/>
  <c r="AB40" i="85"/>
  <c r="W40" i="85"/>
  <c r="G40" i="85"/>
  <c r="BL39" i="85"/>
  <c r="BG39" i="85"/>
  <c r="AA39" i="85"/>
  <c r="W39" i="85"/>
  <c r="I39" i="85"/>
  <c r="E39" i="85"/>
  <c r="BK38" i="85"/>
  <c r="BG38" i="85"/>
  <c r="H38" i="85"/>
  <c r="D38" i="85"/>
  <c r="BJ36" i="85"/>
  <c r="BF36" i="85"/>
  <c r="AC36" i="85"/>
  <c r="Y36" i="85"/>
  <c r="G36" i="85"/>
  <c r="C36" i="85"/>
  <c r="BI35" i="85"/>
  <c r="AB35" i="85"/>
  <c r="F35" i="85"/>
  <c r="BL34" i="85"/>
  <c r="BH34" i="85"/>
  <c r="AA34" i="85"/>
  <c r="W34" i="85"/>
  <c r="I34" i="85"/>
  <c r="E34" i="85"/>
  <c r="BK33" i="85"/>
  <c r="BG33" i="85"/>
  <c r="H33" i="85"/>
  <c r="D33" i="85"/>
  <c r="BJ31" i="85"/>
  <c r="BF31" i="85"/>
  <c r="AC31" i="85"/>
  <c r="Y31" i="85"/>
  <c r="G31" i="85"/>
  <c r="C31" i="85"/>
  <c r="BI30" i="85"/>
  <c r="Y60" i="85"/>
  <c r="I58" i="85"/>
  <c r="G54" i="85"/>
  <c r="F53" i="85"/>
  <c r="Z51" i="85"/>
  <c r="BH49" i="85"/>
  <c r="AA49" i="85"/>
  <c r="BK48" i="85"/>
  <c r="D48" i="85"/>
  <c r="AB45" i="85"/>
  <c r="BL44" i="85"/>
  <c r="E44" i="85"/>
  <c r="H43" i="85"/>
  <c r="AB41" i="85"/>
  <c r="F41" i="85"/>
  <c r="BJ40" i="85"/>
  <c r="AA40" i="85"/>
  <c r="F40" i="85"/>
  <c r="BK39" i="85"/>
  <c r="Z39" i="85"/>
  <c r="H39" i="85"/>
  <c r="D39" i="85"/>
  <c r="BJ38" i="85"/>
  <c r="BF38" i="85"/>
  <c r="G38" i="85"/>
  <c r="C38" i="85"/>
  <c r="BI36" i="85"/>
  <c r="AB36" i="85"/>
  <c r="F36" i="85"/>
  <c r="BL35" i="85"/>
  <c r="BH35" i="85"/>
  <c r="AA35" i="85"/>
  <c r="W35" i="85"/>
  <c r="I35" i="85"/>
  <c r="E35" i="85"/>
  <c r="BK34" i="85"/>
  <c r="BG34" i="85"/>
  <c r="Z34" i="85"/>
  <c r="H34" i="85"/>
  <c r="D34" i="85"/>
  <c r="BJ33" i="85"/>
  <c r="BF33" i="85"/>
  <c r="G33" i="85"/>
  <c r="C33" i="85"/>
  <c r="BI31" i="85"/>
  <c r="C55" i="85"/>
  <c r="Y54" i="85"/>
  <c r="BI53" i="85"/>
  <c r="BI52" i="85" s="1"/>
  <c r="BK51" i="85"/>
  <c r="E51" i="85"/>
  <c r="W49" i="85"/>
  <c r="BG48" i="85"/>
  <c r="BJ46" i="85"/>
  <c r="G46" i="85"/>
  <c r="BH44" i="85"/>
  <c r="AA44" i="85"/>
  <c r="BK43" i="85"/>
  <c r="D43" i="85"/>
  <c r="Y41" i="85"/>
  <c r="D41" i="85"/>
  <c r="BI40" i="85"/>
  <c r="Y40" i="85"/>
  <c r="E40" i="85"/>
  <c r="BI39" i="85"/>
  <c r="Y39" i="85"/>
  <c r="G39" i="85"/>
  <c r="C39" i="85"/>
  <c r="BI38" i="85"/>
  <c r="F38" i="85"/>
  <c r="BL36" i="85"/>
  <c r="BH36" i="85"/>
  <c r="AA36" i="85"/>
  <c r="W36" i="85"/>
  <c r="I36" i="85"/>
  <c r="E36" i="85"/>
  <c r="BK35" i="85"/>
  <c r="BG35" i="85"/>
  <c r="BC62" i="85"/>
  <c r="BI59" i="85"/>
  <c r="BF51" i="85"/>
  <c r="BJ50" i="85"/>
  <c r="F50" i="85"/>
  <c r="I49" i="85"/>
  <c r="BF46" i="85"/>
  <c r="AC46" i="85"/>
  <c r="C46" i="85"/>
  <c r="W44" i="85"/>
  <c r="BG43" i="85"/>
  <c r="BJ41" i="85"/>
  <c r="H41" i="85"/>
  <c r="C41" i="85"/>
  <c r="BH40" i="85"/>
  <c r="AC40" i="85"/>
  <c r="I40" i="85"/>
  <c r="C40" i="85"/>
  <c r="BH39" i="85"/>
  <c r="AB39" i="85"/>
  <c r="F39" i="85"/>
  <c r="BL38" i="85"/>
  <c r="BH38" i="85"/>
  <c r="I38" i="85"/>
  <c r="E38" i="85"/>
  <c r="BK36" i="85"/>
  <c r="BG36" i="85"/>
  <c r="Z36" i="85"/>
  <c r="H36" i="85"/>
  <c r="D36" i="85"/>
  <c r="BJ35" i="85"/>
  <c r="BF35" i="85"/>
  <c r="AC35" i="85"/>
  <c r="Y35" i="85"/>
  <c r="G35" i="85"/>
  <c r="C35" i="85"/>
  <c r="BI34" i="85"/>
  <c r="AB34" i="85"/>
  <c r="F34" i="85"/>
  <c r="BL33" i="85"/>
  <c r="BH33" i="85"/>
  <c r="Z35" i="85"/>
  <c r="BJ34" i="85"/>
  <c r="G34" i="85"/>
  <c r="I33" i="85"/>
  <c r="BK31" i="85"/>
  <c r="AA31" i="85"/>
  <c r="F31" i="85"/>
  <c r="BK30" i="85"/>
  <c r="BF30" i="85"/>
  <c r="AC30" i="85"/>
  <c r="Y30" i="85"/>
  <c r="G30" i="85"/>
  <c r="C30" i="85"/>
  <c r="BI29" i="85"/>
  <c r="AB29" i="85"/>
  <c r="F29" i="85"/>
  <c r="BL28" i="85"/>
  <c r="BH28" i="85"/>
  <c r="I28" i="85"/>
  <c r="E28" i="85"/>
  <c r="BK26" i="85"/>
  <c r="BG26" i="85"/>
  <c r="Z26" i="85"/>
  <c r="H26" i="85"/>
  <c r="D26" i="85"/>
  <c r="BJ25" i="85"/>
  <c r="BF25" i="85"/>
  <c r="AC25" i="85"/>
  <c r="Y25" i="85"/>
  <c r="G25" i="85"/>
  <c r="C25" i="85"/>
  <c r="BI24" i="85"/>
  <c r="AB24" i="85"/>
  <c r="F24" i="85"/>
  <c r="BL23" i="85"/>
  <c r="BH23" i="85"/>
  <c r="I23" i="85"/>
  <c r="E23" i="85"/>
  <c r="BK21" i="85"/>
  <c r="BG21" i="85"/>
  <c r="Z21" i="85"/>
  <c r="H21" i="85"/>
  <c r="D21" i="85"/>
  <c r="BJ20" i="85"/>
  <c r="BF20" i="85"/>
  <c r="AC20" i="85"/>
  <c r="Y20" i="85"/>
  <c r="G20" i="85"/>
  <c r="C20" i="85"/>
  <c r="BI19" i="85"/>
  <c r="AB19" i="85"/>
  <c r="F19" i="85"/>
  <c r="BL18" i="85"/>
  <c r="BH18" i="85"/>
  <c r="I18" i="85"/>
  <c r="E18" i="85"/>
  <c r="BK16" i="85"/>
  <c r="BG16" i="85"/>
  <c r="Z16" i="85"/>
  <c r="H16" i="85"/>
  <c r="D16" i="85"/>
  <c r="BJ15" i="85"/>
  <c r="BF15" i="85"/>
  <c r="AC15" i="85"/>
  <c r="Y15" i="85"/>
  <c r="G15" i="85"/>
  <c r="C15" i="85"/>
  <c r="BI14" i="85"/>
  <c r="AB14" i="85"/>
  <c r="F14" i="85"/>
  <c r="BL13" i="85"/>
  <c r="BH13" i="85"/>
  <c r="BF34" i="85"/>
  <c r="AC34" i="85"/>
  <c r="C34" i="85"/>
  <c r="F33" i="85"/>
  <c r="BH31" i="85"/>
  <c r="Z31" i="85"/>
  <c r="E31" i="85"/>
  <c r="BJ30" i="85"/>
  <c r="AB30" i="85"/>
  <c r="F30" i="85"/>
  <c r="BL29" i="85"/>
  <c r="BH29" i="85"/>
  <c r="AA29" i="85"/>
  <c r="W29" i="85"/>
  <c r="I29" i="85"/>
  <c r="E29" i="85"/>
  <c r="BK28" i="85"/>
  <c r="BG28" i="85"/>
  <c r="H28" i="85"/>
  <c r="D28" i="85"/>
  <c r="BJ26" i="85"/>
  <c r="BF26" i="85"/>
  <c r="AC26" i="85"/>
  <c r="Y26" i="85"/>
  <c r="G26" i="85"/>
  <c r="C26" i="85"/>
  <c r="BI25" i="85"/>
  <c r="AB25" i="85"/>
  <c r="F25" i="85"/>
  <c r="BL24" i="85"/>
  <c r="BH24" i="85"/>
  <c r="AA24" i="85"/>
  <c r="W24" i="85"/>
  <c r="I24" i="85"/>
  <c r="E24" i="85"/>
  <c r="BK23" i="85"/>
  <c r="BG23" i="85"/>
  <c r="H23" i="85"/>
  <c r="D23" i="85"/>
  <c r="BJ21" i="85"/>
  <c r="BF21" i="85"/>
  <c r="AC21" i="85"/>
  <c r="Y21" i="85"/>
  <c r="G21" i="85"/>
  <c r="C21" i="85"/>
  <c r="BI20" i="85"/>
  <c r="AB20" i="85"/>
  <c r="X20" i="85"/>
  <c r="F20" i="85"/>
  <c r="BL19" i="85"/>
  <c r="BH19" i="85"/>
  <c r="AA19" i="85"/>
  <c r="W19" i="85"/>
  <c r="H35" i="85"/>
  <c r="Y34" i="85"/>
  <c r="BI33" i="85"/>
  <c r="E33" i="85"/>
  <c r="BG31" i="85"/>
  <c r="I31" i="85"/>
  <c r="D31" i="85"/>
  <c r="BH30" i="85"/>
  <c r="AA30" i="85"/>
  <c r="W30" i="85"/>
  <c r="I30" i="85"/>
  <c r="E30" i="85"/>
  <c r="BK29" i="85"/>
  <c r="BG29" i="85"/>
  <c r="Z29" i="85"/>
  <c r="H29" i="85"/>
  <c r="D29" i="85"/>
  <c r="BJ28" i="85"/>
  <c r="BF28" i="85"/>
  <c r="G28" i="85"/>
  <c r="C28" i="85"/>
  <c r="BI26" i="85"/>
  <c r="AB26" i="85"/>
  <c r="F26" i="85"/>
  <c r="BL25" i="85"/>
  <c r="BH25" i="85"/>
  <c r="AA25" i="85"/>
  <c r="W25" i="85"/>
  <c r="I25" i="85"/>
  <c r="E25" i="85"/>
  <c r="BK24" i="85"/>
  <c r="BG24" i="85"/>
  <c r="Z24" i="85"/>
  <c r="H24" i="85"/>
  <c r="D24" i="85"/>
  <c r="BJ23" i="85"/>
  <c r="BF23" i="85"/>
  <c r="G23" i="85"/>
  <c r="C23" i="85"/>
  <c r="BI21" i="85"/>
  <c r="AB21" i="85"/>
  <c r="F21" i="85"/>
  <c r="BL20" i="85"/>
  <c r="BH20" i="85"/>
  <c r="AA20" i="85"/>
  <c r="W20" i="85"/>
  <c r="I20" i="85"/>
  <c r="E20" i="85"/>
  <c r="BK19" i="85"/>
  <c r="BG19" i="85"/>
  <c r="Z19" i="85"/>
  <c r="H19" i="85"/>
  <c r="D19" i="85"/>
  <c r="BJ18" i="85"/>
  <c r="BF18" i="85"/>
  <c r="G18" i="85"/>
  <c r="C18" i="85"/>
  <c r="BI16" i="85"/>
  <c r="AB16" i="85"/>
  <c r="F16" i="85"/>
  <c r="BL15" i="85"/>
  <c r="BH15" i="85"/>
  <c r="D35" i="85"/>
  <c r="L32" i="85"/>
  <c r="BL31" i="85"/>
  <c r="AB31" i="85"/>
  <c r="W31" i="85"/>
  <c r="H31" i="85"/>
  <c r="BL30" i="85"/>
  <c r="BG30" i="85"/>
  <c r="Z30" i="85"/>
  <c r="H30" i="85"/>
  <c r="D30" i="85"/>
  <c r="BJ29" i="85"/>
  <c r="BF29" i="85"/>
  <c r="AC29" i="85"/>
  <c r="Y29" i="85"/>
  <c r="G29" i="85"/>
  <c r="C29" i="85"/>
  <c r="BI28" i="85"/>
  <c r="F28" i="85"/>
  <c r="BL26" i="85"/>
  <c r="BH26" i="85"/>
  <c r="AA26" i="85"/>
  <c r="W26" i="85"/>
  <c r="I26" i="85"/>
  <c r="E26" i="85"/>
  <c r="BK25" i="85"/>
  <c r="BG25" i="85"/>
  <c r="Z25" i="85"/>
  <c r="H25" i="85"/>
  <c r="D25" i="85"/>
  <c r="BJ24" i="85"/>
  <c r="BF24" i="85"/>
  <c r="AC24" i="85"/>
  <c r="Y24" i="85"/>
  <c r="G24" i="85"/>
  <c r="C24" i="85"/>
  <c r="BI23" i="85"/>
  <c r="F23" i="85"/>
  <c r="BL21" i="85"/>
  <c r="BH21" i="85"/>
  <c r="AA21" i="85"/>
  <c r="W21" i="85"/>
  <c r="I21" i="85"/>
  <c r="E21" i="85"/>
  <c r="BK20" i="85"/>
  <c r="BG20" i="85"/>
  <c r="Z20" i="85"/>
  <c r="H20" i="85"/>
  <c r="D20" i="85"/>
  <c r="BJ19" i="85"/>
  <c r="BF19" i="85"/>
  <c r="AC19" i="85"/>
  <c r="Y19" i="85"/>
  <c r="G19" i="85"/>
  <c r="C19" i="85"/>
  <c r="BI18" i="85"/>
  <c r="AA21" i="69"/>
  <c r="W21" i="69"/>
  <c r="Z20" i="69"/>
  <c r="AC19" i="69"/>
  <c r="Y19" i="69"/>
  <c r="AB18" i="69"/>
  <c r="AA17" i="69"/>
  <c r="W17" i="69"/>
  <c r="Z16" i="69"/>
  <c r="AC15" i="69"/>
  <c r="Y15" i="69"/>
  <c r="AB14" i="69"/>
  <c r="AA13" i="69"/>
  <c r="W13" i="69"/>
  <c r="Z12" i="69"/>
  <c r="AC21" i="69"/>
  <c r="Y21" i="69"/>
  <c r="AB20" i="69"/>
  <c r="AA19" i="69"/>
  <c r="W19" i="69"/>
  <c r="Z18" i="69"/>
  <c r="AC17" i="69"/>
  <c r="Y17" i="69"/>
  <c r="AB16" i="69"/>
  <c r="AA15" i="69"/>
  <c r="W15" i="69"/>
  <c r="Z14" i="69"/>
  <c r="AC20" i="69"/>
  <c r="AB19" i="69"/>
  <c r="AA18" i="69"/>
  <c r="Z17" i="69"/>
  <c r="Y16" i="69"/>
  <c r="W14" i="69"/>
  <c r="Y13" i="69"/>
  <c r="AA12" i="69"/>
  <c r="AC11" i="69"/>
  <c r="Y11" i="69"/>
  <c r="AB10" i="69"/>
  <c r="AA9" i="69"/>
  <c r="W9" i="69"/>
  <c r="Z8" i="69"/>
  <c r="Y7" i="69"/>
  <c r="AB21" i="69"/>
  <c r="AA20" i="69"/>
  <c r="Z19" i="69"/>
  <c r="Y18" i="69"/>
  <c r="W16" i="69"/>
  <c r="AC14" i="69"/>
  <c r="AC13" i="69"/>
  <c r="Y12" i="69"/>
  <c r="AB11" i="69"/>
  <c r="AA10" i="69"/>
  <c r="W10" i="69"/>
  <c r="Z9" i="69"/>
  <c r="AC8" i="69"/>
  <c r="Y8" i="69"/>
  <c r="AB7" i="69"/>
  <c r="Z21" i="69"/>
  <c r="Y20" i="69"/>
  <c r="W18" i="69"/>
  <c r="AC16" i="69"/>
  <c r="AB15" i="69"/>
  <c r="AA14" i="69"/>
  <c r="AB13" i="69"/>
  <c r="AC12" i="69"/>
  <c r="AA11" i="69"/>
  <c r="W11" i="69"/>
  <c r="Z10" i="69"/>
  <c r="AC9" i="69"/>
  <c r="Y9" i="69"/>
  <c r="AA7" i="69"/>
  <c r="W7" i="69"/>
  <c r="W20" i="69"/>
  <c r="AC18" i="69"/>
  <c r="AB17" i="69"/>
  <c r="AA16" i="69"/>
  <c r="Z15" i="69"/>
  <c r="Y14" i="69"/>
  <c r="Z13" i="69"/>
  <c r="AB12" i="69"/>
  <c r="W12" i="69"/>
  <c r="Z11" i="69"/>
  <c r="AC10" i="69"/>
  <c r="Y10" i="69"/>
  <c r="AB9" i="69"/>
  <c r="AA8" i="69"/>
  <c r="W8" i="69"/>
  <c r="Z7" i="69"/>
  <c r="Z25" i="69"/>
  <c r="AC24" i="69"/>
  <c r="Y24" i="69"/>
  <c r="AB25" i="69"/>
  <c r="AA24" i="69"/>
  <c r="W24" i="69"/>
  <c r="Z23" i="69"/>
  <c r="Y25" i="69"/>
  <c r="W23" i="69"/>
  <c r="W25" i="69"/>
  <c r="AC25" i="69"/>
  <c r="AB24" i="69"/>
  <c r="AA23" i="69"/>
  <c r="AA25" i="69"/>
  <c r="Z24" i="69"/>
  <c r="Y23" i="69"/>
  <c r="A7" i="58"/>
  <c r="BF7" i="85" l="1"/>
  <c r="N7" i="85"/>
  <c r="BI32" i="85"/>
  <c r="I57" i="85"/>
  <c r="BI27" i="85"/>
  <c r="E32" i="85"/>
  <c r="BG47" i="85"/>
  <c r="P52" i="85"/>
  <c r="F52" i="85"/>
  <c r="BC52" i="85"/>
  <c r="BL62" i="85"/>
  <c r="BB42" i="85"/>
  <c r="S62" i="85"/>
  <c r="P32" i="85"/>
  <c r="O32" i="85"/>
  <c r="BL52" i="85"/>
  <c r="R47" i="85"/>
  <c r="V62" i="85"/>
  <c r="AR62" i="85"/>
  <c r="AZ27" i="85"/>
  <c r="AV32" i="85"/>
  <c r="BC37" i="85"/>
  <c r="AR37" i="85"/>
  <c r="BL32" i="85"/>
  <c r="AZ62" i="85"/>
  <c r="AY32" i="85"/>
  <c r="BH32" i="85"/>
  <c r="BH62" i="85"/>
  <c r="P27" i="85"/>
  <c r="AV27" i="85"/>
  <c r="Q26" i="69"/>
  <c r="P26" i="69"/>
  <c r="O37" i="85"/>
  <c r="AX42" i="85"/>
  <c r="AU57" i="85"/>
  <c r="D7" i="85"/>
  <c r="H67" i="85"/>
  <c r="S57" i="85"/>
  <c r="AV72" i="85"/>
  <c r="AZ77" i="85"/>
  <c r="BI77" i="85"/>
  <c r="AZ32" i="85"/>
  <c r="T26" i="69"/>
  <c r="BI22" i="85"/>
  <c r="N62" i="85"/>
  <c r="BD27" i="85"/>
  <c r="T32" i="85"/>
  <c r="BK42" i="85"/>
  <c r="AX47" i="85"/>
  <c r="AR52" i="85"/>
  <c r="AU52" i="85"/>
  <c r="N52" i="85"/>
  <c r="AY57" i="85"/>
  <c r="R62" i="85"/>
  <c r="E57" i="85"/>
  <c r="AV62" i="85"/>
  <c r="S32" i="85"/>
  <c r="E37" i="85"/>
  <c r="N42" i="85"/>
  <c r="N47" i="85"/>
  <c r="BG37" i="85"/>
  <c r="AZ52" i="85"/>
  <c r="H52" i="85"/>
  <c r="O52" i="85"/>
  <c r="V47" i="85"/>
  <c r="AT47" i="85"/>
  <c r="D47" i="85"/>
  <c r="AU62" i="85"/>
  <c r="R26" i="69"/>
  <c r="Q6" i="69"/>
  <c r="P6" i="69"/>
  <c r="AS7" i="85"/>
  <c r="BH7" i="85"/>
  <c r="S26" i="69"/>
  <c r="S6" i="69"/>
  <c r="V6" i="69"/>
  <c r="U26" i="69"/>
  <c r="V26" i="69"/>
  <c r="R6" i="69"/>
  <c r="U6" i="69"/>
  <c r="T6" i="69"/>
  <c r="Z6" i="69"/>
  <c r="W6" i="69"/>
  <c r="Y26" i="69"/>
  <c r="W26" i="69"/>
  <c r="Z26" i="69"/>
  <c r="AA26" i="69"/>
  <c r="AA6" i="69"/>
  <c r="Y6" i="69"/>
  <c r="H47" i="85"/>
  <c r="I62" i="85"/>
  <c r="R67" i="85"/>
  <c r="BD17" i="85"/>
  <c r="F22" i="85"/>
  <c r="T22" i="85"/>
  <c r="AR27" i="85"/>
  <c r="BJ62" i="85"/>
  <c r="BC32" i="85"/>
  <c r="AV37" i="85"/>
  <c r="AV52" i="85"/>
  <c r="AR57" i="85"/>
  <c r="M7" i="85"/>
  <c r="F27" i="85"/>
  <c r="T27" i="85"/>
  <c r="R7" i="85"/>
  <c r="BK67" i="85"/>
  <c r="E7" i="85"/>
  <c r="BG7" i="85"/>
  <c r="BL37" i="85"/>
  <c r="H42" i="85"/>
  <c r="AR72" i="85"/>
  <c r="M77" i="85"/>
  <c r="AR17" i="85"/>
  <c r="AZ22" i="85"/>
  <c r="BE37" i="85"/>
  <c r="BE57" i="85"/>
  <c r="AV17" i="85"/>
  <c r="L22" i="85"/>
  <c r="BD22" i="85"/>
  <c r="BD32" i="85"/>
  <c r="BG42" i="85"/>
  <c r="AZ37" i="85"/>
  <c r="BI37" i="85"/>
  <c r="G37" i="85"/>
  <c r="Q37" i="85"/>
  <c r="BB47" i="85"/>
  <c r="AT42" i="85"/>
  <c r="S42" i="85"/>
  <c r="BI47" i="85"/>
  <c r="AV57" i="85"/>
  <c r="D62" i="85"/>
  <c r="BB67" i="85"/>
  <c r="AZ72" i="85"/>
  <c r="T72" i="85"/>
  <c r="O72" i="85"/>
  <c r="AT77" i="85"/>
  <c r="BB77" i="85"/>
  <c r="I77" i="85"/>
  <c r="O77" i="85"/>
  <c r="L77" i="85"/>
  <c r="AR77" i="85"/>
  <c r="S12" i="85"/>
  <c r="AZ17" i="85"/>
  <c r="BI17" i="85"/>
  <c r="P22" i="85"/>
  <c r="AR22" i="85"/>
  <c r="BA32" i="85"/>
  <c r="I42" i="85"/>
  <c r="S72" i="85"/>
  <c r="S67" i="85"/>
  <c r="C77" i="85"/>
  <c r="BH72" i="85"/>
  <c r="AW77" i="85"/>
  <c r="U77" i="85"/>
  <c r="BK77" i="85"/>
  <c r="V77" i="85"/>
  <c r="V7" i="85"/>
  <c r="Q7" i="85"/>
  <c r="C7" i="85"/>
  <c r="BE7" i="85"/>
  <c r="O7" i="85"/>
  <c r="AT7" i="85"/>
  <c r="AR7" i="85"/>
  <c r="I12" i="85"/>
  <c r="AV22" i="85"/>
  <c r="I32" i="85"/>
  <c r="AU37" i="85"/>
  <c r="D42" i="85"/>
  <c r="BL47" i="85"/>
  <c r="R52" i="85"/>
  <c r="BH57" i="85"/>
  <c r="E52" i="85"/>
  <c r="AY52" i="85"/>
  <c r="O57" i="85"/>
  <c r="BD62" i="85"/>
  <c r="P62" i="85"/>
  <c r="AX67" i="85"/>
  <c r="BC67" i="85"/>
  <c r="AU72" i="85"/>
  <c r="R77" i="85"/>
  <c r="E72" i="85"/>
  <c r="BA67" i="85"/>
  <c r="BJ67" i="85"/>
  <c r="BE77" i="85"/>
  <c r="AY7" i="85"/>
  <c r="AV7" i="85"/>
  <c r="C17" i="85"/>
  <c r="M17" i="85"/>
  <c r="AJ17" i="85"/>
  <c r="AC18" i="85"/>
  <c r="AC17" i="85" s="1"/>
  <c r="BE17" i="85"/>
  <c r="G22" i="85"/>
  <c r="Q22" i="85"/>
  <c r="AS22" i="85"/>
  <c r="U27" i="85"/>
  <c r="AW27" i="85"/>
  <c r="BF27" i="85"/>
  <c r="N22" i="85"/>
  <c r="AT22" i="85"/>
  <c r="D27" i="85"/>
  <c r="R27" i="85"/>
  <c r="AX27" i="85"/>
  <c r="BG27" i="85"/>
  <c r="BC12" i="85"/>
  <c r="BL12" i="85"/>
  <c r="AH17" i="85"/>
  <c r="AA18" i="85"/>
  <c r="AA17" i="85" s="1"/>
  <c r="E22" i="85"/>
  <c r="O22" i="85"/>
  <c r="AU22" i="85"/>
  <c r="I27" i="85"/>
  <c r="S27" i="85"/>
  <c r="AY27" i="85"/>
  <c r="BH27" i="85"/>
  <c r="AH32" i="85"/>
  <c r="AA33" i="85"/>
  <c r="AA32" i="85" s="1"/>
  <c r="C32" i="85"/>
  <c r="M32" i="85"/>
  <c r="AJ32" i="85"/>
  <c r="AC33" i="85"/>
  <c r="AC32" i="85" s="1"/>
  <c r="BE32" i="85"/>
  <c r="AS37" i="85"/>
  <c r="N32" i="85"/>
  <c r="AT32" i="85"/>
  <c r="D37" i="85"/>
  <c r="R37" i="85"/>
  <c r="AX37" i="85"/>
  <c r="AH52" i="85"/>
  <c r="AA53" i="85"/>
  <c r="AA52" i="85" s="1"/>
  <c r="AD42" i="85"/>
  <c r="W43" i="85"/>
  <c r="W42" i="85" s="1"/>
  <c r="BC42" i="85"/>
  <c r="BL42" i="85"/>
  <c r="AH47" i="85"/>
  <c r="AA48" i="85"/>
  <c r="AA47" i="85" s="1"/>
  <c r="AZ42" i="85"/>
  <c r="BI42" i="85"/>
  <c r="L47" i="85"/>
  <c r="AI47" i="85"/>
  <c r="AB48" i="85"/>
  <c r="AB47" i="85" s="1"/>
  <c r="BD47" i="85"/>
  <c r="BD52" i="85"/>
  <c r="AF42" i="85"/>
  <c r="Y43" i="85"/>
  <c r="Y42" i="85" s="1"/>
  <c r="BA42" i="85"/>
  <c r="BJ42" i="85"/>
  <c r="C47" i="85"/>
  <c r="M47" i="85"/>
  <c r="AJ47" i="85"/>
  <c r="AC48" i="85"/>
  <c r="AC47" i="85" s="1"/>
  <c r="BE47" i="85"/>
  <c r="F57" i="85"/>
  <c r="T57" i="85"/>
  <c r="C52" i="85"/>
  <c r="M52" i="85"/>
  <c r="AJ52" i="85"/>
  <c r="AC53" i="85"/>
  <c r="AC52" i="85" s="1"/>
  <c r="BE52" i="85"/>
  <c r="G57" i="85"/>
  <c r="Q57" i="85"/>
  <c r="AS57" i="85"/>
  <c r="AG62" i="85"/>
  <c r="Z63" i="85"/>
  <c r="Z62" i="85" s="1"/>
  <c r="AX52" i="85"/>
  <c r="BG52" i="85"/>
  <c r="H57" i="85"/>
  <c r="V57" i="85"/>
  <c r="BB57" i="85"/>
  <c r="BK57" i="85"/>
  <c r="C62" i="85"/>
  <c r="M62" i="85"/>
  <c r="AC63" i="85"/>
  <c r="AC62" i="85" s="1"/>
  <c r="AJ62" i="85"/>
  <c r="BE62" i="85"/>
  <c r="BB62" i="85"/>
  <c r="BK62" i="85"/>
  <c r="AG67" i="85"/>
  <c r="Z68" i="85"/>
  <c r="Z67" i="85" s="1"/>
  <c r="AH72" i="85"/>
  <c r="AA73" i="85"/>
  <c r="AA72" i="85" s="1"/>
  <c r="AD67" i="85"/>
  <c r="W68" i="85"/>
  <c r="W67" i="85" s="1"/>
  <c r="BL67" i="85"/>
  <c r="AI72" i="85"/>
  <c r="AB73" i="85"/>
  <c r="AB72" i="85" s="1"/>
  <c r="P67" i="85"/>
  <c r="AR67" i="85"/>
  <c r="BD72" i="85"/>
  <c r="AD77" i="85"/>
  <c r="W78" i="85"/>
  <c r="W77" i="85" s="1"/>
  <c r="C67" i="85"/>
  <c r="M67" i="85"/>
  <c r="AJ67" i="85"/>
  <c r="AC68" i="85"/>
  <c r="AC67" i="85" s="1"/>
  <c r="BE67" i="85"/>
  <c r="D67" i="85"/>
  <c r="P72" i="85"/>
  <c r="C72" i="85"/>
  <c r="M72" i="85"/>
  <c r="AJ72" i="85"/>
  <c r="AC73" i="85"/>
  <c r="AC72" i="85" s="1"/>
  <c r="BE72" i="85"/>
  <c r="H72" i="85"/>
  <c r="V72" i="85"/>
  <c r="BB72" i="85"/>
  <c r="BK72" i="85"/>
  <c r="Q77" i="85"/>
  <c r="BA77" i="85"/>
  <c r="AB78" i="85"/>
  <c r="AB77" i="85" s="1"/>
  <c r="AI77" i="85"/>
  <c r="BD77" i="85"/>
  <c r="Z8" i="85"/>
  <c r="Z7" i="85" s="1"/>
  <c r="AG7" i="85"/>
  <c r="C12" i="85"/>
  <c r="Z18" i="85"/>
  <c r="Z17" i="85" s="1"/>
  <c r="AG17" i="85"/>
  <c r="AR12" i="85"/>
  <c r="AX17" i="85"/>
  <c r="AS12" i="85"/>
  <c r="G12" i="85"/>
  <c r="BG17" i="85"/>
  <c r="N12" i="85"/>
  <c r="AT12" i="85"/>
  <c r="BI12" i="85"/>
  <c r="N17" i="85"/>
  <c r="AD12" i="85"/>
  <c r="W13" i="85"/>
  <c r="W12" i="85" s="1"/>
  <c r="P17" i="85"/>
  <c r="L27" i="85"/>
  <c r="AI27" i="85"/>
  <c r="AB28" i="85"/>
  <c r="AB27" i="85" s="1"/>
  <c r="G17" i="85"/>
  <c r="Q17" i="85"/>
  <c r="AS17" i="85"/>
  <c r="U22" i="85"/>
  <c r="AW22" i="85"/>
  <c r="BF22" i="85"/>
  <c r="AF27" i="85"/>
  <c r="Y28" i="85"/>
  <c r="Y27" i="85" s="1"/>
  <c r="BA27" i="85"/>
  <c r="BJ27" i="85"/>
  <c r="AD32" i="85"/>
  <c r="W33" i="85"/>
  <c r="W32" i="85" s="1"/>
  <c r="D22" i="85"/>
  <c r="R22" i="85"/>
  <c r="AX22" i="85"/>
  <c r="BG22" i="85"/>
  <c r="H27" i="85"/>
  <c r="V27" i="85"/>
  <c r="BB27" i="85"/>
  <c r="BK27" i="85"/>
  <c r="F32" i="85"/>
  <c r="E17" i="85"/>
  <c r="O17" i="85"/>
  <c r="AU17" i="85"/>
  <c r="I22" i="85"/>
  <c r="S22" i="85"/>
  <c r="AY22" i="85"/>
  <c r="BH22" i="85"/>
  <c r="AD27" i="85"/>
  <c r="W28" i="85"/>
  <c r="W27" i="85" s="1"/>
  <c r="BC27" i="85"/>
  <c r="BL27" i="85"/>
  <c r="AR32" i="85"/>
  <c r="AU32" i="85"/>
  <c r="I37" i="85"/>
  <c r="S37" i="85"/>
  <c r="AY37" i="85"/>
  <c r="BH37" i="85"/>
  <c r="L37" i="85"/>
  <c r="AB38" i="85"/>
  <c r="AB37" i="85" s="1"/>
  <c r="AI37" i="85"/>
  <c r="BD37" i="85"/>
  <c r="G32" i="85"/>
  <c r="Q32" i="85"/>
  <c r="AS32" i="85"/>
  <c r="U37" i="85"/>
  <c r="AW37" i="85"/>
  <c r="BF37" i="85"/>
  <c r="D32" i="85"/>
  <c r="R32" i="85"/>
  <c r="AX32" i="85"/>
  <c r="BG32" i="85"/>
  <c r="H37" i="85"/>
  <c r="V37" i="85"/>
  <c r="BB37" i="85"/>
  <c r="BK37" i="85"/>
  <c r="V42" i="85"/>
  <c r="AA43" i="85"/>
  <c r="AA42" i="85" s="1"/>
  <c r="AH42" i="85"/>
  <c r="E47" i="85"/>
  <c r="O47" i="85"/>
  <c r="AU47" i="85"/>
  <c r="W58" i="85"/>
  <c r="W57" i="85" s="1"/>
  <c r="AD57" i="85"/>
  <c r="L42" i="85"/>
  <c r="AI42" i="85"/>
  <c r="AB43" i="85"/>
  <c r="AB42" i="85" s="1"/>
  <c r="BD42" i="85"/>
  <c r="P47" i="85"/>
  <c r="AR47" i="85"/>
  <c r="D52" i="85"/>
  <c r="S52" i="85"/>
  <c r="AH57" i="85"/>
  <c r="AA58" i="85"/>
  <c r="AA57" i="85" s="1"/>
  <c r="C42" i="85"/>
  <c r="M42" i="85"/>
  <c r="AJ42" i="85"/>
  <c r="AC43" i="85"/>
  <c r="AC42" i="85" s="1"/>
  <c r="BE42" i="85"/>
  <c r="G47" i="85"/>
  <c r="Q47" i="85"/>
  <c r="AS47" i="85"/>
  <c r="T52" i="85"/>
  <c r="BH52" i="85"/>
  <c r="BC57" i="85"/>
  <c r="H62" i="85"/>
  <c r="AZ57" i="85"/>
  <c r="BI57" i="85"/>
  <c r="G52" i="85"/>
  <c r="Q52" i="85"/>
  <c r="AS52" i="85"/>
  <c r="U57" i="85"/>
  <c r="AW57" i="85"/>
  <c r="BF57" i="85"/>
  <c r="E62" i="85"/>
  <c r="AY62" i="85"/>
  <c r="BB52" i="85"/>
  <c r="BK52" i="85"/>
  <c r="AG57" i="85"/>
  <c r="Z58" i="85"/>
  <c r="Z57" i="85" s="1"/>
  <c r="F62" i="85"/>
  <c r="G62" i="85"/>
  <c r="Q62" i="85"/>
  <c r="AS62" i="85"/>
  <c r="AH67" i="85"/>
  <c r="AA68" i="85"/>
  <c r="AA67" i="85" s="1"/>
  <c r="F67" i="85"/>
  <c r="T67" i="85"/>
  <c r="AV67" i="85"/>
  <c r="G67" i="85"/>
  <c r="Q67" i="85"/>
  <c r="AS67" i="85"/>
  <c r="AF77" i="85"/>
  <c r="Y78" i="85"/>
  <c r="Y77" i="85" s="1"/>
  <c r="G72" i="85"/>
  <c r="Q72" i="85"/>
  <c r="AS72" i="85"/>
  <c r="AG72" i="85"/>
  <c r="Z73" i="85"/>
  <c r="Z72" i="85" s="1"/>
  <c r="P77" i="85"/>
  <c r="AU77" i="85"/>
  <c r="AF7" i="85"/>
  <c r="Y8" i="85"/>
  <c r="Y7" i="85" s="1"/>
  <c r="I7" i="85"/>
  <c r="S7" i="85"/>
  <c r="AX7" i="85"/>
  <c r="AF12" i="85"/>
  <c r="Y13" i="85"/>
  <c r="Y12" i="85" s="1"/>
  <c r="AT17" i="85"/>
  <c r="BB12" i="85"/>
  <c r="P12" i="85"/>
  <c r="BD12" i="85"/>
  <c r="H17" i="85"/>
  <c r="AW12" i="85"/>
  <c r="D12" i="85"/>
  <c r="R12" i="85"/>
  <c r="AZ12" i="85"/>
  <c r="V17" i="85"/>
  <c r="AA13" i="85"/>
  <c r="AA12" i="85" s="1"/>
  <c r="AH12" i="85"/>
  <c r="X18" i="85"/>
  <c r="AB23" i="85"/>
  <c r="AB22" i="85" s="1"/>
  <c r="AI22" i="85"/>
  <c r="AB33" i="85"/>
  <c r="AB32" i="85" s="1"/>
  <c r="AI32" i="85"/>
  <c r="U17" i="85"/>
  <c r="AW17" i="85"/>
  <c r="BF17" i="85"/>
  <c r="AF22" i="85"/>
  <c r="Y23" i="85"/>
  <c r="Y22" i="85" s="1"/>
  <c r="BA22" i="85"/>
  <c r="BJ22" i="85"/>
  <c r="C27" i="85"/>
  <c r="M27" i="85"/>
  <c r="AJ27" i="85"/>
  <c r="AC28" i="85"/>
  <c r="AC27" i="85" s="1"/>
  <c r="BE27" i="85"/>
  <c r="H22" i="85"/>
  <c r="V22" i="85"/>
  <c r="BB22" i="85"/>
  <c r="BK22" i="85"/>
  <c r="Z28" i="85"/>
  <c r="Z27" i="85" s="1"/>
  <c r="AG27" i="85"/>
  <c r="AU12" i="85"/>
  <c r="I17" i="85"/>
  <c r="S17" i="85"/>
  <c r="AY17" i="85"/>
  <c r="BH17" i="85"/>
  <c r="AD22" i="85"/>
  <c r="W23" i="85"/>
  <c r="W22" i="85" s="1"/>
  <c r="BC22" i="85"/>
  <c r="BL22" i="85"/>
  <c r="AA28" i="85"/>
  <c r="AA27" i="85" s="1"/>
  <c r="AH27" i="85"/>
  <c r="AD37" i="85"/>
  <c r="W38" i="85"/>
  <c r="W37" i="85" s="1"/>
  <c r="P37" i="85"/>
  <c r="AG47" i="85"/>
  <c r="Z48" i="85"/>
  <c r="Z47" i="85" s="1"/>
  <c r="U32" i="85"/>
  <c r="AW32" i="85"/>
  <c r="BF32" i="85"/>
  <c r="AF37" i="85"/>
  <c r="Y38" i="85"/>
  <c r="Y37" i="85" s="1"/>
  <c r="BA37" i="85"/>
  <c r="BJ37" i="85"/>
  <c r="R42" i="85"/>
  <c r="BK47" i="85"/>
  <c r="H32" i="85"/>
  <c r="V32" i="85"/>
  <c r="BB32" i="85"/>
  <c r="BK32" i="85"/>
  <c r="Z38" i="85"/>
  <c r="Z37" i="85" s="1"/>
  <c r="AG37" i="85"/>
  <c r="E42" i="85"/>
  <c r="O42" i="85"/>
  <c r="AU42" i="85"/>
  <c r="I47" i="85"/>
  <c r="S47" i="85"/>
  <c r="AY47" i="85"/>
  <c r="BH47" i="85"/>
  <c r="W53" i="85"/>
  <c r="W52" i="85" s="1"/>
  <c r="AD52" i="85"/>
  <c r="P42" i="85"/>
  <c r="AR42" i="85"/>
  <c r="F47" i="85"/>
  <c r="T47" i="85"/>
  <c r="AV47" i="85"/>
  <c r="I52" i="85"/>
  <c r="G42" i="85"/>
  <c r="Q42" i="85"/>
  <c r="AS42" i="85"/>
  <c r="U47" i="85"/>
  <c r="AW47" i="85"/>
  <c r="BF47" i="85"/>
  <c r="AG52" i="85"/>
  <c r="Z53" i="85"/>
  <c r="Z52" i="85" s="1"/>
  <c r="BL57" i="85"/>
  <c r="AD62" i="85"/>
  <c r="W63" i="85"/>
  <c r="W62" i="85" s="1"/>
  <c r="L57" i="85"/>
  <c r="AB58" i="85"/>
  <c r="AB57" i="85" s="1"/>
  <c r="AI57" i="85"/>
  <c r="BD57" i="85"/>
  <c r="U52" i="85"/>
  <c r="AW52" i="85"/>
  <c r="BF52" i="85"/>
  <c r="Y58" i="85"/>
  <c r="Y57" i="85" s="1"/>
  <c r="AF57" i="85"/>
  <c r="BA57" i="85"/>
  <c r="BJ57" i="85"/>
  <c r="O62" i="85"/>
  <c r="N57" i="85"/>
  <c r="AT57" i="85"/>
  <c r="AH62" i="85"/>
  <c r="AA63" i="85"/>
  <c r="AA62" i="85" s="1"/>
  <c r="BI62" i="85"/>
  <c r="U62" i="85"/>
  <c r="AW62" i="85"/>
  <c r="BF62" i="85"/>
  <c r="V67" i="85"/>
  <c r="AT62" i="85"/>
  <c r="BG67" i="85"/>
  <c r="N67" i="85"/>
  <c r="E67" i="85"/>
  <c r="O67" i="85"/>
  <c r="AU67" i="85"/>
  <c r="L72" i="85"/>
  <c r="AZ67" i="85"/>
  <c r="BI67" i="85"/>
  <c r="AD72" i="85"/>
  <c r="W73" i="85"/>
  <c r="W72" i="85" s="1"/>
  <c r="U67" i="85"/>
  <c r="AW67" i="85"/>
  <c r="BF67" i="85"/>
  <c r="F72" i="85"/>
  <c r="AY72" i="85"/>
  <c r="U72" i="85"/>
  <c r="AW72" i="85"/>
  <c r="BF72" i="85"/>
  <c r="E77" i="85"/>
  <c r="AG77" i="85"/>
  <c r="Z78" i="85"/>
  <c r="Z77" i="85" s="1"/>
  <c r="N72" i="85"/>
  <c r="AT72" i="85"/>
  <c r="AH77" i="85"/>
  <c r="AA78" i="85"/>
  <c r="AA77" i="85" s="1"/>
  <c r="F77" i="85"/>
  <c r="T77" i="85"/>
  <c r="AV77" i="85"/>
  <c r="BJ77" i="85"/>
  <c r="AY77" i="85"/>
  <c r="BH77" i="85"/>
  <c r="G7" i="85"/>
  <c r="H7" i="85"/>
  <c r="U7" i="85"/>
  <c r="BA7" i="85"/>
  <c r="BJ7" i="85"/>
  <c r="AD7" i="85"/>
  <c r="W8" i="85"/>
  <c r="W7" i="85" s="1"/>
  <c r="BB7" i="85"/>
  <c r="BK7" i="85"/>
  <c r="L7" i="85"/>
  <c r="AI7" i="85"/>
  <c r="AB8" i="85"/>
  <c r="AB7" i="85" s="1"/>
  <c r="AZ7" i="85"/>
  <c r="BI7" i="85"/>
  <c r="AX12" i="85"/>
  <c r="T12" i="85"/>
  <c r="BF12" i="85"/>
  <c r="L17" i="85"/>
  <c r="F12" i="85"/>
  <c r="U12" i="85"/>
  <c r="BG12" i="85"/>
  <c r="R17" i="85"/>
  <c r="L12" i="85"/>
  <c r="H12" i="85"/>
  <c r="V12" i="85"/>
  <c r="BE12" i="85"/>
  <c r="D17" i="85"/>
  <c r="BB17" i="85"/>
  <c r="AV12" i="85"/>
  <c r="BJ12" i="85"/>
  <c r="F17" i="85"/>
  <c r="AF17" i="85"/>
  <c r="Y18" i="85"/>
  <c r="Y17" i="85" s="1"/>
  <c r="BA17" i="85"/>
  <c r="BJ17" i="85"/>
  <c r="C22" i="85"/>
  <c r="M22" i="85"/>
  <c r="AJ22" i="85"/>
  <c r="AC23" i="85"/>
  <c r="AC22" i="85" s="1"/>
  <c r="BE22" i="85"/>
  <c r="G27" i="85"/>
  <c r="Q27" i="85"/>
  <c r="AS27" i="85"/>
  <c r="AG22" i="85"/>
  <c r="Z23" i="85"/>
  <c r="Z22" i="85" s="1"/>
  <c r="N27" i="85"/>
  <c r="AT27" i="85"/>
  <c r="AY12" i="85"/>
  <c r="BH12" i="85"/>
  <c r="AD17" i="85"/>
  <c r="W18" i="85"/>
  <c r="W17" i="85" s="1"/>
  <c r="BC17" i="85"/>
  <c r="BL17" i="85"/>
  <c r="AH22" i="85"/>
  <c r="AA23" i="85"/>
  <c r="AA22" i="85" s="1"/>
  <c r="E27" i="85"/>
  <c r="O27" i="85"/>
  <c r="AU27" i="85"/>
  <c r="AH37" i="85"/>
  <c r="AA38" i="85"/>
  <c r="AA37" i="85" s="1"/>
  <c r="AG42" i="85"/>
  <c r="Z43" i="85"/>
  <c r="Z42" i="85" s="1"/>
  <c r="F37" i="85"/>
  <c r="T37" i="85"/>
  <c r="AI62" i="85"/>
  <c r="AB63" i="85"/>
  <c r="AB62" i="85" s="1"/>
  <c r="Y33" i="85"/>
  <c r="Y32" i="85" s="1"/>
  <c r="AF32" i="85"/>
  <c r="BJ32" i="85"/>
  <c r="C37" i="85"/>
  <c r="M37" i="85"/>
  <c r="AJ37" i="85"/>
  <c r="AC38" i="85"/>
  <c r="AC37" i="85" s="1"/>
  <c r="V52" i="85"/>
  <c r="AG32" i="85"/>
  <c r="Z33" i="85"/>
  <c r="Z32" i="85" s="1"/>
  <c r="N37" i="85"/>
  <c r="AT37" i="85"/>
  <c r="AY42" i="85"/>
  <c r="BH42" i="85"/>
  <c r="AD47" i="85"/>
  <c r="W48" i="85"/>
  <c r="W47" i="85" s="1"/>
  <c r="BC47" i="85"/>
  <c r="AB53" i="85"/>
  <c r="AB52" i="85" s="1"/>
  <c r="AI52" i="85"/>
  <c r="L62" i="85"/>
  <c r="F42" i="85"/>
  <c r="T42" i="85"/>
  <c r="AV42" i="85"/>
  <c r="AZ47" i="85"/>
  <c r="U42" i="85"/>
  <c r="AW42" i="85"/>
  <c r="BF42" i="85"/>
  <c r="AF47" i="85"/>
  <c r="Y48" i="85"/>
  <c r="Y47" i="85" s="1"/>
  <c r="BA47" i="85"/>
  <c r="BJ47" i="85"/>
  <c r="P57" i="85"/>
  <c r="AF52" i="85"/>
  <c r="Y53" i="85"/>
  <c r="Y52" i="85" s="1"/>
  <c r="BA52" i="85"/>
  <c r="BJ52" i="85"/>
  <c r="C57" i="85"/>
  <c r="M57" i="85"/>
  <c r="AC58" i="85"/>
  <c r="AC57" i="85" s="1"/>
  <c r="AJ57" i="85"/>
  <c r="T62" i="85"/>
  <c r="AT52" i="85"/>
  <c r="D57" i="85"/>
  <c r="R57" i="85"/>
  <c r="AX57" i="85"/>
  <c r="BG57" i="85"/>
  <c r="AF62" i="85"/>
  <c r="Y63" i="85"/>
  <c r="Y62" i="85" s="1"/>
  <c r="BA62" i="85"/>
  <c r="AT67" i="85"/>
  <c r="AX62" i="85"/>
  <c r="BG62" i="85"/>
  <c r="I67" i="85"/>
  <c r="AY67" i="85"/>
  <c r="BH67" i="85"/>
  <c r="L67" i="85"/>
  <c r="AI67" i="85"/>
  <c r="AB68" i="85"/>
  <c r="AB67" i="85" s="1"/>
  <c r="BD67" i="85"/>
  <c r="AF67" i="85"/>
  <c r="Y68" i="85"/>
  <c r="Y67" i="85" s="1"/>
  <c r="AJ77" i="85"/>
  <c r="AC78" i="85"/>
  <c r="AC77" i="85" s="1"/>
  <c r="AF72" i="85"/>
  <c r="Y73" i="85"/>
  <c r="Y72" i="85" s="1"/>
  <c r="BA72" i="85"/>
  <c r="BJ72" i="85"/>
  <c r="D72" i="85"/>
  <c r="R72" i="85"/>
  <c r="AX72" i="85"/>
  <c r="BG72" i="85"/>
  <c r="AS77" i="85"/>
  <c r="BC77" i="85"/>
  <c r="BL77" i="85"/>
  <c r="AJ7" i="85"/>
  <c r="AC8" i="85"/>
  <c r="AC7" i="85" s="1"/>
  <c r="AH7" i="85"/>
  <c r="AA8" i="85"/>
  <c r="AA7" i="85" s="1"/>
  <c r="P7" i="85"/>
  <c r="AU7" i="85"/>
  <c r="BD7" i="85"/>
  <c r="M12" i="85"/>
  <c r="E12" i="85"/>
  <c r="AB13" i="85"/>
  <c r="AB12" i="85" s="1"/>
  <c r="AI12" i="85"/>
  <c r="AB18" i="85"/>
  <c r="AB17" i="85" s="1"/>
  <c r="AI17" i="85"/>
  <c r="AJ12" i="85"/>
  <c r="AC13" i="85"/>
  <c r="AC12" i="85" s="1"/>
  <c r="Q12" i="85"/>
  <c r="BK12" i="85"/>
  <c r="T17" i="85"/>
  <c r="Z13" i="85"/>
  <c r="Z12" i="85" s="1"/>
  <c r="AG12" i="85"/>
  <c r="BK17" i="85"/>
  <c r="BA12" i="85"/>
  <c r="AF26" i="69"/>
  <c r="AH26" i="69"/>
  <c r="AJ26" i="69"/>
  <c r="AC23" i="69"/>
  <c r="AC26" i="69" s="1"/>
  <c r="AD26" i="69"/>
  <c r="AG26" i="69"/>
  <c r="AI26" i="69"/>
  <c r="AB23" i="69"/>
  <c r="AB26" i="69" s="1"/>
  <c r="AG6" i="69"/>
  <c r="AD6" i="69"/>
  <c r="AH6" i="69"/>
  <c r="AI6" i="69"/>
  <c r="AB8" i="69"/>
  <c r="AB6" i="69" s="1"/>
  <c r="AF6" i="69"/>
  <c r="AJ6" i="69"/>
  <c r="AC7" i="69"/>
  <c r="AC6" i="69" s="1"/>
  <c r="Q28" i="69" l="1"/>
  <c r="U27" i="69"/>
  <c r="R28" i="69"/>
  <c r="V27" i="69"/>
  <c r="P27" i="69"/>
  <c r="T27" i="69"/>
  <c r="Q27" i="69"/>
  <c r="R27" i="69"/>
  <c r="V28" i="69"/>
  <c r="S28" i="69"/>
  <c r="P28" i="69"/>
  <c r="W27" i="69"/>
  <c r="T28" i="69"/>
  <c r="S27" i="69"/>
  <c r="U28" i="69"/>
  <c r="AA28" i="69"/>
  <c r="W28" i="69"/>
  <c r="Z28" i="69"/>
  <c r="Z27" i="69"/>
  <c r="AA27" i="69"/>
  <c r="Y28" i="69"/>
  <c r="Y27" i="69"/>
  <c r="P6" i="85"/>
  <c r="R6" i="85"/>
  <c r="M6" i="85"/>
  <c r="BE6" i="85"/>
  <c r="BD6" i="85"/>
  <c r="Q6" i="85"/>
  <c r="AA6" i="85"/>
  <c r="D6" i="85"/>
  <c r="V6" i="85"/>
  <c r="C6" i="85"/>
  <c r="BL6" i="85"/>
  <c r="BI6" i="85"/>
  <c r="AU6" i="85"/>
  <c r="T6" i="85"/>
  <c r="E6" i="85"/>
  <c r="AH6" i="85"/>
  <c r="BC6" i="85"/>
  <c r="BH6" i="85"/>
  <c r="F6" i="85"/>
  <c r="AT6" i="85"/>
  <c r="AS6" i="85"/>
  <c r="AY6" i="85"/>
  <c r="AV6" i="85"/>
  <c r="AW6" i="85"/>
  <c r="AR6" i="85"/>
  <c r="O6" i="85"/>
  <c r="N6" i="85"/>
  <c r="BG6" i="85"/>
  <c r="BF6" i="85"/>
  <c r="AC6" i="85"/>
  <c r="AD6" i="85"/>
  <c r="U6" i="85"/>
  <c r="G6" i="85"/>
  <c r="S6" i="85"/>
  <c r="AF6" i="85"/>
  <c r="AJ6" i="85"/>
  <c r="AB6" i="85"/>
  <c r="BK6" i="85"/>
  <c r="I6" i="85"/>
  <c r="AI6" i="85"/>
  <c r="BB6" i="85"/>
  <c r="BJ6" i="85"/>
  <c r="AG6" i="85"/>
  <c r="AZ6" i="85"/>
  <c r="L6" i="85"/>
  <c r="W6" i="85"/>
  <c r="BA6" i="85"/>
  <c r="H6" i="85"/>
  <c r="AX6" i="85"/>
  <c r="Y6" i="85"/>
  <c r="Z6" i="85"/>
  <c r="AC28" i="69"/>
  <c r="AC27" i="69"/>
  <c r="AB28" i="69"/>
  <c r="AB27" i="69"/>
  <c r="AI28" i="69"/>
  <c r="AI27" i="69"/>
  <c r="AG28" i="69"/>
  <c r="AG27" i="69"/>
  <c r="AD28" i="69"/>
  <c r="AD27" i="69"/>
  <c r="AJ28" i="69"/>
  <c r="AJ27" i="69"/>
  <c r="AH28" i="69"/>
  <c r="AH27" i="69"/>
  <c r="AF28" i="69"/>
  <c r="AF27" i="69"/>
  <c r="L974" i="58" l="1"/>
  <c r="L973" i="58"/>
  <c r="L972" i="58"/>
  <c r="L971" i="58"/>
  <c r="L970" i="58"/>
  <c r="L969" i="58"/>
  <c r="L967" i="58"/>
  <c r="L966" i="58"/>
  <c r="L965" i="58"/>
  <c r="L964" i="58"/>
  <c r="L963" i="58"/>
  <c r="L962" i="58"/>
  <c r="L961" i="58"/>
  <c r="L960" i="58"/>
  <c r="L959" i="58"/>
  <c r="L958" i="58"/>
  <c r="L957" i="58"/>
  <c r="L956" i="58"/>
  <c r="L955" i="58"/>
  <c r="L954" i="58"/>
  <c r="L953" i="58"/>
  <c r="L952" i="58"/>
  <c r="L951" i="58"/>
  <c r="L950" i="58"/>
  <c r="L949" i="58"/>
  <c r="L948" i="58"/>
  <c r="L947" i="58"/>
  <c r="L946" i="58"/>
  <c r="L945" i="58"/>
  <c r="L944" i="58"/>
  <c r="L943" i="58"/>
  <c r="L942" i="58"/>
  <c r="L941" i="58"/>
  <c r="L940" i="58"/>
  <c r="L939" i="58"/>
  <c r="L938" i="58"/>
  <c r="L937" i="58"/>
  <c r="L936" i="58"/>
  <c r="L935" i="58"/>
  <c r="L934" i="58"/>
  <c r="L933" i="58"/>
  <c r="L932" i="58"/>
  <c r="L931" i="58"/>
  <c r="L930" i="58"/>
  <c r="L929" i="58"/>
  <c r="AF20" i="88" s="1"/>
  <c r="L928" i="58"/>
  <c r="L927" i="58"/>
  <c r="L926" i="58"/>
  <c r="L925" i="58"/>
  <c r="L924" i="58"/>
  <c r="L923" i="58"/>
  <c r="L922" i="58"/>
  <c r="L921" i="58"/>
  <c r="L920" i="58"/>
  <c r="L919" i="58"/>
  <c r="L918" i="58"/>
  <c r="L917" i="58"/>
  <c r="L916" i="58"/>
  <c r="L915" i="58"/>
  <c r="L914" i="58"/>
  <c r="L913" i="58"/>
  <c r="L912" i="58"/>
  <c r="L911" i="58"/>
  <c r="L910" i="58"/>
  <c r="L909" i="58"/>
  <c r="L908" i="58"/>
  <c r="L907" i="58"/>
  <c r="L906" i="58"/>
  <c r="L905" i="58"/>
  <c r="L904" i="58"/>
  <c r="L903" i="58"/>
  <c r="L902" i="58"/>
  <c r="L901" i="58"/>
  <c r="L900" i="58"/>
  <c r="L899" i="58"/>
  <c r="L898" i="58"/>
  <c r="L897" i="58"/>
  <c r="L896" i="58"/>
  <c r="L895" i="58"/>
  <c r="L894" i="58"/>
  <c r="L893" i="58"/>
  <c r="L892" i="58"/>
  <c r="L891" i="58"/>
  <c r="L890" i="58"/>
  <c r="L889" i="58"/>
  <c r="L888" i="58"/>
  <c r="L887" i="58"/>
  <c r="AF19" i="88" s="1"/>
  <c r="L886" i="58"/>
  <c r="L885" i="58"/>
  <c r="L884" i="58"/>
  <c r="L883" i="58"/>
  <c r="L882" i="58"/>
  <c r="L881" i="58"/>
  <c r="L880" i="58"/>
  <c r="L879" i="58"/>
  <c r="L878" i="58"/>
  <c r="L877" i="58"/>
  <c r="L876" i="58"/>
  <c r="X70" i="85" s="1"/>
  <c r="L875" i="58"/>
  <c r="L874" i="58"/>
  <c r="L873" i="58"/>
  <c r="L872" i="58"/>
  <c r="L871" i="58"/>
  <c r="L870" i="58"/>
  <c r="L869" i="58"/>
  <c r="L868" i="58"/>
  <c r="L867" i="58"/>
  <c r="L866" i="58"/>
  <c r="L865" i="58"/>
  <c r="L864" i="58"/>
  <c r="L863" i="58"/>
  <c r="L862" i="58"/>
  <c r="L861" i="58"/>
  <c r="L860" i="58"/>
  <c r="L859" i="58"/>
  <c r="L858" i="58"/>
  <c r="L857" i="58"/>
  <c r="L856" i="58"/>
  <c r="L855" i="58"/>
  <c r="L854" i="58"/>
  <c r="L853" i="58"/>
  <c r="L852" i="58"/>
  <c r="L851" i="58"/>
  <c r="L850" i="58"/>
  <c r="L849" i="58"/>
  <c r="L848" i="58"/>
  <c r="L847" i="58"/>
  <c r="L846" i="58"/>
  <c r="L845" i="58"/>
  <c r="L844" i="58"/>
  <c r="L843" i="58"/>
  <c r="L842" i="58"/>
  <c r="L841" i="58"/>
  <c r="L840" i="58"/>
  <c r="L839" i="58"/>
  <c r="L838" i="58"/>
  <c r="L837" i="58"/>
  <c r="L836" i="58"/>
  <c r="L835" i="58"/>
  <c r="L834" i="58"/>
  <c r="L833" i="58"/>
  <c r="L832" i="58"/>
  <c r="L831" i="58"/>
  <c r="L830" i="58"/>
  <c r="L829" i="58"/>
  <c r="L828" i="58"/>
  <c r="L827" i="58"/>
  <c r="L826" i="58"/>
  <c r="L825" i="58"/>
  <c r="L824" i="58"/>
  <c r="L823" i="58"/>
  <c r="L822" i="58"/>
  <c r="L821" i="58"/>
  <c r="L820" i="58"/>
  <c r="L819" i="58"/>
  <c r="L818" i="58"/>
  <c r="L817" i="58"/>
  <c r="L816" i="58"/>
  <c r="L815" i="58"/>
  <c r="L814" i="58"/>
  <c r="L813" i="58"/>
  <c r="L812" i="58"/>
  <c r="L811" i="58"/>
  <c r="L810" i="58"/>
  <c r="L809" i="58"/>
  <c r="L808" i="58"/>
  <c r="L807" i="58"/>
  <c r="L806" i="58"/>
  <c r="L805" i="58"/>
  <c r="L804" i="58"/>
  <c r="L803" i="58"/>
  <c r="L802" i="58"/>
  <c r="L801" i="58"/>
  <c r="L800" i="58"/>
  <c r="L799" i="58"/>
  <c r="L798" i="58"/>
  <c r="L797" i="58"/>
  <c r="L796" i="58"/>
  <c r="L795" i="58"/>
  <c r="L794" i="58"/>
  <c r="L793" i="58"/>
  <c r="L792" i="58"/>
  <c r="L791" i="58"/>
  <c r="L790" i="58"/>
  <c r="L789" i="58"/>
  <c r="L788" i="58"/>
  <c r="L787" i="58"/>
  <c r="L786" i="58"/>
  <c r="L785" i="58"/>
  <c r="L784" i="58"/>
  <c r="L783" i="58"/>
  <c r="L782" i="58"/>
  <c r="L781" i="58"/>
  <c r="L780" i="58"/>
  <c r="L779" i="58"/>
  <c r="L778" i="58"/>
  <c r="L777" i="58"/>
  <c r="L776" i="58"/>
  <c r="L775" i="58"/>
  <c r="L774" i="58"/>
  <c r="L773" i="58"/>
  <c r="L772" i="58"/>
  <c r="L771" i="58"/>
  <c r="L770" i="58"/>
  <c r="L769" i="58"/>
  <c r="L768" i="58"/>
  <c r="L767" i="58"/>
  <c r="L766" i="58"/>
  <c r="L765" i="58"/>
  <c r="L764" i="58"/>
  <c r="L763" i="58"/>
  <c r="L762" i="58"/>
  <c r="L761" i="58"/>
  <c r="L760" i="58"/>
  <c r="L759" i="58"/>
  <c r="L758" i="58"/>
  <c r="L757" i="58"/>
  <c r="L756" i="58"/>
  <c r="L755" i="58"/>
  <c r="L754" i="58"/>
  <c r="L753" i="58"/>
  <c r="L752" i="58"/>
  <c r="L751" i="58"/>
  <c r="L750" i="58"/>
  <c r="L749" i="58"/>
  <c r="L748" i="58"/>
  <c r="L747" i="58"/>
  <c r="L745" i="58"/>
  <c r="L744" i="58"/>
  <c r="L743" i="58"/>
  <c r="L742" i="58"/>
  <c r="L741" i="58"/>
  <c r="L740" i="58"/>
  <c r="L739" i="58"/>
  <c r="L738" i="58"/>
  <c r="L737" i="58"/>
  <c r="L736" i="58"/>
  <c r="L735" i="58"/>
  <c r="L734" i="58"/>
  <c r="L732" i="58"/>
  <c r="L731" i="58"/>
  <c r="L730" i="58"/>
  <c r="L729" i="58"/>
  <c r="L728" i="58"/>
  <c r="L727" i="58"/>
  <c r="L726" i="58"/>
  <c r="L725" i="58"/>
  <c r="L724" i="58"/>
  <c r="L723" i="58"/>
  <c r="L722" i="58"/>
  <c r="L721" i="58"/>
  <c r="L720" i="58"/>
  <c r="L719" i="58"/>
  <c r="L718" i="58"/>
  <c r="L717" i="58"/>
  <c r="L716" i="58"/>
  <c r="L715" i="58"/>
  <c r="L714" i="58"/>
  <c r="L713" i="58"/>
  <c r="L712" i="58"/>
  <c r="L711" i="58"/>
  <c r="L710" i="58"/>
  <c r="L709" i="58"/>
  <c r="L708" i="58"/>
  <c r="L707" i="58"/>
  <c r="L706" i="58"/>
  <c r="L705" i="58"/>
  <c r="L704" i="58"/>
  <c r="L703" i="58"/>
  <c r="L702" i="58"/>
  <c r="L701" i="58"/>
  <c r="L700" i="58"/>
  <c r="L699" i="58"/>
  <c r="L698" i="58"/>
  <c r="L697" i="58"/>
  <c r="L696" i="58"/>
  <c r="L695" i="58"/>
  <c r="L694" i="58"/>
  <c r="L693" i="58"/>
  <c r="L692" i="58"/>
  <c r="L691" i="58"/>
  <c r="L690" i="58"/>
  <c r="L689" i="58"/>
  <c r="L688" i="58"/>
  <c r="L687" i="58"/>
  <c r="L686" i="58"/>
  <c r="L685" i="58"/>
  <c r="L684" i="58"/>
  <c r="L683" i="58"/>
  <c r="L682" i="58"/>
  <c r="L681" i="58"/>
  <c r="L680" i="58"/>
  <c r="L679" i="58"/>
  <c r="L678" i="58"/>
  <c r="L677" i="58"/>
  <c r="L676" i="58"/>
  <c r="L675" i="58"/>
  <c r="L674" i="58"/>
  <c r="L673" i="58"/>
  <c r="L672" i="58"/>
  <c r="L670" i="58"/>
  <c r="L669" i="58"/>
  <c r="L668" i="58"/>
  <c r="L667" i="58"/>
  <c r="L666" i="58"/>
  <c r="L665" i="58"/>
  <c r="L664" i="58"/>
  <c r="L663" i="58"/>
  <c r="L662" i="58"/>
  <c r="L661" i="58"/>
  <c r="L660" i="58"/>
  <c r="L659" i="58"/>
  <c r="L658" i="58"/>
  <c r="L657" i="58"/>
  <c r="L656" i="58"/>
  <c r="L655" i="58"/>
  <c r="L654" i="58"/>
  <c r="L653" i="58"/>
  <c r="L652" i="58"/>
  <c r="L651" i="58"/>
  <c r="L650" i="58"/>
  <c r="L649" i="58"/>
  <c r="L648" i="58"/>
  <c r="L647" i="58"/>
  <c r="L646" i="58"/>
  <c r="L645" i="58"/>
  <c r="L644" i="58"/>
  <c r="L643" i="58"/>
  <c r="L642" i="58"/>
  <c r="L641" i="58"/>
  <c r="L640" i="58"/>
  <c r="L639" i="58"/>
  <c r="L638" i="58"/>
  <c r="L637" i="58"/>
  <c r="L636" i="58"/>
  <c r="L635" i="58"/>
  <c r="L634" i="58"/>
  <c r="L633" i="58"/>
  <c r="L632" i="58"/>
  <c r="L631" i="58"/>
  <c r="L630" i="58"/>
  <c r="L629" i="58"/>
  <c r="L628" i="58"/>
  <c r="L627" i="58"/>
  <c r="L626" i="58"/>
  <c r="L625" i="58"/>
  <c r="L624" i="58"/>
  <c r="L623" i="58"/>
  <c r="L622" i="58"/>
  <c r="L621" i="58"/>
  <c r="L620" i="58"/>
  <c r="L619" i="58"/>
  <c r="L618" i="58"/>
  <c r="L617" i="58"/>
  <c r="L616" i="58"/>
  <c r="L615" i="58"/>
  <c r="L614" i="58"/>
  <c r="L613" i="58"/>
  <c r="L612" i="58"/>
  <c r="L611" i="58"/>
  <c r="L610" i="58"/>
  <c r="L609" i="58"/>
  <c r="L608" i="58"/>
  <c r="L607" i="58"/>
  <c r="L606" i="58"/>
  <c r="L605" i="58"/>
  <c r="L604" i="58"/>
  <c r="L603" i="58"/>
  <c r="L602" i="58"/>
  <c r="L601" i="58"/>
  <c r="L600" i="58"/>
  <c r="L599" i="58"/>
  <c r="L598" i="58"/>
  <c r="L597" i="58"/>
  <c r="L596" i="58"/>
  <c r="L595" i="58"/>
  <c r="L594" i="58"/>
  <c r="L593" i="58"/>
  <c r="L592" i="58"/>
  <c r="L591" i="58"/>
  <c r="L590" i="58"/>
  <c r="L589" i="58"/>
  <c r="L588" i="58"/>
  <c r="L587" i="58"/>
  <c r="L586" i="58"/>
  <c r="L585" i="58"/>
  <c r="X46" i="85" s="1"/>
  <c r="L584" i="58"/>
  <c r="L583" i="58"/>
  <c r="K15" i="94" s="1"/>
  <c r="L582" i="58"/>
  <c r="L581" i="58"/>
  <c r="L580" i="58"/>
  <c r="L579" i="58"/>
  <c r="L578" i="58"/>
  <c r="L577" i="58"/>
  <c r="L576" i="58"/>
  <c r="L575" i="58"/>
  <c r="L574" i="58"/>
  <c r="L573" i="58"/>
  <c r="L572" i="58"/>
  <c r="L571" i="58"/>
  <c r="L570" i="58"/>
  <c r="L569" i="58"/>
  <c r="L568" i="58"/>
  <c r="L567" i="58"/>
  <c r="L566" i="58"/>
  <c r="L565" i="58"/>
  <c r="L564" i="58"/>
  <c r="L563" i="58"/>
  <c r="L562" i="58"/>
  <c r="L561" i="58"/>
  <c r="L560" i="58"/>
  <c r="L559" i="58"/>
  <c r="L558" i="58"/>
  <c r="L557" i="58"/>
  <c r="L556" i="58"/>
  <c r="L555" i="58"/>
  <c r="L554" i="58"/>
  <c r="L553" i="58"/>
  <c r="L552" i="58"/>
  <c r="L551" i="58"/>
  <c r="AE27" i="94" s="1"/>
  <c r="L550" i="58"/>
  <c r="L549" i="58"/>
  <c r="L548" i="58"/>
  <c r="L547" i="58"/>
  <c r="L546" i="58"/>
  <c r="L545" i="58"/>
  <c r="L544" i="58"/>
  <c r="L543" i="58"/>
  <c r="L542" i="58"/>
  <c r="L541" i="58"/>
  <c r="L540" i="58"/>
  <c r="L538" i="58"/>
  <c r="L537" i="58"/>
  <c r="L536" i="58"/>
  <c r="L535" i="58"/>
  <c r="L534" i="58"/>
  <c r="L533" i="58"/>
  <c r="L532" i="58"/>
  <c r="L531" i="58"/>
  <c r="L530" i="58"/>
  <c r="L529" i="58"/>
  <c r="L528" i="58"/>
  <c r="L527" i="58"/>
  <c r="L526" i="58"/>
  <c r="L525" i="58"/>
  <c r="L524" i="58"/>
  <c r="L523" i="58"/>
  <c r="L522" i="58"/>
  <c r="L521" i="58"/>
  <c r="L520" i="58"/>
  <c r="L519" i="58"/>
  <c r="L518" i="58"/>
  <c r="L517" i="58"/>
  <c r="L516" i="58"/>
  <c r="L515" i="58"/>
  <c r="L514" i="58"/>
  <c r="L513" i="58"/>
  <c r="L512" i="58"/>
  <c r="L511" i="58"/>
  <c r="L510" i="58"/>
  <c r="L509" i="58"/>
  <c r="L508" i="58"/>
  <c r="L506" i="58"/>
  <c r="L505" i="58"/>
  <c r="L504" i="58"/>
  <c r="L503" i="58"/>
  <c r="L502" i="58"/>
  <c r="L501" i="58"/>
  <c r="L500" i="58"/>
  <c r="L499" i="58"/>
  <c r="L498" i="58"/>
  <c r="L497" i="58"/>
  <c r="AE39" i="85" s="1"/>
  <c r="L496" i="58"/>
  <c r="L495" i="58"/>
  <c r="L494" i="58"/>
  <c r="L493" i="58"/>
  <c r="L492" i="58"/>
  <c r="L491" i="58"/>
  <c r="L490" i="58"/>
  <c r="L489" i="58"/>
  <c r="L488" i="58"/>
  <c r="AE12" i="93" s="1"/>
  <c r="L487" i="58"/>
  <c r="L486" i="58"/>
  <c r="L485" i="58"/>
  <c r="L484" i="58"/>
  <c r="L483" i="58"/>
  <c r="L482" i="58"/>
  <c r="L481" i="58"/>
  <c r="L480" i="58"/>
  <c r="L479" i="58"/>
  <c r="L478" i="58"/>
  <c r="L477" i="58"/>
  <c r="L476" i="58"/>
  <c r="L475" i="58"/>
  <c r="L474" i="58"/>
  <c r="L473" i="58"/>
  <c r="L472" i="58"/>
  <c r="L471" i="58"/>
  <c r="L470" i="58"/>
  <c r="L469" i="58"/>
  <c r="L468" i="58"/>
  <c r="L466" i="58"/>
  <c r="L465" i="58"/>
  <c r="L464" i="58"/>
  <c r="L463" i="58"/>
  <c r="L462" i="58"/>
  <c r="L461" i="58"/>
  <c r="L460" i="58"/>
  <c r="L459" i="58"/>
  <c r="L458" i="58"/>
  <c r="L457" i="58"/>
  <c r="L456" i="58"/>
  <c r="L455" i="58"/>
  <c r="L454" i="58"/>
  <c r="L453" i="58"/>
  <c r="L452" i="58"/>
  <c r="L451" i="58"/>
  <c r="L450" i="58"/>
  <c r="L449" i="58"/>
  <c r="L448" i="58"/>
  <c r="L447" i="58"/>
  <c r="L446" i="58"/>
  <c r="L445" i="58"/>
  <c r="L444" i="58"/>
  <c r="L443" i="58"/>
  <c r="L442" i="58"/>
  <c r="L441" i="58"/>
  <c r="L440" i="58"/>
  <c r="L439" i="58"/>
  <c r="L438" i="58"/>
  <c r="L437" i="58"/>
  <c r="L436" i="58"/>
  <c r="L435" i="58"/>
  <c r="L434" i="58"/>
  <c r="L433" i="58"/>
  <c r="L432" i="58"/>
  <c r="L431" i="58"/>
  <c r="L430" i="58"/>
  <c r="L429" i="58"/>
  <c r="L428" i="58"/>
  <c r="AE29" i="85" s="1"/>
  <c r="L427" i="58"/>
  <c r="L426" i="58"/>
  <c r="L425" i="58"/>
  <c r="L424" i="58"/>
  <c r="L423" i="58"/>
  <c r="L422" i="58"/>
  <c r="L421" i="58"/>
  <c r="L420" i="58"/>
  <c r="L419" i="58"/>
  <c r="L418" i="58"/>
  <c r="L417" i="58"/>
  <c r="L416" i="58"/>
  <c r="L415" i="58"/>
  <c r="L414" i="58"/>
  <c r="L413" i="58"/>
  <c r="L412" i="58"/>
  <c r="L411" i="58"/>
  <c r="L410" i="58"/>
  <c r="L408" i="58"/>
  <c r="L407" i="58"/>
  <c r="L406" i="58"/>
  <c r="L405" i="58"/>
  <c r="L404" i="58"/>
  <c r="L403" i="58"/>
  <c r="L402" i="58"/>
  <c r="L401" i="58"/>
  <c r="L400" i="58"/>
  <c r="L399" i="58"/>
  <c r="L398" i="58"/>
  <c r="L397" i="58"/>
  <c r="L396" i="58"/>
  <c r="L395" i="58"/>
  <c r="L394" i="58"/>
  <c r="L393" i="58"/>
  <c r="L392" i="58"/>
  <c r="L391" i="58"/>
  <c r="L390" i="58"/>
  <c r="L389" i="58"/>
  <c r="L388" i="58"/>
  <c r="L387" i="58"/>
  <c r="L386" i="58"/>
  <c r="L385" i="58"/>
  <c r="L384" i="58"/>
  <c r="L383" i="58"/>
  <c r="L382" i="58"/>
  <c r="L381" i="58"/>
  <c r="L380" i="58"/>
  <c r="L379" i="58"/>
  <c r="L378" i="58"/>
  <c r="L377" i="58"/>
  <c r="L376" i="58"/>
  <c r="K13" i="94" s="1"/>
  <c r="L375" i="58"/>
  <c r="L374" i="58"/>
  <c r="L373" i="58"/>
  <c r="L372" i="58"/>
  <c r="L371" i="58"/>
  <c r="L370" i="58"/>
  <c r="L369" i="58"/>
  <c r="L368" i="58"/>
  <c r="L367" i="58"/>
  <c r="L366" i="58"/>
  <c r="L365" i="58"/>
  <c r="L364" i="58"/>
  <c r="L363" i="58"/>
  <c r="L362" i="58"/>
  <c r="L361" i="58"/>
  <c r="L360" i="58"/>
  <c r="L359" i="58"/>
  <c r="L358" i="58"/>
  <c r="L357" i="58"/>
  <c r="L356" i="58"/>
  <c r="L355" i="58"/>
  <c r="L354" i="58"/>
  <c r="L353" i="58"/>
  <c r="L352" i="58"/>
  <c r="L351" i="58"/>
  <c r="L350" i="58"/>
  <c r="L349" i="58"/>
  <c r="L348" i="58"/>
  <c r="L347" i="58"/>
  <c r="L346" i="58"/>
  <c r="L345" i="58"/>
  <c r="L344" i="58"/>
  <c r="L343" i="58"/>
  <c r="L342" i="58"/>
  <c r="L341" i="58"/>
  <c r="L340" i="58"/>
  <c r="L339" i="58"/>
  <c r="L338" i="58"/>
  <c r="L337" i="58"/>
  <c r="L336" i="58"/>
  <c r="L335" i="58"/>
  <c r="L334" i="58"/>
  <c r="L333" i="58"/>
  <c r="L332" i="58"/>
  <c r="L331" i="58"/>
  <c r="L330" i="58"/>
  <c r="L329" i="58"/>
  <c r="L328" i="58"/>
  <c r="L327" i="58"/>
  <c r="L326" i="58"/>
  <c r="L325" i="58"/>
  <c r="L324" i="58"/>
  <c r="L323" i="58"/>
  <c r="L322" i="58"/>
  <c r="L321" i="58"/>
  <c r="L320" i="58"/>
  <c r="L319" i="58"/>
  <c r="L318" i="58"/>
  <c r="L317" i="58"/>
  <c r="L316" i="58"/>
  <c r="L315" i="58"/>
  <c r="L314" i="58"/>
  <c r="L313" i="58"/>
  <c r="L312" i="58"/>
  <c r="L311" i="58"/>
  <c r="L310" i="58"/>
  <c r="L309" i="58"/>
  <c r="L308" i="58"/>
  <c r="L307" i="58"/>
  <c r="L306" i="58"/>
  <c r="L305" i="58"/>
  <c r="L304" i="58"/>
  <c r="L303" i="58"/>
  <c r="L302" i="58"/>
  <c r="L301" i="58"/>
  <c r="L300" i="58"/>
  <c r="L299" i="58"/>
  <c r="L298" i="58"/>
  <c r="L296" i="58"/>
  <c r="L295" i="58"/>
  <c r="L294" i="58"/>
  <c r="L293" i="58"/>
  <c r="L292" i="58"/>
  <c r="L291" i="58"/>
  <c r="L290" i="58"/>
  <c r="L289" i="58"/>
  <c r="L288" i="58"/>
  <c r="L287" i="58"/>
  <c r="L286" i="58"/>
  <c r="L285" i="58"/>
  <c r="L284" i="58"/>
  <c r="L283" i="58"/>
  <c r="L282" i="58"/>
  <c r="L281" i="58"/>
  <c r="L280" i="58"/>
  <c r="L279" i="58"/>
  <c r="L278" i="58"/>
  <c r="L277" i="58"/>
  <c r="L276" i="58"/>
  <c r="L275" i="58"/>
  <c r="L274" i="58"/>
  <c r="L273" i="58"/>
  <c r="L272" i="58"/>
  <c r="L271" i="58"/>
  <c r="L270" i="58"/>
  <c r="L269" i="58"/>
  <c r="L268" i="58"/>
  <c r="L267" i="58"/>
  <c r="L266" i="58"/>
  <c r="AE25" i="85" s="1"/>
  <c r="L265" i="58"/>
  <c r="L264" i="58"/>
  <c r="L263" i="58"/>
  <c r="L262" i="58"/>
  <c r="AE32" i="94" s="1"/>
  <c r="L261" i="58"/>
  <c r="L260" i="58"/>
  <c r="L259" i="58"/>
  <c r="L258" i="58"/>
  <c r="L257" i="58"/>
  <c r="L256" i="58"/>
  <c r="L255" i="58"/>
  <c r="L254" i="58"/>
  <c r="L253" i="58"/>
  <c r="L252" i="58"/>
  <c r="L251" i="58"/>
  <c r="L250" i="58"/>
  <c r="L249" i="58"/>
  <c r="L248" i="58"/>
  <c r="L247" i="58"/>
  <c r="L246" i="58"/>
  <c r="L245" i="58"/>
  <c r="L244" i="58"/>
  <c r="L243" i="58"/>
  <c r="L242" i="58"/>
  <c r="L241" i="58"/>
  <c r="L240" i="58"/>
  <c r="L239" i="58"/>
  <c r="L238" i="58"/>
  <c r="L237" i="58"/>
  <c r="L236" i="58"/>
  <c r="L235" i="58"/>
  <c r="L234" i="58"/>
  <c r="L233" i="58"/>
  <c r="L232" i="58"/>
  <c r="L231" i="58"/>
  <c r="L230" i="58"/>
  <c r="L229" i="58"/>
  <c r="L228" i="58"/>
  <c r="L227" i="58"/>
  <c r="L226" i="58"/>
  <c r="L225" i="58"/>
  <c r="L224" i="58"/>
  <c r="L223" i="58"/>
  <c r="L222" i="58"/>
  <c r="K8" i="94" s="1"/>
  <c r="L221" i="58"/>
  <c r="L220" i="58"/>
  <c r="L219" i="58"/>
  <c r="L218" i="58"/>
  <c r="L217" i="58"/>
  <c r="L216" i="58"/>
  <c r="L215" i="58"/>
  <c r="L214" i="58"/>
  <c r="L213" i="58"/>
  <c r="L212" i="58"/>
  <c r="L211" i="58"/>
  <c r="L210" i="58"/>
  <c r="L209" i="58"/>
  <c r="L208" i="58"/>
  <c r="L207" i="58"/>
  <c r="L206" i="58"/>
  <c r="L205" i="58"/>
  <c r="L204" i="58"/>
  <c r="L203" i="58"/>
  <c r="L202" i="58"/>
  <c r="L201" i="58"/>
  <c r="L200" i="58"/>
  <c r="L199" i="58"/>
  <c r="L198" i="58"/>
  <c r="L197" i="58"/>
  <c r="L196" i="58"/>
  <c r="L195" i="58"/>
  <c r="L194" i="58"/>
  <c r="L193" i="58"/>
  <c r="L192" i="58"/>
  <c r="L191" i="58"/>
  <c r="L190" i="58"/>
  <c r="L189" i="58"/>
  <c r="L188" i="58"/>
  <c r="L187" i="58"/>
  <c r="L186" i="58"/>
  <c r="L185" i="58"/>
  <c r="L184" i="58"/>
  <c r="L183" i="58"/>
  <c r="L182" i="58"/>
  <c r="L181" i="58"/>
  <c r="L180" i="58"/>
  <c r="L179" i="58"/>
  <c r="L178" i="58"/>
  <c r="L177" i="58"/>
  <c r="L176" i="58"/>
  <c r="L175" i="58"/>
  <c r="L174" i="58"/>
  <c r="L173" i="58"/>
  <c r="L172" i="58"/>
  <c r="L171" i="58"/>
  <c r="L170" i="58"/>
  <c r="L169" i="58"/>
  <c r="L168" i="58"/>
  <c r="L167" i="58"/>
  <c r="L166" i="58"/>
  <c r="L165" i="58"/>
  <c r="L164" i="58"/>
  <c r="K46" i="94" s="1"/>
  <c r="L163" i="58"/>
  <c r="L162" i="58"/>
  <c r="L161" i="58"/>
  <c r="L160" i="58"/>
  <c r="L159" i="58"/>
  <c r="L158" i="58"/>
  <c r="L157" i="58"/>
  <c r="L156" i="58"/>
  <c r="L155" i="58"/>
  <c r="L154" i="58"/>
  <c r="L153" i="58"/>
  <c r="L152" i="58"/>
  <c r="L151" i="58"/>
  <c r="L150" i="58"/>
  <c r="L149" i="58"/>
  <c r="L148" i="58"/>
  <c r="L147" i="58"/>
  <c r="L146" i="58"/>
  <c r="L145" i="58"/>
  <c r="L144" i="58"/>
  <c r="L143" i="58"/>
  <c r="L142" i="58"/>
  <c r="L141" i="58"/>
  <c r="L140" i="58"/>
  <c r="L139" i="58"/>
  <c r="L138" i="58"/>
  <c r="L137" i="58"/>
  <c r="L136" i="58"/>
  <c r="L135" i="58"/>
  <c r="L134" i="58"/>
  <c r="L133" i="58"/>
  <c r="L132" i="58"/>
  <c r="L131" i="58"/>
  <c r="L130" i="58"/>
  <c r="L129" i="58"/>
  <c r="L128" i="58"/>
  <c r="L127" i="58"/>
  <c r="L126" i="58"/>
  <c r="L125" i="58"/>
  <c r="L124" i="58"/>
  <c r="X15" i="85" s="1"/>
  <c r="L123" i="58"/>
  <c r="L122" i="58"/>
  <c r="AE45" i="94" s="1"/>
  <c r="L121" i="58"/>
  <c r="L120" i="58"/>
  <c r="L119" i="58"/>
  <c r="L118" i="58"/>
  <c r="L117" i="58"/>
  <c r="L116" i="58"/>
  <c r="L115" i="58"/>
  <c r="L114" i="58"/>
  <c r="L113" i="58"/>
  <c r="L112" i="58"/>
  <c r="L111" i="58"/>
  <c r="L110" i="58"/>
  <c r="L109" i="58"/>
  <c r="L108" i="58"/>
  <c r="L106" i="58"/>
  <c r="L105" i="58"/>
  <c r="L104" i="58"/>
  <c r="L103" i="58"/>
  <c r="L102" i="58"/>
  <c r="L101" i="58"/>
  <c r="L100" i="58"/>
  <c r="L99" i="58"/>
  <c r="L98" i="58"/>
  <c r="L97" i="58"/>
  <c r="L96" i="58"/>
  <c r="L95" i="58"/>
  <c r="L94" i="58"/>
  <c r="L93" i="58"/>
  <c r="L92" i="58"/>
  <c r="L91" i="58"/>
  <c r="L90" i="58"/>
  <c r="L89" i="58"/>
  <c r="L88" i="58"/>
  <c r="L87" i="58"/>
  <c r="L86" i="58"/>
  <c r="L85" i="58"/>
  <c r="L84" i="58"/>
  <c r="L83" i="58"/>
  <c r="L82" i="58"/>
  <c r="L81" i="58"/>
  <c r="L80" i="58"/>
  <c r="L79" i="58"/>
  <c r="L78" i="58"/>
  <c r="L77" i="58"/>
  <c r="L76" i="58"/>
  <c r="L75" i="58"/>
  <c r="L73" i="58"/>
  <c r="L72" i="58"/>
  <c r="L71" i="58"/>
  <c r="L70" i="58"/>
  <c r="L69" i="58"/>
  <c r="L68" i="58"/>
  <c r="L67" i="58"/>
  <c r="L66" i="58"/>
  <c r="L65" i="58"/>
  <c r="L64" i="58"/>
  <c r="L63" i="58"/>
  <c r="L62" i="58"/>
  <c r="L61" i="58"/>
  <c r="L60" i="58"/>
  <c r="L59" i="58"/>
  <c r="L58" i="58"/>
  <c r="L57" i="58"/>
  <c r="L56" i="58"/>
  <c r="L55" i="58"/>
  <c r="L54" i="58"/>
  <c r="L53" i="58"/>
  <c r="L52" i="58"/>
  <c r="L51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AE15" i="94" l="1"/>
  <c r="AE54" i="85"/>
  <c r="AE21" i="95"/>
  <c r="AE16" i="69"/>
  <c r="AE66" i="85"/>
  <c r="AE38" i="94"/>
  <c r="X38" i="94" s="1"/>
  <c r="AE38" i="85"/>
  <c r="AE26" i="94"/>
  <c r="AE39" i="94"/>
  <c r="AE28" i="85"/>
  <c r="AE10" i="95"/>
  <c r="AE12" i="69"/>
  <c r="AE33" i="85"/>
  <c r="AF14" i="88"/>
  <c r="AE45" i="85"/>
  <c r="AE17" i="95"/>
  <c r="AE14" i="69"/>
  <c r="AE18" i="69"/>
  <c r="AE63" i="85"/>
  <c r="AE24" i="95"/>
  <c r="AE41" i="94"/>
  <c r="AE11" i="93"/>
  <c r="AE27" i="95"/>
  <c r="AE20" i="69"/>
  <c r="AE76" i="85"/>
  <c r="AE36" i="94"/>
  <c r="X36" i="94" s="1"/>
  <c r="AE43" i="94"/>
  <c r="AE9" i="69"/>
  <c r="AE26" i="95"/>
  <c r="AE21" i="85"/>
  <c r="AF10" i="88"/>
  <c r="AE9" i="95"/>
  <c r="AE10" i="69"/>
  <c r="AE26" i="85"/>
  <c r="AE8" i="93"/>
  <c r="AE25" i="94"/>
  <c r="AE23" i="85"/>
  <c r="AE25" i="69"/>
  <c r="AE25" i="93"/>
  <c r="AE42" i="94"/>
  <c r="AE13" i="85"/>
  <c r="AE13" i="93"/>
  <c r="AE44" i="94"/>
  <c r="AE7" i="93"/>
  <c r="AE34" i="94"/>
  <c r="AE36" i="85"/>
  <c r="AE14" i="94"/>
  <c r="AE35" i="85"/>
  <c r="AE16" i="94"/>
  <c r="AE13" i="95"/>
  <c r="AE13" i="69"/>
  <c r="AE41" i="85"/>
  <c r="AE37" i="94"/>
  <c r="AE69" i="85"/>
  <c r="AE18" i="95"/>
  <c r="AE19" i="69"/>
  <c r="X14" i="94"/>
  <c r="AE8" i="95"/>
  <c r="AE8" i="69"/>
  <c r="AE14" i="85"/>
  <c r="AE24" i="69"/>
  <c r="AE33" i="94"/>
  <c r="AE24" i="93"/>
  <c r="AE17" i="93"/>
  <c r="AE19" i="93"/>
  <c r="AE19" i="85"/>
  <c r="X19" i="85" s="1"/>
  <c r="AE14" i="93"/>
  <c r="AE23" i="69"/>
  <c r="AE23" i="93"/>
  <c r="AE12" i="94"/>
  <c r="AE11" i="69"/>
  <c r="AE30" i="85"/>
  <c r="AE12" i="95"/>
  <c r="AE18" i="93"/>
  <c r="AE31" i="94"/>
  <c r="X31" i="94" s="1"/>
  <c r="AE40" i="85"/>
  <c r="AE61" i="85"/>
  <c r="X61" i="85" s="1"/>
  <c r="AE17" i="69"/>
  <c r="AE23" i="95"/>
  <c r="X23" i="95" s="1"/>
  <c r="X13" i="69"/>
  <c r="X17" i="93"/>
  <c r="AF8" i="88"/>
  <c r="X39" i="94"/>
  <c r="X20" i="94"/>
  <c r="X29" i="85"/>
  <c r="AF11" i="88"/>
  <c r="X11" i="93"/>
  <c r="AF17" i="88"/>
  <c r="R17" i="88"/>
  <c r="X23" i="85"/>
  <c r="X32" i="94"/>
  <c r="K10" i="94"/>
  <c r="K9" i="94"/>
  <c r="K21" i="94"/>
  <c r="X40" i="85"/>
  <c r="X65" i="85"/>
  <c r="K45" i="94"/>
  <c r="X11" i="85"/>
  <c r="X15" i="94"/>
  <c r="X54" i="85"/>
  <c r="X9" i="69"/>
  <c r="AF9" i="88"/>
  <c r="X26" i="95"/>
  <c r="R9" i="88"/>
  <c r="X45" i="94"/>
  <c r="K14" i="94"/>
  <c r="K16" i="93"/>
  <c r="K26" i="95"/>
  <c r="K21" i="95"/>
  <c r="K47" i="94"/>
  <c r="X41" i="85"/>
  <c r="X69" i="85"/>
  <c r="X18" i="93"/>
  <c r="K40" i="94"/>
  <c r="K18" i="95"/>
  <c r="X16" i="94"/>
  <c r="K17" i="94"/>
  <c r="X27" i="94"/>
  <c r="X38" i="85"/>
  <c r="X74" i="85"/>
  <c r="K14" i="95"/>
  <c r="K13" i="93"/>
  <c r="K27" i="94"/>
  <c r="K12" i="94"/>
  <c r="K18" i="93"/>
  <c r="K32" i="94"/>
  <c r="X26" i="94"/>
  <c r="X49" i="85"/>
  <c r="X76" i="85"/>
  <c r="K33" i="94"/>
  <c r="K44" i="94"/>
  <c r="K19" i="94"/>
  <c r="K17" i="93"/>
  <c r="X25" i="93"/>
  <c r="AF7" i="88"/>
  <c r="AF25" i="88"/>
  <c r="X25" i="69"/>
  <c r="R25" i="88"/>
  <c r="R7" i="88"/>
  <c r="K8" i="95"/>
  <c r="K25" i="94"/>
  <c r="K10" i="93"/>
  <c r="K7" i="93"/>
  <c r="K26" i="94"/>
  <c r="K24" i="94"/>
  <c r="K8" i="93"/>
  <c r="X41" i="94"/>
  <c r="AF15" i="88"/>
  <c r="X20" i="69"/>
  <c r="R20" i="88"/>
  <c r="K16" i="95"/>
  <c r="K31" i="94"/>
  <c r="K19" i="93"/>
  <c r="K24" i="93"/>
  <c r="K25" i="93"/>
  <c r="K41" i="94"/>
  <c r="K11" i="93"/>
  <c r="K42" i="94"/>
  <c r="K43" i="94"/>
  <c r="K14" i="93"/>
  <c r="R12" i="88"/>
  <c r="X10" i="95"/>
  <c r="X12" i="69"/>
  <c r="AF23" i="88"/>
  <c r="X18" i="94"/>
  <c r="K20" i="94"/>
  <c r="K23" i="93"/>
  <c r="K9" i="93"/>
  <c r="K34" i="94"/>
  <c r="K30" i="94"/>
  <c r="K21" i="93"/>
  <c r="K16" i="94"/>
  <c r="R23" i="88"/>
  <c r="X23" i="69"/>
  <c r="X8" i="69"/>
  <c r="R8" i="88"/>
  <c r="X44" i="94"/>
  <c r="X12" i="93"/>
  <c r="K29" i="94"/>
  <c r="K18" i="94"/>
  <c r="K36" i="94"/>
  <c r="K39" i="94"/>
  <c r="K22" i="94"/>
  <c r="K15" i="93"/>
  <c r="K13" i="95"/>
  <c r="X14" i="93"/>
  <c r="K20" i="95"/>
  <c r="K24" i="95"/>
  <c r="X18" i="95"/>
  <c r="R19" i="88"/>
  <c r="X19" i="69"/>
  <c r="K9" i="95"/>
  <c r="K11" i="94"/>
  <c r="K28" i="94"/>
  <c r="K10" i="95"/>
  <c r="AF24" i="88"/>
  <c r="AF12" i="88"/>
  <c r="X34" i="94"/>
  <c r="X13" i="93"/>
  <c r="X42" i="94"/>
  <c r="AF13" i="88"/>
  <c r="X28" i="94"/>
  <c r="X15" i="69"/>
  <c r="R15" i="88"/>
  <c r="X9" i="93"/>
  <c r="X21" i="95"/>
  <c r="X16" i="69"/>
  <c r="R16" i="88"/>
  <c r="K23" i="95"/>
  <c r="K27" i="95"/>
  <c r="K25" i="95" s="1"/>
  <c r="K38" i="94"/>
  <c r="K12" i="93"/>
  <c r="K37" i="94"/>
  <c r="K20" i="93"/>
  <c r="X10" i="69"/>
  <c r="X9" i="95"/>
  <c r="R10" i="88"/>
  <c r="K12" i="95"/>
  <c r="X11" i="69"/>
  <c r="X24" i="69"/>
  <c r="R24" i="88"/>
  <c r="X33" i="94"/>
  <c r="X24" i="93"/>
  <c r="R11" i="88"/>
  <c r="X19" i="93"/>
  <c r="R13" i="88"/>
  <c r="X13" i="95"/>
  <c r="K17" i="95"/>
  <c r="X14" i="69"/>
  <c r="X17" i="95"/>
  <c r="R14" i="88"/>
  <c r="X43" i="94"/>
  <c r="X17" i="94"/>
  <c r="X10" i="93"/>
  <c r="R18" i="88"/>
  <c r="X18" i="69"/>
  <c r="X8" i="93"/>
  <c r="AF18" i="88"/>
  <c r="X14" i="95"/>
  <c r="X21" i="69"/>
  <c r="R21" i="88"/>
  <c r="X16" i="85"/>
  <c r="X24" i="85"/>
  <c r="X64" i="85"/>
  <c r="X60" i="85"/>
  <c r="L6" i="58"/>
  <c r="X14" i="85"/>
  <c r="K30" i="85"/>
  <c r="K35" i="85"/>
  <c r="K23" i="85"/>
  <c r="K20" i="85"/>
  <c r="K39" i="85"/>
  <c r="K43" i="85"/>
  <c r="K49" i="85"/>
  <c r="K54" i="85"/>
  <c r="K55" i="85"/>
  <c r="K60" i="85"/>
  <c r="K58" i="85"/>
  <c r="K66" i="85"/>
  <c r="K76" i="85"/>
  <c r="K81" i="85"/>
  <c r="X10" i="85"/>
  <c r="K10" i="85"/>
  <c r="K18" i="85"/>
  <c r="K11" i="85"/>
  <c r="K9" i="85"/>
  <c r="K21" i="85"/>
  <c r="K31" i="85"/>
  <c r="K34" i="85"/>
  <c r="K38" i="85"/>
  <c r="K46" i="85"/>
  <c r="K51" i="85"/>
  <c r="K53" i="85"/>
  <c r="K70" i="85"/>
  <c r="K68" i="85"/>
  <c r="K75" i="85"/>
  <c r="K80" i="85"/>
  <c r="K8" i="85"/>
  <c r="X9" i="85"/>
  <c r="K13" i="85"/>
  <c r="K24" i="85"/>
  <c r="K26" i="85"/>
  <c r="K33" i="85"/>
  <c r="K41" i="85"/>
  <c r="K40" i="85"/>
  <c r="K48" i="85"/>
  <c r="K61" i="85"/>
  <c r="K63" i="85"/>
  <c r="K65" i="85"/>
  <c r="K71" i="85"/>
  <c r="K73" i="85"/>
  <c r="K78" i="85"/>
  <c r="K79" i="85"/>
  <c r="X79" i="85"/>
  <c r="K14" i="85"/>
  <c r="K16" i="85"/>
  <c r="K15" i="85"/>
  <c r="K19" i="85"/>
  <c r="K25" i="85"/>
  <c r="K29" i="85"/>
  <c r="K28" i="85"/>
  <c r="K36" i="85"/>
  <c r="K45" i="85"/>
  <c r="K44" i="85"/>
  <c r="K50" i="85"/>
  <c r="K56" i="85"/>
  <c r="K59" i="85"/>
  <c r="K64" i="85"/>
  <c r="K69" i="85"/>
  <c r="K74" i="85"/>
  <c r="X80" i="85"/>
  <c r="K9" i="69"/>
  <c r="K11" i="69"/>
  <c r="K14" i="69"/>
  <c r="K16" i="69"/>
  <c r="K17" i="69"/>
  <c r="K23" i="69"/>
  <c r="K7" i="69"/>
  <c r="K24" i="69"/>
  <c r="K13" i="69"/>
  <c r="K15" i="69"/>
  <c r="K21" i="69"/>
  <c r="K25" i="69"/>
  <c r="K8" i="69"/>
  <c r="K10" i="69"/>
  <c r="K12" i="69"/>
  <c r="K18" i="69"/>
  <c r="K20" i="69"/>
  <c r="K19" i="69"/>
  <c r="X39" i="85"/>
  <c r="X30" i="85"/>
  <c r="X63" i="85"/>
  <c r="X71" i="85"/>
  <c r="X34" i="85"/>
  <c r="X51" i="85"/>
  <c r="X17" i="69"/>
  <c r="X59" i="85"/>
  <c r="X36" i="85"/>
  <c r="X35" i="85"/>
  <c r="X31" i="85"/>
  <c r="X68" i="85"/>
  <c r="X45" i="85"/>
  <c r="X44" i="85"/>
  <c r="X58" i="85"/>
  <c r="X26" i="85"/>
  <c r="X50" i="85"/>
  <c r="X66" i="85"/>
  <c r="X73" i="85"/>
  <c r="X81" i="85"/>
  <c r="X7" i="69"/>
  <c r="K19" i="95" l="1"/>
  <c r="K26" i="93"/>
  <c r="K22" i="95"/>
  <c r="K7" i="94"/>
  <c r="K11" i="95"/>
  <c r="X24" i="95"/>
  <c r="X22" i="95" s="1"/>
  <c r="AE22" i="95"/>
  <c r="AE19" i="95"/>
  <c r="X20" i="95"/>
  <c r="X19" i="95" s="1"/>
  <c r="K35" i="94"/>
  <c r="X27" i="95"/>
  <c r="X25" i="95" s="1"/>
  <c r="AE25" i="95"/>
  <c r="K23" i="94"/>
  <c r="AE11" i="95"/>
  <c r="X12" i="95"/>
  <c r="X11" i="95" s="1"/>
  <c r="K15" i="95"/>
  <c r="K7" i="95"/>
  <c r="AE15" i="95"/>
  <c r="X16" i="95"/>
  <c r="X15" i="95" s="1"/>
  <c r="X25" i="94"/>
  <c r="X23" i="94" s="1"/>
  <c r="AE23" i="94"/>
  <c r="AE7" i="95"/>
  <c r="X8" i="95"/>
  <c r="X7" i="95" s="1"/>
  <c r="X12" i="94"/>
  <c r="X7" i="94" s="1"/>
  <c r="AE7" i="94"/>
  <c r="AE26" i="93"/>
  <c r="X23" i="93"/>
  <c r="X26" i="93" s="1"/>
  <c r="K6" i="93"/>
  <c r="X37" i="94"/>
  <c r="X35" i="94" s="1"/>
  <c r="AE35" i="94"/>
  <c r="AE6" i="93"/>
  <c r="X7" i="93"/>
  <c r="X6" i="93" s="1"/>
  <c r="J23" i="95"/>
  <c r="J21" i="95"/>
  <c r="J18" i="95"/>
  <c r="J17" i="95"/>
  <c r="J24" i="95"/>
  <c r="J20" i="95"/>
  <c r="J19" i="95" s="1"/>
  <c r="J16" i="95"/>
  <c r="J10" i="95"/>
  <c r="J46" i="94"/>
  <c r="J14" i="95"/>
  <c r="J9" i="95"/>
  <c r="J27" i="95"/>
  <c r="J13" i="95"/>
  <c r="J26" i="95"/>
  <c r="J42" i="94"/>
  <c r="J8" i="95"/>
  <c r="J45" i="94"/>
  <c r="J41" i="94"/>
  <c r="J44" i="94"/>
  <c r="J40" i="94"/>
  <c r="J38" i="94"/>
  <c r="J36" i="94"/>
  <c r="J31" i="94"/>
  <c r="J47" i="94"/>
  <c r="J39" i="94"/>
  <c r="J34" i="94"/>
  <c r="J30" i="94"/>
  <c r="J12" i="95"/>
  <c r="J11" i="95" s="1"/>
  <c r="J33" i="94"/>
  <c r="J29" i="94"/>
  <c r="J25" i="94"/>
  <c r="J20" i="94"/>
  <c r="J37" i="94"/>
  <c r="J28" i="94"/>
  <c r="J24" i="94"/>
  <c r="J19" i="94"/>
  <c r="J15" i="94"/>
  <c r="J43" i="94"/>
  <c r="J27" i="94"/>
  <c r="J22" i="94"/>
  <c r="J18" i="94"/>
  <c r="J26" i="94"/>
  <c r="J16" i="94"/>
  <c r="J14" i="94"/>
  <c r="J10" i="94"/>
  <c r="J20" i="93"/>
  <c r="J17" i="94"/>
  <c r="J13" i="94"/>
  <c r="J9" i="94"/>
  <c r="J19" i="93"/>
  <c r="J32" i="94"/>
  <c r="J21" i="94"/>
  <c r="J12" i="94"/>
  <c r="J8" i="94"/>
  <c r="J18" i="93"/>
  <c r="J14" i="93"/>
  <c r="J21" i="93"/>
  <c r="J17" i="93"/>
  <c r="J15" i="93"/>
  <c r="J10" i="93"/>
  <c r="J9" i="93"/>
  <c r="J25" i="93"/>
  <c r="J23" i="93"/>
  <c r="J11" i="94"/>
  <c r="J16" i="93"/>
  <c r="J12" i="93"/>
  <c r="J8" i="93"/>
  <c r="J13" i="93"/>
  <c r="J11" i="93"/>
  <c r="J24" i="93"/>
  <c r="J7" i="93"/>
  <c r="AM6" i="88"/>
  <c r="AM26" i="88"/>
  <c r="R6" i="88"/>
  <c r="AF26" i="88"/>
  <c r="R26" i="88"/>
  <c r="AF6" i="88"/>
  <c r="K12" i="85"/>
  <c r="AE72" i="85"/>
  <c r="K27" i="85"/>
  <c r="AE57" i="85"/>
  <c r="J80" i="85"/>
  <c r="J79" i="85"/>
  <c r="J70" i="85"/>
  <c r="J69" i="85"/>
  <c r="J60" i="85"/>
  <c r="J59" i="85"/>
  <c r="J50" i="85"/>
  <c r="J49" i="85"/>
  <c r="J40" i="85"/>
  <c r="J39" i="85"/>
  <c r="J30" i="85"/>
  <c r="J29" i="85"/>
  <c r="J20" i="85"/>
  <c r="J19" i="85"/>
  <c r="J78" i="85"/>
  <c r="J76" i="85"/>
  <c r="J68" i="85"/>
  <c r="J66" i="85"/>
  <c r="J58" i="85"/>
  <c r="J56" i="85"/>
  <c r="J48" i="85"/>
  <c r="J46" i="85"/>
  <c r="J38" i="85"/>
  <c r="J36" i="85"/>
  <c r="J28" i="85"/>
  <c r="J26" i="85"/>
  <c r="J18" i="85"/>
  <c r="J16" i="85"/>
  <c r="J75" i="85"/>
  <c r="J74" i="85"/>
  <c r="J65" i="85"/>
  <c r="J64" i="85"/>
  <c r="J55" i="85"/>
  <c r="J54" i="85"/>
  <c r="J45" i="85"/>
  <c r="J44" i="85"/>
  <c r="J81" i="85"/>
  <c r="J73" i="85"/>
  <c r="J43" i="85"/>
  <c r="J31" i="85"/>
  <c r="J23" i="85"/>
  <c r="J71" i="85"/>
  <c r="J63" i="85"/>
  <c r="J35" i="85"/>
  <c r="J24" i="85"/>
  <c r="J15" i="85"/>
  <c r="J61" i="85"/>
  <c r="J53" i="85"/>
  <c r="J41" i="85"/>
  <c r="J33" i="85"/>
  <c r="J21" i="85"/>
  <c r="J13" i="85"/>
  <c r="J34" i="85"/>
  <c r="J25" i="85"/>
  <c r="J9" i="85"/>
  <c r="J14" i="85"/>
  <c r="J10" i="85"/>
  <c r="J51" i="85"/>
  <c r="J11" i="85"/>
  <c r="J8" i="85"/>
  <c r="X57" i="85"/>
  <c r="J21" i="69"/>
  <c r="J18" i="69"/>
  <c r="J20" i="69"/>
  <c r="J17" i="69"/>
  <c r="J19" i="69"/>
  <c r="J14" i="69"/>
  <c r="J16" i="69"/>
  <c r="J13" i="69"/>
  <c r="J25" i="69"/>
  <c r="J24" i="69"/>
  <c r="J15" i="69"/>
  <c r="J10" i="69"/>
  <c r="J12" i="69"/>
  <c r="J11" i="69"/>
  <c r="J23" i="69"/>
  <c r="J9" i="69"/>
  <c r="J7" i="69"/>
  <c r="J8" i="69"/>
  <c r="X6" i="69"/>
  <c r="X26" i="69"/>
  <c r="X62" i="85"/>
  <c r="K32" i="85"/>
  <c r="K52" i="85"/>
  <c r="AE62" i="85"/>
  <c r="K77" i="85"/>
  <c r="X72" i="85"/>
  <c r="AE77" i="85"/>
  <c r="X78" i="85"/>
  <c r="X77" i="85" s="1"/>
  <c r="K72" i="85"/>
  <c r="X25" i="85"/>
  <c r="X22" i="85" s="1"/>
  <c r="AE22" i="85"/>
  <c r="X28" i="85"/>
  <c r="X27" i="85" s="1"/>
  <c r="AE27" i="85"/>
  <c r="K7" i="85"/>
  <c r="AE37" i="85"/>
  <c r="AE42" i="85"/>
  <c r="X43" i="85"/>
  <c r="X42" i="85" s="1"/>
  <c r="AE67" i="85"/>
  <c r="K67" i="85"/>
  <c r="X37" i="85"/>
  <c r="K22" i="85"/>
  <c r="K57" i="85"/>
  <c r="AE47" i="85"/>
  <c r="X48" i="85"/>
  <c r="X47" i="85" s="1"/>
  <c r="K42" i="85"/>
  <c r="X67" i="85"/>
  <c r="K47" i="85"/>
  <c r="X8" i="85"/>
  <c r="X7" i="85" s="1"/>
  <c r="AE7" i="85"/>
  <c r="X21" i="85"/>
  <c r="X17" i="85" s="1"/>
  <c r="AE17" i="85"/>
  <c r="X33" i="85"/>
  <c r="X32" i="85" s="1"/>
  <c r="AE32" i="85"/>
  <c r="K17" i="85"/>
  <c r="AE12" i="85"/>
  <c r="X13" i="85"/>
  <c r="X12" i="85" s="1"/>
  <c r="K62" i="85"/>
  <c r="X53" i="85"/>
  <c r="X52" i="85" s="1"/>
  <c r="AE52" i="85"/>
  <c r="K37" i="85"/>
  <c r="J42" i="85"/>
  <c r="AE26" i="69"/>
  <c r="AE6" i="69"/>
  <c r="A8" i="69"/>
  <c r="A9" i="69" s="1"/>
  <c r="A10" i="69" s="1"/>
  <c r="A11" i="69" s="1"/>
  <c r="A12" i="69" s="1"/>
  <c r="A13" i="69" s="1"/>
  <c r="A14" i="69" s="1"/>
  <c r="A15" i="69" s="1"/>
  <c r="A16" i="69" s="1"/>
  <c r="A17" i="69" s="1"/>
  <c r="A18" i="69" s="1"/>
  <c r="A19" i="69" s="1"/>
  <c r="A20" i="69" s="1"/>
  <c r="A21" i="69" s="1"/>
  <c r="J25" i="95" l="1"/>
  <c r="J7" i="95"/>
  <c r="K28" i="93"/>
  <c r="K6" i="94"/>
  <c r="J15" i="95"/>
  <c r="AE6" i="95"/>
  <c r="K6" i="95"/>
  <c r="X6" i="94"/>
  <c r="X6" i="95"/>
  <c r="J7" i="94"/>
  <c r="J35" i="94"/>
  <c r="AE28" i="93"/>
  <c r="AE27" i="93"/>
  <c r="K27" i="93"/>
  <c r="J22" i="95"/>
  <c r="AE6" i="94"/>
  <c r="J6" i="93"/>
  <c r="J26" i="93"/>
  <c r="J23" i="94"/>
  <c r="X28" i="93"/>
  <c r="X27" i="93"/>
  <c r="AM28" i="88"/>
  <c r="AM27" i="88"/>
  <c r="R28" i="88"/>
  <c r="R27" i="88"/>
  <c r="AF28" i="88"/>
  <c r="AF27" i="88"/>
  <c r="J7" i="85"/>
  <c r="X27" i="69"/>
  <c r="X28" i="69"/>
  <c r="J67" i="85"/>
  <c r="J47" i="85"/>
  <c r="AE6" i="85"/>
  <c r="J77" i="85"/>
  <c r="J22" i="85"/>
  <c r="J52" i="85"/>
  <c r="J27" i="85"/>
  <c r="J32" i="85"/>
  <c r="X6" i="85"/>
  <c r="J17" i="85"/>
  <c r="K6" i="85"/>
  <c r="J37" i="85"/>
  <c r="J62" i="85"/>
  <c r="J72" i="85"/>
  <c r="J12" i="85"/>
  <c r="J57" i="85"/>
  <c r="AE27" i="69"/>
  <c r="AE28" i="69"/>
  <c r="C7" i="69"/>
  <c r="E7" i="69"/>
  <c r="BI7" i="69"/>
  <c r="E8" i="69"/>
  <c r="I8" i="69"/>
  <c r="BF8" i="69"/>
  <c r="BJ8" i="69"/>
  <c r="D9" i="69"/>
  <c r="H9" i="69"/>
  <c r="E10" i="69"/>
  <c r="BL21" i="69"/>
  <c r="BH21" i="69"/>
  <c r="G21" i="69"/>
  <c r="C21" i="69"/>
  <c r="BI20" i="69"/>
  <c r="H20" i="69"/>
  <c r="D20" i="69"/>
  <c r="BJ19" i="69"/>
  <c r="BF19" i="69"/>
  <c r="I19" i="69"/>
  <c r="E19" i="69"/>
  <c r="BK18" i="69"/>
  <c r="BG18" i="69"/>
  <c r="F18" i="69"/>
  <c r="BL17" i="69"/>
  <c r="BH17" i="69"/>
  <c r="BK21" i="69"/>
  <c r="BG21" i="69"/>
  <c r="F21" i="69"/>
  <c r="BL20" i="69"/>
  <c r="BH20" i="69"/>
  <c r="G20" i="69"/>
  <c r="C20" i="69"/>
  <c r="BI19" i="69"/>
  <c r="H19" i="69"/>
  <c r="D19" i="69"/>
  <c r="BJ18" i="69"/>
  <c r="BF18" i="69"/>
  <c r="I18" i="69"/>
  <c r="E18" i="69"/>
  <c r="BK17" i="69"/>
  <c r="BG17" i="69"/>
  <c r="BJ21" i="69"/>
  <c r="BF21" i="69"/>
  <c r="I21" i="69"/>
  <c r="E21" i="69"/>
  <c r="BK20" i="69"/>
  <c r="BG20" i="69"/>
  <c r="BJ20" i="69"/>
  <c r="E20" i="69"/>
  <c r="BG19" i="69"/>
  <c r="BL18" i="69"/>
  <c r="G18" i="69"/>
  <c r="BI17" i="69"/>
  <c r="H17" i="69"/>
  <c r="D17" i="69"/>
  <c r="BJ16" i="69"/>
  <c r="BF16" i="69"/>
  <c r="I16" i="69"/>
  <c r="E16" i="69"/>
  <c r="BK15" i="69"/>
  <c r="BG15" i="69"/>
  <c r="F15" i="69"/>
  <c r="BL14" i="69"/>
  <c r="BH14" i="69"/>
  <c r="G14" i="69"/>
  <c r="C14" i="69"/>
  <c r="BI13" i="69"/>
  <c r="H13" i="69"/>
  <c r="D13" i="69"/>
  <c r="BJ12" i="69"/>
  <c r="BF12" i="69"/>
  <c r="I12" i="69"/>
  <c r="E12" i="69"/>
  <c r="BK11" i="69"/>
  <c r="BG11" i="69"/>
  <c r="F11" i="69"/>
  <c r="BL10" i="69"/>
  <c r="BH10" i="69"/>
  <c r="G10" i="69"/>
  <c r="C10" i="69"/>
  <c r="BI9" i="69"/>
  <c r="BI21" i="69"/>
  <c r="BF20" i="69"/>
  <c r="BL19" i="69"/>
  <c r="G19" i="69"/>
  <c r="BI18" i="69"/>
  <c r="D18" i="69"/>
  <c r="BF17" i="69"/>
  <c r="G17" i="69"/>
  <c r="C17" i="69"/>
  <c r="BI16" i="69"/>
  <c r="H16" i="69"/>
  <c r="D16" i="69"/>
  <c r="BJ15" i="69"/>
  <c r="BF15" i="69"/>
  <c r="I15" i="69"/>
  <c r="E15" i="69"/>
  <c r="BK14" i="69"/>
  <c r="BG14" i="69"/>
  <c r="F14" i="69"/>
  <c r="BL13" i="69"/>
  <c r="BH13" i="69"/>
  <c r="G13" i="69"/>
  <c r="C13" i="69"/>
  <c r="BI12" i="69"/>
  <c r="H12" i="69"/>
  <c r="D12" i="69"/>
  <c r="BJ11" i="69"/>
  <c r="BF11" i="69"/>
  <c r="I11" i="69"/>
  <c r="E11" i="69"/>
  <c r="BK10" i="69"/>
  <c r="BG10" i="69"/>
  <c r="F10" i="69"/>
  <c r="BL9" i="69"/>
  <c r="BH9" i="69"/>
  <c r="H21" i="69"/>
  <c r="I20" i="69"/>
  <c r="BK19" i="69"/>
  <c r="F19" i="69"/>
  <c r="BH18" i="69"/>
  <c r="C18" i="69"/>
  <c r="F17" i="69"/>
  <c r="BL16" i="69"/>
  <c r="BH16" i="69"/>
  <c r="G16" i="69"/>
  <c r="C16" i="69"/>
  <c r="BI15" i="69"/>
  <c r="H15" i="69"/>
  <c r="D15" i="69"/>
  <c r="BJ14" i="69"/>
  <c r="BF14" i="69"/>
  <c r="I14" i="69"/>
  <c r="E14" i="69"/>
  <c r="BK13" i="69"/>
  <c r="BG13" i="69"/>
  <c r="F13" i="69"/>
  <c r="BL12" i="69"/>
  <c r="BH12" i="69"/>
  <c r="G12" i="69"/>
  <c r="C12" i="69"/>
  <c r="BI11" i="69"/>
  <c r="H11" i="69"/>
  <c r="D11" i="69"/>
  <c r="BJ10" i="69"/>
  <c r="BF10" i="69"/>
  <c r="D21" i="69"/>
  <c r="F20" i="69"/>
  <c r="BH19" i="69"/>
  <c r="C19" i="69"/>
  <c r="H18" i="69"/>
  <c r="BJ17" i="69"/>
  <c r="I17" i="69"/>
  <c r="E17" i="69"/>
  <c r="BK16" i="69"/>
  <c r="BG16" i="69"/>
  <c r="F16" i="69"/>
  <c r="BL15" i="69"/>
  <c r="BH15" i="69"/>
  <c r="G15" i="69"/>
  <c r="C15" i="69"/>
  <c r="BI14" i="69"/>
  <c r="H14" i="69"/>
  <c r="D14" i="69"/>
  <c r="BJ13" i="69"/>
  <c r="BF13" i="69"/>
  <c r="I13" i="69"/>
  <c r="E13" i="69"/>
  <c r="BK12" i="69"/>
  <c r="BG12" i="69"/>
  <c r="F12" i="69"/>
  <c r="BL11" i="69"/>
  <c r="BH11" i="69"/>
  <c r="G11" i="69"/>
  <c r="C11" i="69"/>
  <c r="BI10" i="69"/>
  <c r="H10" i="69"/>
  <c r="D10" i="69"/>
  <c r="BJ9" i="69"/>
  <c r="I7" i="69"/>
  <c r="F7" i="69"/>
  <c r="BF7" i="69"/>
  <c r="BJ7" i="69"/>
  <c r="F8" i="69"/>
  <c r="BG8" i="69"/>
  <c r="BK8" i="69"/>
  <c r="E9" i="69"/>
  <c r="I9" i="69"/>
  <c r="BF9" i="69"/>
  <c r="I10" i="69"/>
  <c r="BK25" i="69"/>
  <c r="BG25" i="69"/>
  <c r="BJ25" i="69"/>
  <c r="BF25" i="69"/>
  <c r="BH25" i="69"/>
  <c r="H25" i="69"/>
  <c r="D25" i="69"/>
  <c r="BJ24" i="69"/>
  <c r="BF24" i="69"/>
  <c r="I24" i="69"/>
  <c r="E24" i="69"/>
  <c r="BK23" i="69"/>
  <c r="BG23" i="69"/>
  <c r="F23" i="69"/>
  <c r="G25" i="69"/>
  <c r="C25" i="69"/>
  <c r="BI24" i="69"/>
  <c r="H24" i="69"/>
  <c r="D24" i="69"/>
  <c r="BJ23" i="69"/>
  <c r="BF23" i="69"/>
  <c r="I23" i="69"/>
  <c r="E23" i="69"/>
  <c r="BL25" i="69"/>
  <c r="F25" i="69"/>
  <c r="BL24" i="69"/>
  <c r="BH24" i="69"/>
  <c r="G24" i="69"/>
  <c r="C24" i="69"/>
  <c r="BI23" i="69"/>
  <c r="H23" i="69"/>
  <c r="D23" i="69"/>
  <c r="I25" i="69"/>
  <c r="F24" i="69"/>
  <c r="C23" i="69"/>
  <c r="BI25" i="69"/>
  <c r="E25" i="69"/>
  <c r="BL23" i="69"/>
  <c r="BK24" i="69"/>
  <c r="BH23" i="69"/>
  <c r="BG24" i="69"/>
  <c r="G23" i="69"/>
  <c r="G7" i="69"/>
  <c r="BG7" i="69"/>
  <c r="BK7" i="69"/>
  <c r="C8" i="69"/>
  <c r="G8" i="69"/>
  <c r="BH8" i="69"/>
  <c r="BL8" i="69"/>
  <c r="F9" i="69"/>
  <c r="BG9" i="69"/>
  <c r="D7" i="69"/>
  <c r="H7" i="69"/>
  <c r="BH7" i="69"/>
  <c r="BL7" i="69"/>
  <c r="D8" i="69"/>
  <c r="H8" i="69"/>
  <c r="BI8" i="69"/>
  <c r="C9" i="69"/>
  <c r="G9" i="69"/>
  <c r="BK9" i="69"/>
  <c r="J6" i="95" l="1"/>
  <c r="J28" i="93"/>
  <c r="J27" i="93"/>
  <c r="J6" i="94"/>
  <c r="J6" i="85"/>
  <c r="BF6" i="69"/>
  <c r="BL6" i="69"/>
  <c r="BH6" i="69"/>
  <c r="BJ26" i="69"/>
  <c r="BH26" i="69"/>
  <c r="BF26" i="69"/>
  <c r="BJ6" i="69"/>
  <c r="BL26" i="69"/>
  <c r="BG6" i="69"/>
  <c r="BI26" i="69"/>
  <c r="BG26" i="69"/>
  <c r="BK26" i="69"/>
  <c r="BI6" i="69"/>
  <c r="BK6" i="69"/>
  <c r="BL28" i="69" l="1"/>
  <c r="BG28" i="69"/>
  <c r="BH28" i="69"/>
  <c r="BK28" i="69"/>
  <c r="BI28" i="69"/>
  <c r="BJ28" i="69"/>
  <c r="BF27" i="69"/>
  <c r="BF28" i="69"/>
  <c r="BG27" i="69"/>
  <c r="BL27" i="69"/>
  <c r="BH27" i="69"/>
  <c r="BJ27" i="69"/>
  <c r="BK27" i="69"/>
  <c r="BI27" i="69"/>
  <c r="BE26" i="69" l="1"/>
  <c r="BD26" i="69"/>
  <c r="BC26" i="69"/>
  <c r="BB26" i="69"/>
  <c r="BA26" i="69"/>
  <c r="AY26" i="69"/>
  <c r="AX26" i="69"/>
  <c r="AW26" i="69"/>
  <c r="AV26" i="69"/>
  <c r="AU26" i="69"/>
  <c r="AT26" i="69"/>
  <c r="AR26" i="69"/>
  <c r="AQ26" i="69"/>
  <c r="AP26" i="69"/>
  <c r="AO26" i="69"/>
  <c r="AN26" i="69"/>
  <c r="AM26" i="69"/>
  <c r="AK26" i="69"/>
  <c r="O26" i="69"/>
  <c r="N26" i="69"/>
  <c r="M26" i="69"/>
  <c r="L26" i="69"/>
  <c r="I26" i="69"/>
  <c r="H26" i="69"/>
  <c r="G26" i="69"/>
  <c r="F26" i="69"/>
  <c r="E26" i="69"/>
  <c r="C26" i="69"/>
  <c r="BD6" i="69"/>
  <c r="BC6" i="69"/>
  <c r="BB6" i="69"/>
  <c r="BA6" i="69"/>
  <c r="AW6" i="69"/>
  <c r="AV6" i="69"/>
  <c r="AU6" i="69"/>
  <c r="AT6" i="69"/>
  <c r="AP6" i="69"/>
  <c r="AO6" i="69"/>
  <c r="AN6" i="69"/>
  <c r="AM6" i="69"/>
  <c r="O6" i="69"/>
  <c r="N6" i="69"/>
  <c r="M6" i="69"/>
  <c r="L6" i="69"/>
  <c r="H6" i="69"/>
  <c r="G6" i="69"/>
  <c r="F6" i="69"/>
  <c r="E6" i="69"/>
  <c r="AU27" i="69" l="1"/>
  <c r="G28" i="69"/>
  <c r="L28" i="69"/>
  <c r="AW28" i="69"/>
  <c r="BB28" i="69"/>
  <c r="H28" i="69"/>
  <c r="M28" i="69"/>
  <c r="AT28" i="69"/>
  <c r="BC28" i="69"/>
  <c r="E28" i="69"/>
  <c r="N28" i="69"/>
  <c r="AU28" i="69"/>
  <c r="BD28" i="69"/>
  <c r="F28" i="69"/>
  <c r="O28" i="69"/>
  <c r="AV28" i="69"/>
  <c r="BA28" i="69"/>
  <c r="AN28" i="69"/>
  <c r="AO28" i="69"/>
  <c r="AP28" i="69"/>
  <c r="AM28" i="69"/>
  <c r="F27" i="69"/>
  <c r="H27" i="69"/>
  <c r="BD27" i="69"/>
  <c r="BC27" i="69"/>
  <c r="AO27" i="69"/>
  <c r="AP27" i="69"/>
  <c r="L27" i="69"/>
  <c r="M27" i="69"/>
  <c r="E27" i="69"/>
  <c r="G27" i="69"/>
  <c r="BB27" i="69"/>
  <c r="AT27" i="69"/>
  <c r="AN27" i="69"/>
  <c r="AV27" i="69"/>
  <c r="N27" i="69"/>
  <c r="AW27" i="69"/>
  <c r="O27" i="69"/>
  <c r="AM27" i="69"/>
  <c r="BA27" i="69"/>
  <c r="AQ6" i="69" l="1"/>
  <c r="AQ28" i="69" s="1"/>
  <c r="AY6" i="69"/>
  <c r="AY28" i="69" s="1"/>
  <c r="I6" i="69"/>
  <c r="I28" i="69" s="1"/>
  <c r="BE6" i="69"/>
  <c r="BE28" i="69" s="1"/>
  <c r="C6" i="69"/>
  <c r="AK6" i="69"/>
  <c r="AK28" i="69" s="1"/>
  <c r="AR6" i="69"/>
  <c r="AR28" i="69" s="1"/>
  <c r="AX6" i="69"/>
  <c r="AX28" i="69" s="1"/>
  <c r="AY27" i="69" l="1"/>
  <c r="AR27" i="69"/>
  <c r="C27" i="69"/>
  <c r="C28" i="69"/>
  <c r="AQ27" i="69"/>
  <c r="I27" i="69"/>
  <c r="AX27" i="69"/>
  <c r="AK27" i="69"/>
  <c r="BE27" i="69"/>
  <c r="AL26" i="69" l="1"/>
  <c r="K26" i="69"/>
  <c r="AL6" i="69"/>
  <c r="K6" i="69"/>
  <c r="AZ26" i="69"/>
  <c r="D26" i="69"/>
  <c r="AZ6" i="69"/>
  <c r="D6" i="69"/>
  <c r="AS26" i="69"/>
  <c r="AS6" i="69"/>
  <c r="AL28" i="69" l="1"/>
  <c r="K28" i="69"/>
  <c r="D28" i="69"/>
  <c r="AS28" i="69"/>
  <c r="AZ28" i="69"/>
  <c r="K27" i="69"/>
  <c r="AL27" i="69"/>
  <c r="AS27" i="69"/>
  <c r="D27" i="69"/>
  <c r="AZ27" i="69"/>
  <c r="J6" i="69" l="1"/>
  <c r="J26" i="69"/>
  <c r="J28" i="69" l="1"/>
  <c r="J27" i="69"/>
</calcChain>
</file>

<file path=xl/sharedStrings.xml><?xml version="1.0" encoding="utf-8"?>
<sst xmlns="http://schemas.openxmlformats.org/spreadsheetml/2006/main" count="8992" uniqueCount="2112">
  <si>
    <t>Асака банк</t>
  </si>
  <si>
    <t>Турон банк</t>
  </si>
  <si>
    <t>Траст банк</t>
  </si>
  <si>
    <t>Ипотека банк</t>
  </si>
  <si>
    <t>Миллий банк</t>
  </si>
  <si>
    <t>№</t>
  </si>
  <si>
    <t>Саноат</t>
  </si>
  <si>
    <t>Агро банк</t>
  </si>
  <si>
    <t>Алоқа банк</t>
  </si>
  <si>
    <t>Қишлоқ хўжалиги</t>
  </si>
  <si>
    <t>Хизмат кўрсатиш</t>
  </si>
  <si>
    <t>Мебель ва қоғоз саноати</t>
  </si>
  <si>
    <t>Қурилиш материаллари саноати</t>
  </si>
  <si>
    <t>Озиқ-овқат саноати</t>
  </si>
  <si>
    <t>Фармацевтика саноати</t>
  </si>
  <si>
    <t>Шаҳар 
(туман)
 номи</t>
  </si>
  <si>
    <t>Лойиҳа 
ташаббускори</t>
  </si>
  <si>
    <t>Лойиҳа номи</t>
  </si>
  <si>
    <t>Лойиҳа йўналиши
(саноат, 
қишлоқ хўжалиги,
 хизмат кўрсатиш)</t>
  </si>
  <si>
    <t>Лойиҳа қиймати, 
млн сўмда</t>
  </si>
  <si>
    <t>шу жумладан, молиялаштириш манбалари</t>
  </si>
  <si>
    <t>Хорижий инвестор</t>
  </si>
  <si>
    <t>Ишга тушиш муддати</t>
  </si>
  <si>
    <t>Ўлчов 
бирлиги</t>
  </si>
  <si>
    <t>натурал қийматда</t>
  </si>
  <si>
    <t>ишлаб чиқариш ҳажми,
млн. сўм</t>
  </si>
  <si>
    <t>ўз маблағи,
 млн. сўм</t>
  </si>
  <si>
    <t>банк кредити,
 млн. сўм</t>
  </si>
  <si>
    <t>хорижий кредит линия,
минг дол.</t>
  </si>
  <si>
    <t>хорижий инвес-тиция,
минг дол.</t>
  </si>
  <si>
    <t>Маиший хизмат кўрсатиш</t>
  </si>
  <si>
    <t>Чарм-пойабзал саноати</t>
  </si>
  <si>
    <t>Электротехника саноати</t>
  </si>
  <si>
    <t>Савдогар банк</t>
  </si>
  <si>
    <t>Текстиль ва тўқимачилик саноати</t>
  </si>
  <si>
    <t xml:space="preserve">Тармоқлар </t>
  </si>
  <si>
    <t>Чорвачиликни ривожлантириш</t>
  </si>
  <si>
    <t>Замонавий иссиқхона ташкил этиш</t>
  </si>
  <si>
    <t>Боғдорчиликни ривожлантириш</t>
  </si>
  <si>
    <t>Паррандачиликни ривожлантириш</t>
  </si>
  <si>
    <t>Балиқчиликни ривожлантириш</t>
  </si>
  <si>
    <t>Музлаткичли омборхона ташкил этиш</t>
  </si>
  <si>
    <t>Асаларичиликни ривожлантириш</t>
  </si>
  <si>
    <t>Машинасозлик ва эҳтиёт қисмлар саноати</t>
  </si>
  <si>
    <t>Савдо хизматлари</t>
  </si>
  <si>
    <t>Транспорт хизматлари</t>
  </si>
  <si>
    <t>Туризм хизматлари</t>
  </si>
  <si>
    <t>Интенсив боғ ташкил қилиш</t>
  </si>
  <si>
    <t>Бошқа хизматлар</t>
  </si>
  <si>
    <t>Кимё саноати</t>
  </si>
  <si>
    <t>Кафе ва ресторан хизматлари</t>
  </si>
  <si>
    <t>Бошқа саноат тармоқлари</t>
  </si>
  <si>
    <t>Ёғ-мой саноати</t>
  </si>
  <si>
    <t>Металлургия саноати</t>
  </si>
  <si>
    <t>Озуқа ем маҳсулотлари ишлаб чиқариш саноати</t>
  </si>
  <si>
    <t>Ипакчилик саноати</t>
  </si>
  <si>
    <t>Таълим хизматлари</t>
  </si>
  <si>
    <t>Қушхона хизматлари</t>
  </si>
  <si>
    <t>Замонавий уй-жойлар қуриш</t>
  </si>
  <si>
    <t>Автомобилларга техник хизмат кўрсатиш хизматлари</t>
  </si>
  <si>
    <t>Спорт ва соғломлаштириш хизматлари</t>
  </si>
  <si>
    <t>Жами 2020 йилда ўзлашти-риладиган маблағлар, 
млн сўмда</t>
  </si>
  <si>
    <t>шу жумладан, 2020 йилда ўзлаштириладиган маблағлар</t>
  </si>
  <si>
    <t>Қишлоқ хўжалиги маҳсулотларини етиштириш</t>
  </si>
  <si>
    <t>Логистика марказлари</t>
  </si>
  <si>
    <t>Автомобилсозлик саноати</t>
  </si>
  <si>
    <t>Меҳмонхона хизмати</t>
  </si>
  <si>
    <t xml:space="preserve">Йиллик ишлаб чиқариш қуввати </t>
  </si>
  <si>
    <t>режа</t>
  </si>
  <si>
    <t>амалда</t>
  </si>
  <si>
    <t>Иш ўринлари</t>
  </si>
  <si>
    <t>хорижий инвестиция,
минг дол.</t>
  </si>
  <si>
    <t>Т/р</t>
  </si>
  <si>
    <t>Йил охиригача ишга тушиши кутилаётган лойиҳалар</t>
  </si>
  <si>
    <t>Ишга тушмаган лойиҳалар</t>
  </si>
  <si>
    <t>Сони</t>
  </si>
  <si>
    <t>иш ўрни</t>
  </si>
  <si>
    <t>ЖАМИ</t>
  </si>
  <si>
    <t>Шундан йўналишлар бўйича</t>
  </si>
  <si>
    <t>2020-2022 йиллар давомида амалга ошириладиган худудий инвестиция лойиҳалар</t>
  </si>
  <si>
    <t>Ҳақиқатда ўзлаштирилган маблағлар</t>
  </si>
  <si>
    <t>Иш ўрни</t>
  </si>
  <si>
    <t>шундан.</t>
  </si>
  <si>
    <t>банк кредити (млн.сўм)</t>
  </si>
  <si>
    <t>Ҳамкор банк</t>
  </si>
  <si>
    <t>Вилоятлар
 номи</t>
  </si>
  <si>
    <t>Хизмат кўрсатувчи банк</t>
  </si>
  <si>
    <t>ИНН</t>
  </si>
  <si>
    <t>ер ажратиш</t>
  </si>
  <si>
    <t>сана</t>
  </si>
  <si>
    <t>ер майдони 
(га)</t>
  </si>
  <si>
    <t>хорижий инвестор номи</t>
  </si>
  <si>
    <t>давлати</t>
  </si>
  <si>
    <t>олиб келинган дастгоҳ ҳолати (ўрнатилмаган, ўрнатилган ва ишлатилмоқда)</t>
  </si>
  <si>
    <t>Экспорт ҳажми (минг долл.)</t>
  </si>
  <si>
    <t>Бугунда ишга тушган, лекин ишламаётган лойиҳа 
(1)</t>
  </si>
  <si>
    <t>Ишга тушган, лекин ишламаётган лойиҳанинг 
сабаби</t>
  </si>
  <si>
    <t>Тақдимот қилинган лойиҳалар (1)</t>
  </si>
  <si>
    <t>Лойиҳавий қуввати</t>
  </si>
  <si>
    <t>лойиҳавий қувватга нисбатан (сўмдаги қийматга)
фоизда</t>
  </si>
  <si>
    <t>Бугунги кунда амалдаги қувват</t>
  </si>
  <si>
    <t>Истиқболсиз деб топилаётган лойиҳа 
(1)</t>
  </si>
  <si>
    <t>шундан</t>
  </si>
  <si>
    <t>ишлаб чиқариш/хизмат кўрсатишдаги солиқ 
(млн сўм)</t>
  </si>
  <si>
    <t>ойлик иш ҳақининг даромад солиғи 
(млн сўм)</t>
  </si>
  <si>
    <t>ажратилмаган ҳажм 
(млн сўм)</t>
  </si>
  <si>
    <t>Муддати узайтирилиши лозим бўлган лойиҳалар</t>
  </si>
  <si>
    <t>сони 
(1)</t>
  </si>
  <si>
    <t>таклиф этилаётган сана</t>
  </si>
  <si>
    <t>Асос</t>
  </si>
  <si>
    <t>Сектор 
(1-Ҳоким сектори, 2-Прокурор сектори, 3-ИИБ сектори, 4-ДСИ сектори)</t>
  </si>
  <si>
    <t>Сурхондарё вилояти</t>
  </si>
  <si>
    <t>Ун ишлаб чиқаришни ташкил этиш</t>
  </si>
  <si>
    <t>Мебель ишлаб чиқаришни кенгайтириш</t>
  </si>
  <si>
    <t>Нон ва нон маҳсулотлари ишлаб чиқаришни ташкил этиш</t>
  </si>
  <si>
    <t>Мебел ишлаб чиқаришни ташкил этиш</t>
  </si>
  <si>
    <t>Мебель маҳсулотлари ишлаб чиқаришни ташкил этиш</t>
  </si>
  <si>
    <t>Мебель ишлаб чиқаришни ташкил этиш</t>
  </si>
  <si>
    <t>Ўсимлик ёғи ишлаб чиқаришни ташкил этиш</t>
  </si>
  <si>
    <t>Пайпоқ ишлаб чиқаришни ташкил этиш</t>
  </si>
  <si>
    <t>Сутни қайта ишлашни ташкил этиш</t>
  </si>
  <si>
    <t>Ғишт ишлаб чиқаришни ташкил этиш</t>
  </si>
  <si>
    <t>Техника хизматини ташкил этиш</t>
  </si>
  <si>
    <t>Маиший хизмат кўрсатишни ташкил этиш</t>
  </si>
  <si>
    <t>Тўйхона ташкил этиш</t>
  </si>
  <si>
    <t>Автомобилларга техник хизмат кўрсатишни ташкил этиш</t>
  </si>
  <si>
    <t>Савдо марказини ташкил этиш</t>
  </si>
  <si>
    <t>Дам олиш маскани ташкил этиш</t>
  </si>
  <si>
    <t>Узумчиликни ташкил этиш</t>
  </si>
  <si>
    <t>Паррандачилик комплекси ташкил этиш</t>
  </si>
  <si>
    <t>Паррандачиликни кенгайтириш</t>
  </si>
  <si>
    <t>Иссиқхона ташкил этиш</t>
  </si>
  <si>
    <t xml:space="preserve">Иссиқхона ташкил этиш </t>
  </si>
  <si>
    <t>Паррандачиликни ташкил этиш</t>
  </si>
  <si>
    <t>Чорвачиликни кенгайтириш</t>
  </si>
  <si>
    <t>Боғдорчилик ташкил этиш</t>
  </si>
  <si>
    <t>Чорвачиликни ташкил этиш</t>
  </si>
  <si>
    <t>Чорвачилик комплексини ташкил этиш</t>
  </si>
  <si>
    <t xml:space="preserve">Чорвачиликни ташкил этиш </t>
  </si>
  <si>
    <t>Интенсив усулда балиқчиликни ташкил этиш</t>
  </si>
  <si>
    <t>Қуёнчиликни ташкил этиш</t>
  </si>
  <si>
    <t>Балиқчиликни ташкил этиш</t>
  </si>
  <si>
    <t>Савдо мажмуаси ташкил этиш</t>
  </si>
  <si>
    <t>Автомобилларга техник хизмат кўрсатиш шахобчасини ташкил этиш</t>
  </si>
  <si>
    <t>Автомобилларга техник хизмат кўрсатиш</t>
  </si>
  <si>
    <t>Мактабгача таълим муассасаси ташкил этиш</t>
  </si>
  <si>
    <t>Боғдорчиликни ташкил этиш</t>
  </si>
  <si>
    <t xml:space="preserve">Чорвачиликни ривожлантириш </t>
  </si>
  <si>
    <t>Чорвачилик фаолиятини кенгайтириш</t>
  </si>
  <si>
    <t>Нон ва нон махсулотлари ишлаб чиқаришни ташкил этиш</t>
  </si>
  <si>
    <t>Боғдорчилик</t>
  </si>
  <si>
    <t>Хусусий клиника ташкил этиш</t>
  </si>
  <si>
    <t>Меҳмонхона хизматини ташкил этиш</t>
  </si>
  <si>
    <t>Фитнес клуб ташкил этиш</t>
  </si>
  <si>
    <t>Миллий ширинликлар ишлаб чиқаришни ташкил этиш</t>
  </si>
  <si>
    <t>Хусусий клиника ташкил қилиш</t>
  </si>
  <si>
    <t>5</t>
  </si>
  <si>
    <t>3</t>
  </si>
  <si>
    <t>Иссикхона ташкил этиш</t>
  </si>
  <si>
    <t>Баликчиликни ривожлантириш</t>
  </si>
  <si>
    <t>Чорвачилик ривожлантириш</t>
  </si>
  <si>
    <t>Мехмонхона хизматини ташкил этиш</t>
  </si>
  <si>
    <t>Техника хизмати ташкил этиш</t>
  </si>
  <si>
    <t>Ўқув маркази ташкил этиш</t>
  </si>
  <si>
    <t>Махсус техника хизматини ташкил этиш</t>
  </si>
  <si>
    <t>Замонавий иссиқхона ташкил қилиш</t>
  </si>
  <si>
    <t>Темир-бетон маҳсулотларини ишлаб чиқариш</t>
  </si>
  <si>
    <t>Ангор тумани</t>
  </si>
  <si>
    <t>Техника хизмат кўрсатишни ташкил этиш</t>
  </si>
  <si>
    <t>"Улфат Ангор" ФХ</t>
  </si>
  <si>
    <t>Иссиқхона ташкил қилиш</t>
  </si>
  <si>
    <t xml:space="preserve">Азизбек-Азмина-Сабина МЧЖ </t>
  </si>
  <si>
    <t>Нодавлат МТМ ташкил қилиш</t>
  </si>
  <si>
    <t>Зилола-Сарвар-Сурхон ф/х</t>
  </si>
  <si>
    <t>Логистика маркази ташкил қилиш</t>
  </si>
  <si>
    <t>Маиший хизмат кўрсатиш нуқтаси ташкил этиш</t>
  </si>
  <si>
    <t>Собир Чорвачилик Ф/х</t>
  </si>
  <si>
    <t>Фирдавс Элбек Тоур МЧЖ</t>
  </si>
  <si>
    <t>Ички туризмни ривожлантириш
(транспорт хизматлари)</t>
  </si>
  <si>
    <t>"Top Quality-Brand" МЧЖ</t>
  </si>
  <si>
    <t>Терини қайта ишлаш</t>
  </si>
  <si>
    <t>ELNURBEK SURXON Ф/Х</t>
  </si>
  <si>
    <t>Иссиқхона (Гидропоника усули) ташкил этиш</t>
  </si>
  <si>
    <t>Бандихон тумани</t>
  </si>
  <si>
    <t>"BEST GARDEN томорқа хизмати" МЧЖ</t>
  </si>
  <si>
    <t xml:space="preserve"> Томат пастаси ишлаб чиқаришни ташкил этиш</t>
  </si>
  <si>
    <t>"Бахриддин нур" Ф/Х</t>
  </si>
  <si>
    <t>Бойсун тумани</t>
  </si>
  <si>
    <t>"AZIA BETON SURXON" МЧЖ</t>
  </si>
  <si>
    <t>Бетон ва цементдан  буюмлар ишлаб чиқаришни ташкил этиш</t>
  </si>
  <si>
    <t>"Bird Uz" МЧЖ</t>
  </si>
  <si>
    <t>Парранда учун ем ишлаб чиқаришни  ташкил этиш</t>
  </si>
  <si>
    <t>Керамзит ишлаб чиқаришни ташкил этиш</t>
  </si>
  <si>
    <t>Замонавий меҳмонхона ташкил этиш (30 ўрин)</t>
  </si>
  <si>
    <t>1000</t>
  </si>
  <si>
    <t>Бойсун Сабрина Файз МЧЖ</t>
  </si>
  <si>
    <t>Газа бунёдкори ХК</t>
  </si>
  <si>
    <t>Меҳмонхона хизмати кенгайтириш.</t>
  </si>
  <si>
    <t>МЎМИН ХКК</t>
  </si>
  <si>
    <t>Меҳмонхона хизматини ташкил қилиш (20 урин)</t>
  </si>
  <si>
    <t>Термиз тезкор қурилиш ИТКТ</t>
  </si>
  <si>
    <t>Замонавий мехмонхона 
(45 ўрин) ва умумий овқатланиш нуқтасини ташкил этиш</t>
  </si>
  <si>
    <t>Тўкин Фазилат ХФ</t>
  </si>
  <si>
    <t>"Алишер" хусусий савдо фирмаси</t>
  </si>
  <si>
    <t>Гипсакартон ишлаб чиқариш</t>
  </si>
  <si>
    <t>Ун ишлаб чиқариш</t>
  </si>
  <si>
    <t>Бўри тахти ф/х</t>
  </si>
  <si>
    <t>Чорвачиликни комплексини (Чорвачилик, паррандачилик, боғ ва токзор ташкил этиш)</t>
  </si>
  <si>
    <t>Зилол МЧЖ</t>
  </si>
  <si>
    <t>Замонавий мехмонхона хизматини ташкил этиш</t>
  </si>
  <si>
    <t>Денов тумани</t>
  </si>
  <si>
    <t>Тош майдалаш ва махсус техника</t>
  </si>
  <si>
    <t>Жарқўрғон тумани</t>
  </si>
  <si>
    <t>0</t>
  </si>
  <si>
    <t>Бунёд сервис МЧЖ</t>
  </si>
  <si>
    <t>Жарқўрғон ободонлаштириш МЧЖ</t>
  </si>
  <si>
    <t>Қурилиш материаллари (асфальт) модернизация қилиш</t>
  </si>
  <si>
    <t>Мукаммал инвест ИЧЖ</t>
  </si>
  <si>
    <t>Махсус курилиш техникалар сотиб олиш</t>
  </si>
  <si>
    <t>Эътиборхон Рахимова ХК</t>
  </si>
  <si>
    <t>Кислород ишлаб чиқаришни кенгайтириш</t>
  </si>
  <si>
    <t>"Жайхун Чорва Насилчилик Кластер" МЧЖ</t>
  </si>
  <si>
    <t>3500</t>
  </si>
  <si>
    <t>1500</t>
  </si>
  <si>
    <t>Омон ўғли Искандар МЧЖ</t>
  </si>
  <si>
    <t>Чорвачиликни ташкилд этиш</t>
  </si>
  <si>
    <t>400</t>
  </si>
  <si>
    <t>Қизириқ тумани</t>
  </si>
  <si>
    <t>"Қизириқ авто хизмат" МЧЖ</t>
  </si>
  <si>
    <t xml:space="preserve">Тиббий хизмат кўрсатишни кенгайтириш </t>
  </si>
  <si>
    <t>"Сурхондарё Агрохизмат" МЧЖ
(1-босқич)</t>
  </si>
  <si>
    <t>"Сурхондарё Агрохизмат" МЧЖ
(2-босқич)</t>
  </si>
  <si>
    <t>Food palace OK</t>
  </si>
  <si>
    <t>Савдо ва маиший нуқталарини ташкил этиш</t>
  </si>
  <si>
    <t>Дилшодбек келажаги  хусусий корхонаси</t>
  </si>
  <si>
    <t>Аҳолига маиший хизмат кўрсатиш (Сартарошхона, нонвойхона, ҳаммом, тикув цехи) шаҳобчасини ташкил этиш</t>
  </si>
  <si>
    <t xml:space="preserve">Лак бўёқлари ишлаб чиқаришни ташкил этиш  </t>
  </si>
  <si>
    <t>Музқаймоқ ишлаб чиқаришни ташкил этиш</t>
  </si>
  <si>
    <t>Миржалол боғи агрофирмаси МЧЖ</t>
  </si>
  <si>
    <t>Мевани қуритиш ва қадоқлашни ташкил этиш</t>
  </si>
  <si>
    <t xml:space="preserve">Сурхон Бурул Инвест МЧЖ </t>
  </si>
  <si>
    <t xml:space="preserve">Қизириқ Асл боғлари МЧЖ </t>
  </si>
  <si>
    <t>Усанбобо 2020 ФХ</t>
  </si>
  <si>
    <t>Қумқўрғон тумани</t>
  </si>
  <si>
    <t>"ASADBEK IMKON MAKS" фермер хўжалиги</t>
  </si>
  <si>
    <t xml:space="preserve">"Surxon sanoat ishlab chiqarish" МЧЖ </t>
  </si>
  <si>
    <t>"Бизнес капитал" МЧЖ</t>
  </si>
  <si>
    <t xml:space="preserve">"Жозиба мебил" ХК </t>
  </si>
  <si>
    <t>ДСП ва ламинантция ишлаб чиқаришни ташкил этиш</t>
  </si>
  <si>
    <t>"Кумкургон эко постерс" хусусий корхонаси</t>
  </si>
  <si>
    <t>хўжалик қоғози ишлаб чиқаришни кенгайтириш</t>
  </si>
  <si>
    <t>Замонавий иссиқхона ташкил қилиш.(лимончиликни ташкил қилиш)</t>
  </si>
  <si>
    <t>Агро вассил трансс МЧЖ</t>
  </si>
  <si>
    <t>Балиқчиликни ташкил қилиш.</t>
  </si>
  <si>
    <t>Савдо ва маиший нуқтаси ташкил этиш</t>
  </si>
  <si>
    <t>Ботир Али ХК</t>
  </si>
  <si>
    <t>Диёра Сардор ХК</t>
  </si>
  <si>
    <t>Қорсоқли фх</t>
  </si>
  <si>
    <t>"Қувват дармон" МЧЖ</t>
  </si>
  <si>
    <t>Замонавий иссиқхона ҳамда биоклиника ташкил қилиш.</t>
  </si>
  <si>
    <t>Темур Малик холдинг МЧЖ</t>
  </si>
  <si>
    <t>Музқаймоқ ишлаб чиқариш</t>
  </si>
  <si>
    <t>Тўрт ўғлон МЧЖ</t>
  </si>
  <si>
    <t>Ўрол Зунирбек савдо х/к</t>
  </si>
  <si>
    <t>Эшқобил Хожимурод фх</t>
  </si>
  <si>
    <t>Компютер хизмати кўрсатиш</t>
  </si>
  <si>
    <t>"SURXON KOMBINATI" МЧЖ</t>
  </si>
  <si>
    <t>"Барака Савдо"МЧЖ</t>
  </si>
  <si>
    <t>Замонавий савдо комплекси ва маиший хизмат кўрсатиш нуқтасини ташкил этиш</t>
  </si>
  <si>
    <t>"Сурхон Лимончилик Агросаноат" МЧЖ</t>
  </si>
  <si>
    <t>Yagona servis plast ХК</t>
  </si>
  <si>
    <t>Қурилиш ва сантехника махсулотлари ишлаб чиқаришни ташкил қилиш</t>
  </si>
  <si>
    <t>"Сурхон голд гарден" МЧЖ</t>
  </si>
  <si>
    <t>"Қумқўрғон голд гарден" МЧЖ</t>
  </si>
  <si>
    <t>Замонавий типдаги Лимончилик иссиқхонаси ташкил қилиш</t>
  </si>
  <si>
    <t xml:space="preserve">"Кўганли қоракўлчилик чорваси чорваси" фермер хўжалиги </t>
  </si>
  <si>
    <t>Чорвачиликни ташкил қилиш. (қўйчилик)</t>
  </si>
  <si>
    <t>"Қумқўрғонлик Сирожиддин полвон" ОК</t>
  </si>
  <si>
    <t>Чорвачиликни ташкил қилиш. (Қорамол)</t>
  </si>
  <si>
    <t>"Nodirbek Zayniddinov" МЧЖ</t>
  </si>
  <si>
    <t>Чорвачиликни (қўйчиликни)  ташкил этиш</t>
  </si>
  <si>
    <t>Музработ тумани</t>
  </si>
  <si>
    <t>Мирислом Омад Сервис МЧЖ</t>
  </si>
  <si>
    <t>Сарбон ЭССЭ хусусий корхонаси</t>
  </si>
  <si>
    <t>Замонваий типдаги меҳмонхона ташкил этиш</t>
  </si>
  <si>
    <t xml:space="preserve">"Сурхон Агро Мажмуаси" МЧЖ </t>
  </si>
  <si>
    <t>Олтинсой тумани</t>
  </si>
  <si>
    <t>"Музлаткичли омборхона" ташкил этиш</t>
  </si>
  <si>
    <t>Мева-сабзавотни қайта ишлашни ташкил этиш</t>
  </si>
  <si>
    <t>"Нон ва нон  ишлаб чиқаришни" ташкил этиш</t>
  </si>
  <si>
    <t>"Автомобилларга Метан газ қўйиш шохобчасини" ташкил этиш</t>
  </si>
  <si>
    <t>"Войишли узум боғини" ташкил этиш</t>
  </si>
  <si>
    <t>Замоновий иссиқхона ташкил этиш</t>
  </si>
  <si>
    <t>"OLTINSOY BOG'DORCHILIK UZUMCHILIK VA AGROSANOAT KLASTERI " МЧЖ</t>
  </si>
  <si>
    <t>"Гўшт, сут маҳсулотларини ишлаб чиқариш ва қайта ишлаш"ни ташкиил этиш</t>
  </si>
  <si>
    <t>“Мега Агромир Экспорт” МЧЖ</t>
  </si>
  <si>
    <t xml:space="preserve">Замонавий боғдорчиликни ташкил этиш </t>
  </si>
  <si>
    <t>"Олтинсой Голден Инвест" МЧЖ</t>
  </si>
  <si>
    <t>Сариосиё тумани</t>
  </si>
  <si>
    <t>"Интернационал голден хаус" МЧЖ</t>
  </si>
  <si>
    <t>Давлат хизматлари агентлиги хизмати ташкил қилиш ва турар жой биносини қуриш</t>
  </si>
  <si>
    <t>Shuxrat Javohir Temirchi XK</t>
  </si>
  <si>
    <t>Металдан ҳар хил турдаги маҳсулотлар ишлаб чиқариш</t>
  </si>
  <si>
    <t>Рушана омад инвест
 МЧЖ</t>
  </si>
  <si>
    <t>Маиший хизмат қурсатишни кенгайтириш</t>
  </si>
  <si>
    <t>Шохида Шамсиддин МЧЖ</t>
  </si>
  <si>
    <t>қум шағал ишлаб чиқаришни ташкил этиш</t>
  </si>
  <si>
    <t>"ASIA ELECTRON" МЧЖ</t>
  </si>
  <si>
    <t>Сув диспенсерлари ва электротехника маҳсулотлари</t>
  </si>
  <si>
    <t>НИХОН ДАРА МЧЖ</t>
  </si>
  <si>
    <t>Термиз тумани</t>
  </si>
  <si>
    <t>Бетон маҳсулотлари ишлаб чиқаришни кенгайтириш</t>
  </si>
  <si>
    <t>"Барадаран Сатари" МЧЖ</t>
  </si>
  <si>
    <t>Жўжа етиштириш ва инкубация цехи ташкил этиш</t>
  </si>
  <si>
    <t>"Сурхон иссиқ нон" МЧЖ</t>
  </si>
  <si>
    <t>JAMSHID SILVER XK</t>
  </si>
  <si>
    <t>АГКТШ Муштарий МЧЖ</t>
  </si>
  <si>
    <t>Идеал қурилиш сурхон МЧЖ</t>
  </si>
  <si>
    <t>Соадатбону Азиза Термиз МЧЖ</t>
  </si>
  <si>
    <t>Универсал Аргалит
 МЧЖ</t>
  </si>
  <si>
    <t>Мехмонхона, рестаран, болалар ўйин майдончаси ва дам олиш маскани</t>
  </si>
  <si>
    <t>Савдо ва маиший хизмат кўрсатиш нуқтасини ташкил этиш</t>
  </si>
  <si>
    <t>"Termez National Carpets" МЧЖ</t>
  </si>
  <si>
    <t>Гилам маҳсулотларини ишлаб чиқаришни ташкил этиш</t>
  </si>
  <si>
    <t>Термиз Агро Фиш экспорт МЧЖ</t>
  </si>
  <si>
    <t>"ANVAR JASUR MANSUR"ОК</t>
  </si>
  <si>
    <t>Термиз шаҳри</t>
  </si>
  <si>
    <t>Замонавий умумий овқатланиш нуқтасини ташкил этиш</t>
  </si>
  <si>
    <t>"Unique Builders Construction Company" МЧЖ ҚК (UB "Mustorious Asia")</t>
  </si>
  <si>
    <t>Кўп қаватли турар жой ва нотурар жой мажмуаси барпо этиш</t>
  </si>
  <si>
    <t>"Насиба Рамз" МЧЖ</t>
  </si>
  <si>
    <t>Замонавий 3 қаватли умумий овқатланиш, маиший хизмат кўрсатиш шахобчасини ташкил этиш</t>
  </si>
  <si>
    <t>"Сардор сархади" МЧЖ</t>
  </si>
  <si>
    <t>Кўнгилочар (боулинг) марказини ташкил этиш</t>
  </si>
  <si>
    <t>"Саховат Ипак Сервис" МЧЖ</t>
  </si>
  <si>
    <t>Замонавий меҳмонхона ташкил этиш (138 ўрин) ва туризмни ривожлантириш</t>
  </si>
  <si>
    <t>"Сурхондарё таъмирлаш бутлаш" МЧЖ</t>
  </si>
  <si>
    <t>ДСП ва ламинат ишлаб чиқаришни ташкил этиш</t>
  </si>
  <si>
    <t>"Термиз тезкор қурилиш" ХК</t>
  </si>
  <si>
    <t>Муз саройи барпо этиш</t>
  </si>
  <si>
    <t>"Тошкент Термиз ҳамкор" МЧЖ</t>
  </si>
  <si>
    <t>Замонавий меҳмонхона (60 ўрин) ва савдо дўконларини ташкил этиш</t>
  </si>
  <si>
    <t>Al-Qasr Termez MCHJ</t>
  </si>
  <si>
    <t xml:space="preserve">Замонавий 9 қаватли меҳмонхона мажмуасини 1-босқичини ташкил этиш лойиҳасини амалга ошириш </t>
  </si>
  <si>
    <t>Тикувчиликни ташкил қилиш</t>
  </si>
  <si>
    <t>Termiz Med FARM MCHJ</t>
  </si>
  <si>
    <t>Болалар таглиги (памперс) ишлаб чиқариш</t>
  </si>
  <si>
    <t>Атлантис Оил Термиз МЧЖ</t>
  </si>
  <si>
    <t>Автомобилларга сиқлилган газ қуйиш шахобчаси</t>
  </si>
  <si>
    <t>Доник Омад Сервис МЧЖ</t>
  </si>
  <si>
    <t>М.М.А. Термиз тижорат МЧЖ</t>
  </si>
  <si>
    <t>Сурхон Термиз диёр МЧЖ</t>
  </si>
  <si>
    <t>Замонавий мебель ишлаб чиқаришни ташкил этиш</t>
  </si>
  <si>
    <t>Термиз қурилиш барака МЧЖ</t>
  </si>
  <si>
    <t>Фарзона фирдавс Термиз МЧЖ</t>
  </si>
  <si>
    <t>Транпорт хизматини ташкил этиш</t>
  </si>
  <si>
    <t>ЯТТ Мисирова Ойдин</t>
  </si>
  <si>
    <t>Маиший хизмат кўрсатиш (тўй маросимлари ўтқазиш)</t>
  </si>
  <si>
    <t>"KANI MED" ХК</t>
  </si>
  <si>
    <t>Замонавий Перинатал марказини ташкил этиш</t>
  </si>
  <si>
    <t>Узун тумани</t>
  </si>
  <si>
    <t>"Kapital Golden" МЧЖ ХК</t>
  </si>
  <si>
    <t>Уй жойлар қуришни ташкил этиш</t>
  </si>
  <si>
    <t>"Sohibkor Agro Trade" МЧЖ</t>
  </si>
  <si>
    <t>Маданий дам олиш учун кўнгил очар маскани барпо этиш</t>
  </si>
  <si>
    <t>"Садо чехра" ХК</t>
  </si>
  <si>
    <t>DILFUZA-SITORA SHIFO ХК</t>
  </si>
  <si>
    <t>Диагностика марказини ташкил этиш</t>
  </si>
  <si>
    <t>Узун Агро раббит МЧЖ</t>
  </si>
  <si>
    <t>Куёнчиликни ривожлантириш</t>
  </si>
  <si>
    <t>Ховот фермер хўжалиги</t>
  </si>
  <si>
    <t>Янги йўл юксалиш ифтихори МЧЖ</t>
  </si>
  <si>
    <t>"СУРХОНҚУРИЛИШ МАХСУЛОТЛАРИНИ ИШЛАБ ЧИҚАРИШ " Х/К</t>
  </si>
  <si>
    <t>Темир-бетон маҳсулотларини, апоралар бетон плиталар ишлаб чиқариш</t>
  </si>
  <si>
    <t>Тошкент Гранд Семент ХК</t>
  </si>
  <si>
    <t>"Амударё барака" МЧЖ ҚК</t>
  </si>
  <si>
    <t xml:space="preserve"> Сурхон Имкон Инвест МЧЖ </t>
  </si>
  <si>
    <t>Чорвачилик ташкил этиш</t>
  </si>
  <si>
    <t>"Узун Гранд Чорва" чорвачилик фермер хўжалиги</t>
  </si>
  <si>
    <t>мебел ишлаб чиқаришни ташкил этиш</t>
  </si>
  <si>
    <t>балиқчиликни ташкил этиш</t>
  </si>
  <si>
    <t>Шеробод тумани</t>
  </si>
  <si>
    <t>"Авф авто сервис" МЧЖ</t>
  </si>
  <si>
    <t>Автомобилларга техник хизмат кўрсатиш шоҳобчаси ташкил этиш</t>
  </si>
  <si>
    <t>"Билол Жануб Шер" МЧЖ</t>
  </si>
  <si>
    <t>Маиший хизмат ва автосервис хизматини ташкил этиш</t>
  </si>
  <si>
    <t xml:space="preserve">"Насаф универсал форум" МЧЖ </t>
  </si>
  <si>
    <t>Туз маҳсулотлари ишлаб чиқаришни ташкил этиш</t>
  </si>
  <si>
    <t>"Олтин воха порлоқ йўл" МЧЖ</t>
  </si>
  <si>
    <t>Юк автомашиналари тураргоҳи ва мотел ташкил этиш</t>
  </si>
  <si>
    <t>"Шайманбобо" ФХ</t>
  </si>
  <si>
    <t>Автомобилларга техник хизмат кўрсатиш ва савдо шахобчаси</t>
  </si>
  <si>
    <t>Гулгунча МТМ</t>
  </si>
  <si>
    <t>Расулов Тожи МЧЖ</t>
  </si>
  <si>
    <t>Совитгич ташкил этиш</t>
  </si>
  <si>
    <t>Тожи бобо савдо МЧЖ</t>
  </si>
  <si>
    <t>Шеробод Мехнат Рохат МЧЖ</t>
  </si>
  <si>
    <t>Намунавий уйлар қуриш ва савдо маиший хизмат кўрсатишни ташкил этиш</t>
  </si>
  <si>
    <t>"Кафолат кум шағал " МЧЖ</t>
  </si>
  <si>
    <t>Газобетон  махсулотлари ишлаб чиқаришни ташкил этиш ва махсус техника сотиб олиш</t>
  </si>
  <si>
    <t>4 қаватли маиший хизмат ва савдо мажмуаси ташкил этиш</t>
  </si>
  <si>
    <t>“Шеробод анор импекс” МЧЖ</t>
  </si>
  <si>
    <t>Шўрчи тумани</t>
  </si>
  <si>
    <t>Тўй ва маросимлар ўтказишни ташкил этиш</t>
  </si>
  <si>
    <t>Махсус техникани хизматлари</t>
  </si>
  <si>
    <t>"Sindur Trade" МЧЖ</t>
  </si>
  <si>
    <t>Бетон ва бетон маҳсулотлари ишлаб чиқариш</t>
  </si>
  <si>
    <t>"Zhong Wei" МЧЖ</t>
  </si>
  <si>
    <t>Замонавий уй жойларни қуриш, мехмонхона ва супермаркетни ташкил этиш</t>
  </si>
  <si>
    <t>Юк машиналарга техник хизмат кўрсатишни ташкил этиш</t>
  </si>
  <si>
    <t>"Голд Фиш" ОК</t>
  </si>
  <si>
    <t>Савдо ва маиший хизмат нуқтасини ташкил этиш</t>
  </si>
  <si>
    <t>"Жануб газ оил" МЧЖ</t>
  </si>
  <si>
    <t>Автомобилларга газ куйиш шахобчасини ташкил этиш</t>
  </si>
  <si>
    <t>"Нуралиев Абдулкасим"ЯТТ</t>
  </si>
  <si>
    <t>"Полвонтош" МЧЖ</t>
  </si>
  <si>
    <t>Курилиш материаллари ишлаб чикаришни ташкил килиш</t>
  </si>
  <si>
    <t>Алюмин профил ишлаб чикаришни ташкил этиш</t>
  </si>
  <si>
    <t>"Соат Абдуалим" ФХ</t>
  </si>
  <si>
    <t>Замонавий иссиқхонани ташкил этиш</t>
  </si>
  <si>
    <t>"Уста-Собир-Метал" оилавий корхонаси</t>
  </si>
  <si>
    <t>Бетон қувирлар (колодец) ишлаб чиқаришни ташкил этиш</t>
  </si>
  <si>
    <t>"Шўрчи Дон маҳсулотлари" АЖ</t>
  </si>
  <si>
    <t>Ишлаб чиқариш фаолиятини модернизация қилиш</t>
  </si>
  <si>
    <t>"Шўрчи Дон Сифали Нон" МЧЖ</t>
  </si>
  <si>
    <t>Нон ва қандолат маҳсулотларини ишлаб чиқаришни кенгайтииш</t>
  </si>
  <si>
    <t>"Шурчи Замин строй" МЧЖ</t>
  </si>
  <si>
    <t>Яхна ичимликлар ишлаб чикариш учун</t>
  </si>
  <si>
    <t>"Шўрчи Нилуфар" ОК</t>
  </si>
  <si>
    <t>Интенсив усулда суний балиқ кўлини ҳамда эко туризмни ташкил этиш</t>
  </si>
  <si>
    <t>"Шўрчи олтин тупроқ" МЧЖ</t>
  </si>
  <si>
    <t>Шағал ва қум ишлаб чиқариш</t>
  </si>
  <si>
    <t>"Шўрчи Турон Савдо" ишлаб чиқариш фирмаси</t>
  </si>
  <si>
    <t>фуқаро Янгибаев Рашид Холбаевич</t>
  </si>
  <si>
    <t>"Кабули Хашими" МЧЖ</t>
  </si>
  <si>
    <t>Буғдойни қайта ишлаб чиқариш ва экспортга йўналтириш</t>
  </si>
  <si>
    <t>Шўрчи Шакаркўл МЧЖ</t>
  </si>
  <si>
    <t>Савдо мажмуасини кенгайтириш</t>
  </si>
  <si>
    <t>"Ботирбек Рўзиевич" МЧЖ</t>
  </si>
  <si>
    <t>"Техника хизматини" ташкил этиш</t>
  </si>
  <si>
    <t>"Akbarali Abdumo'minov" MCHJ</t>
  </si>
  <si>
    <t>Маиший хизмат курсатишни ташкил этиш</t>
  </si>
  <si>
    <t>Сутни қайта ишлаш ташкил этиш</t>
  </si>
  <si>
    <t>Шаҳар, туман 
номи</t>
  </si>
  <si>
    <t>№02-3181</t>
  </si>
  <si>
    <t>Халқ банк</t>
  </si>
  <si>
    <t>Капиталбанк</t>
  </si>
  <si>
    <t xml:space="preserve"> "ABDURASULBOBO-ANGOR" MCHJ</t>
  </si>
  <si>
    <t xml:space="preserve"> "Tallimaron Nasl chorva" Ф/х</t>
  </si>
  <si>
    <t xml:space="preserve"> "Хуррамова Чорвачилик" Ф/х  </t>
  </si>
  <si>
    <t>"ABDIYEV MAMATQOBIL" Ф/х</t>
  </si>
  <si>
    <t>SEVINCH AVTOGAZ SOZLASH MCHJ</t>
  </si>
  <si>
    <t>Чарм-пойабзал маҳсулотларини ишлаб чиқаришни ташкил этиш</t>
  </si>
  <si>
    <t>Микрокредитбанк</t>
  </si>
  <si>
    <t>Човлиев Курбон ФХ</t>
  </si>
  <si>
    <t>Чорвачиликни ривожлантиришни ташкил этиш</t>
  </si>
  <si>
    <t>"Тулкин" ФХ</t>
  </si>
  <si>
    <t>"Тожихол Рузиева" ФХ</t>
  </si>
  <si>
    <t>"XUSNIDDIN CHORI" ХК</t>
  </si>
  <si>
    <t>Умумий овқатланиш нуқтаси, маросимлар ва банкетлар ўтказиш зали, 60 ўринли меҳмонхона, маиший хизмат кўрсатиш нуқталари ва 50 ўринли автотураргоҳ ташкил этиш</t>
  </si>
  <si>
    <t>Қишлоққурилишбанк</t>
  </si>
  <si>
    <t xml:space="preserve">"Top Quality-Brand" МЧЖ </t>
  </si>
  <si>
    <t>Аёллар сўмкаси, кошолок ва ремент (аёллар хамёни, барсетка) ишлаб чиқаришни ташкил этиш</t>
  </si>
  <si>
    <t>"SHARQONA ME'MOR ANGOR" ХК</t>
  </si>
  <si>
    <t>Қурилиш хўжалик моллари ва автомобил эҳтиёт қисмларини сотиш дўкони, автосервис 
ва техник хизмат кўрсатишни ташкил этиш</t>
  </si>
  <si>
    <t xml:space="preserve">"Хуррамов Исматиллохожи" Ф/х </t>
  </si>
  <si>
    <t>"ЯТТ Матиев Чори"</t>
  </si>
  <si>
    <t>Савдо комплекс ташкил этиш</t>
  </si>
  <si>
    <t xml:space="preserve">"Панжи Шифо Ангор" Х/К </t>
  </si>
  <si>
    <t>Автомобилларга сиқилган газ қуйиб бериш шахобчаси ташкил тиш</t>
  </si>
  <si>
    <t>Xare Beylak МЧЖ</t>
  </si>
  <si>
    <t>"Тўлқин Шабадаси" МЧж</t>
  </si>
  <si>
    <t>Махсус юк автомошинаси сотиб олиш</t>
  </si>
  <si>
    <t>"The Best Matters" МЧЖ</t>
  </si>
  <si>
    <t>"Малика Севинч Ангор" МЧЖ</t>
  </si>
  <si>
    <t>Тикувчиликни ташкил этиш учун</t>
  </si>
  <si>
    <t>"Surxon Golden Trade" МЧЖ</t>
  </si>
  <si>
    <t>Махаллий хокимликлар</t>
  </si>
  <si>
    <t>"Ангор Гулистон Мевалари" МЧЖ</t>
  </si>
  <si>
    <t>Азизбек Шеробод экспорт ФХ</t>
  </si>
  <si>
    <t>"Ангор Савдо Кўнгилочар Маркази" МЧЖ</t>
  </si>
  <si>
    <t>Ангор савдо кўнгилочар маркази ташкил этиш</t>
  </si>
  <si>
    <t>"Сурхон Намуна Метан Сервис" МЧЖ</t>
  </si>
  <si>
    <t>Автомобилларга сиқилган газ тўлдириш компрессор станцияси ташкил этиш</t>
  </si>
  <si>
    <t xml:space="preserve">"Хайиталибек Сурхон" МЧЖ </t>
  </si>
  <si>
    <t>Мотел ва хизмат кўрсатиш маркази ташкил этиш</t>
  </si>
  <si>
    <t>"Қозимбек Олтиной" ОК</t>
  </si>
  <si>
    <t>"Шоира Бизнес" ОК</t>
  </si>
  <si>
    <t>Тикувчилик ташкил этиш</t>
  </si>
  <si>
    <t>"Универсал бигллин" ОК</t>
  </si>
  <si>
    <t>Махалла гузари ташкил этиш лойиҳаси</t>
  </si>
  <si>
    <t>"Тилло балиқ Сурхон" Х/К</t>
  </si>
  <si>
    <t>Термиз бойсун қурилиш МЧЖ</t>
  </si>
  <si>
    <t xml:space="preserve"> "Тановар Сурхон" МЧЖ</t>
  </si>
  <si>
    <t>Нетхаус усулида Иссиқхона ва Музлаткичли омборхона ташкил этиш</t>
  </si>
  <si>
    <t xml:space="preserve"> "Huashen Silkworm Pro" МЧЖ ҚК</t>
  </si>
  <si>
    <t>Пиллачиликни ривожлантириш</t>
  </si>
  <si>
    <t>"ANGOR-MARVARIDI" МЧЖ</t>
  </si>
  <si>
    <t>50 ўринли меҳмонхона ташкил қилиш</t>
  </si>
  <si>
    <t>"Чарос Ангор" ОК</t>
  </si>
  <si>
    <t>Тикувчиликни кенгайтиришни ташкил этиш</t>
  </si>
  <si>
    <t xml:space="preserve">"Qayum Guzari" МЧЖ </t>
  </si>
  <si>
    <t>Фасадный краска ва қуруқ қоришмалар ишлаб чиқариш</t>
  </si>
  <si>
    <t>"Ангор Фарм" МЧЖ</t>
  </si>
  <si>
    <t>Биологик фаол қўшимчалар ва мазлар ишлаб чиқаришни ташкил этиш</t>
  </si>
  <si>
    <t>"GUL NUR BEK" Оилавий Корхона</t>
  </si>
  <si>
    <t>Нон ва нон маҳсулотлари ишлаб чикаришни ташкил этиш</t>
  </si>
  <si>
    <t>Инноватцион Техно Сервис МЧЖ</t>
  </si>
  <si>
    <t>Ойна махсулотлари ишлаб чикариш ва кайта ишлашни ташкил этиш</t>
  </si>
  <si>
    <t>"Маруфжон Ангор Инвест" х.к</t>
  </si>
  <si>
    <t>савдо ва маиший хизмат</t>
  </si>
  <si>
    <t xml:space="preserve">"Умид Ангор Инвест" Х/К </t>
  </si>
  <si>
    <t>Замонавий Шлакоблок ишлаб чиқаришни ташкил этиш</t>
  </si>
  <si>
    <t xml:space="preserve">"JOZIBA TOP BUSINESS" MChJ </t>
  </si>
  <si>
    <t>Темир битон махсулотлари ишлаб чикариш</t>
  </si>
  <si>
    <t xml:space="preserve">"Таллимарон Гузари" МЧЖ </t>
  </si>
  <si>
    <t>Меҳмонхона ташкил этиш</t>
  </si>
  <si>
    <t xml:space="preserve">"Назира Ангор Сурхон Инвест" Х/К </t>
  </si>
  <si>
    <t xml:space="preserve">"ЯТТ Чориев Ҳусан" </t>
  </si>
  <si>
    <t>Ғишт заводни ривожлантириш</t>
  </si>
  <si>
    <t>"Ўралбек Наргиза" МЧЖ</t>
  </si>
  <si>
    <t xml:space="preserve">"Ангор Сурхон Ғурури" МЧЖ </t>
  </si>
  <si>
    <t>Техник хизмат кўрсатиш, ўқув маркази ташкил қилиш</t>
  </si>
  <si>
    <t xml:space="preserve">"Захриддин Ангор" Х/К </t>
  </si>
  <si>
    <t>Ғишт заводи ташкил этиш</t>
  </si>
  <si>
    <t xml:space="preserve">"Эшонқулова Дилнисо" ОК </t>
  </si>
  <si>
    <t>Жисмоний шахсларнинг автомобилларнинг майда таъмирлаш ва уларга аксесуарлар ўрнатиш</t>
  </si>
  <si>
    <t xml:space="preserve"> "Ангор Сурхон Ғурури" МЧЖ</t>
  </si>
  <si>
    <t>"Нигина" ХФ</t>
  </si>
  <si>
    <t>"Bandixon g'unchasi" МЧЖ</t>
  </si>
  <si>
    <t>мактабгача таълим муассасасини ташкил этиш</t>
  </si>
  <si>
    <t>"Agro Greenzone" ФХ</t>
  </si>
  <si>
    <t>"Повлония" дарахтини етиштиришни ташкил этиш</t>
  </si>
  <si>
    <t>"Наврўз Исломобод 777" ОК</t>
  </si>
  <si>
    <t xml:space="preserve">Тикувчилик ўқув маркази ҳамда маиший хизмат кўрсатишни ташкил этиш </t>
  </si>
  <si>
    <t>"Тожинор Шўрчи"  ХК</t>
  </si>
  <si>
    <t>"Qurbonmurod O'rol" МЧЖ</t>
  </si>
  <si>
    <t>Бандихон МФЙ сиқилган газ тўлдириш компрессор стансияси (АГТКС) ташкил этиш</t>
  </si>
  <si>
    <t>"Мирза Таркин" асаларичилик фермер ҳўжалиги</t>
  </si>
  <si>
    <t>"Қумқўрғон Шамс Транс" МЧЖ</t>
  </si>
  <si>
    <t>Транспорт хизмати</t>
  </si>
  <si>
    <t>"Qiziriq sarbon" МЧЖ</t>
  </si>
  <si>
    <t>Пенаблок ишлаб чиқаришни ташкил этиш</t>
  </si>
  <si>
    <t>Ўзсаноатқурилишбанк</t>
  </si>
  <si>
    <t xml:space="preserve">"Термиз-файз барака" МЧЖ </t>
  </si>
  <si>
    <t>"Xumo Gaz Oil" МЧЖ</t>
  </si>
  <si>
    <t>"Бойсун Керамзит Инвест" МЧЖ</t>
  </si>
  <si>
    <t xml:space="preserve">"Ясмина Мега савдо" ХК </t>
  </si>
  <si>
    <t xml:space="preserve">Автомобилларга техник хизмат кўрсатиш </t>
  </si>
  <si>
    <t>"Obod nur Bandixon" ФХ</t>
  </si>
  <si>
    <t>чорвачиликни кенгайтириш</t>
  </si>
  <si>
    <t>"Холмамат Рўзиевич" ОК</t>
  </si>
  <si>
    <t>"Bektepa Ideal" МЧЖ</t>
  </si>
  <si>
    <t>тош-шағал ишлаб чиқаришни ташкил этиш</t>
  </si>
  <si>
    <t>"Бандихон Келажак" Хусусий корхонаси</t>
  </si>
  <si>
    <t>Автосервис</t>
  </si>
  <si>
    <t>"Eko Audit Surxon" МЧЖ</t>
  </si>
  <si>
    <t>лимон етиштириладиган замонавий иссиқхона</t>
  </si>
  <si>
    <t>"Kamron Jafarbek" МЧЖ</t>
  </si>
  <si>
    <t>"Faxriddin futbol klass" ОК</t>
  </si>
  <si>
    <t>Мини футбол ташкил этиш</t>
  </si>
  <si>
    <t>"Quvonchbek Ekspress" ХК</t>
  </si>
  <si>
    <t>аҳолига маиший хизмат кўрсатиш нуқтасини ташкил этиш</t>
  </si>
  <si>
    <t>"Qurbon bog'i" ФХ</t>
  </si>
  <si>
    <t>"Dryers" МЧЖ</t>
  </si>
  <si>
    <t>("Қизириқ грант экспорт" МЧЖ) "Qaldirg'och Agroservis" МЧЖ</t>
  </si>
  <si>
    <t>Гепсоблок ва газоблок ишлаб чиқариш</t>
  </si>
  <si>
    <t>"Беш Оғайни 2019" ОК</t>
  </si>
  <si>
    <t>Автосервис хизматини ташкил этиш</t>
  </si>
  <si>
    <t>"Бандихон карвон йўли" МЧЖ</t>
  </si>
  <si>
    <t>Автосервис хизмати ташкил этиш</t>
  </si>
  <si>
    <t>"Norboev Qilichbek" ФХ</t>
  </si>
  <si>
    <t>"Ширин Мева Агро Экспорт" МЧЖ</t>
  </si>
  <si>
    <t>Қишлоқ ҳўжалиги махсулотлари етиштириш</t>
  </si>
  <si>
    <t>ЯТТ "Mirzaev Otabek"</t>
  </si>
  <si>
    <t xml:space="preserve">китоб дўкони ва реклама хизматлари </t>
  </si>
  <si>
    <t>ЯТТ "Bakirov Anvar"</t>
  </si>
  <si>
    <t>умумий овқатланиш ва савдо мажмуасини ташкил этиш</t>
  </si>
  <si>
    <t>ЯТТ "Qudratov Navro'zbek"</t>
  </si>
  <si>
    <t xml:space="preserve">Ақлли бекат ташкил этиш </t>
  </si>
  <si>
    <t>ЯТТ "Doniyorov Tolqin"</t>
  </si>
  <si>
    <t>реклама хизмати ташкил этиш</t>
  </si>
  <si>
    <t>ЯТТ "Muxammadiev Davron"</t>
  </si>
  <si>
    <t xml:space="preserve">автомобилларга техник хизмат кўрсатиш </t>
  </si>
  <si>
    <t>("Жийдабулоқ Бандихон" ФХ) "Греат кингс" МЧЖ</t>
  </si>
  <si>
    <t>"Зарафшон Бандихон"ФХ</t>
  </si>
  <si>
    <t>"Зевар Хўжаипоқ Савдо Маркази" ОК</t>
  </si>
  <si>
    <t>Қандолатчиликни ташкил қилиш</t>
  </si>
  <si>
    <t>"Бахриддин нур" ФХ</t>
  </si>
  <si>
    <t>Сиқилган газ қуйиш шахобчаси ташкил қилиш</t>
  </si>
  <si>
    <t>"Жўрабек-Жайхун Боғдорчилик" фермер ҳўжалиги</t>
  </si>
  <si>
    <t>Боғдорчилик (ёнғоқ ва бодом)</t>
  </si>
  <si>
    <t>"Қалдирғоч Агросервис Агрофирмаси" МЧЖ</t>
  </si>
  <si>
    <t xml:space="preserve">Боғдорчилик </t>
  </si>
  <si>
    <t>"New Surxon Gold" МЧЖ</t>
  </si>
  <si>
    <t>Шағал саралаш заводи ва махсус техника сотиб олиш</t>
  </si>
  <si>
    <t>"Бандихон Бўстони" МЧЖ</t>
  </si>
  <si>
    <t>"Кенг дала боғлари" ФХ</t>
  </si>
  <si>
    <t>"Хуснора Гарденинг" ФХ</t>
  </si>
  <si>
    <t>4570</t>
  </si>
  <si>
    <t>500</t>
  </si>
  <si>
    <t>"Бандихон Янгиобод" ХК</t>
  </si>
  <si>
    <t>"Худойзод чорвадори" ФХ</t>
  </si>
  <si>
    <t>"Бандихон Матлуботчи Мини маркет" МЧЖ</t>
  </si>
  <si>
    <t>Нон ва нон махсулотлари ишлаб чиқариш</t>
  </si>
  <si>
    <t>"Бойсун Метан" МЧЖ</t>
  </si>
  <si>
    <t>"Бандихон Агро Экспорт" МЧЖ</t>
  </si>
  <si>
    <t>Маҳалла гузари ташкил этиш</t>
  </si>
  <si>
    <t>"Zabi Gaz Oil" МЧЖ</t>
  </si>
  <si>
    <t>"Дилёр Дилшод 2020"МЧЖ</t>
  </si>
  <si>
    <t>Автомобилларга сиқилган газ қуйиш технологиясини ташкил этиш</t>
  </si>
  <si>
    <t>"Мўл-Кўл Агро Жилоси" ФХ</t>
  </si>
  <si>
    <t>Балиқчилик</t>
  </si>
  <si>
    <t>"Bandixon savdo ishlab chiqarish ulgurji" XК</t>
  </si>
  <si>
    <t>нон ва нон маҳсулотлари ишлаб чиқаришни ташкил этиш</t>
  </si>
  <si>
    <t>"Xo'shboq" ФХ</t>
  </si>
  <si>
    <t>қурилиш дўкони ташкил этиш</t>
  </si>
  <si>
    <t>"Yangi kuch MBA" ФХ</t>
  </si>
  <si>
    <t>нон ва қандолат маҳсулотларини ишлаб чиқариш</t>
  </si>
  <si>
    <t>"Behruzbek-Husniya" ХК</t>
  </si>
  <si>
    <t xml:space="preserve">профнастил ишлаб чиқаришни  ташкил этиш </t>
  </si>
  <si>
    <t>"Бандихон Шаршара" МЧЖ</t>
  </si>
  <si>
    <t>Махалла гузари ташкил этиш</t>
  </si>
  <si>
    <t>"Baraka Gold" ФХ</t>
  </si>
  <si>
    <t>"Xojimurod bobo" ФХ</t>
  </si>
  <si>
    <t>маросимлар ўтказиш масканини ташкил этиш</t>
  </si>
  <si>
    <t>"Хўжаипоқ Ёшлари 2020" ИЧК</t>
  </si>
  <si>
    <t>Ахолига томорқа хизмати ташкил этиш (Мини трактро,  мотокултиратор сотиб олиш ва кимёвий ишлов бериш</t>
  </si>
  <si>
    <t>"Nurjahon Gold 2020" ОК</t>
  </si>
  <si>
    <t>"Сайёра Голд" ОК</t>
  </si>
  <si>
    <t>"Қарсоқли Сервис" МЧЖ</t>
  </si>
  <si>
    <t>"Бандихон Агрокластер" МЧЖ</t>
  </si>
  <si>
    <t>Пахта хом-ашёсини қайта ишлаш ва ун ишлаб чиқаришни ташкил этиш</t>
  </si>
  <si>
    <t>"Jahon-fayz 2020" МЧЖ</t>
  </si>
  <si>
    <t>Бетон ғишт, бурчатка ва туника шифер ишлаб чиқаришни ташкил этиш</t>
  </si>
  <si>
    <t>Савдо ва маиший хизматини курсатишини ташкил етиш</t>
  </si>
  <si>
    <t>Жарқўрғон Баракали лимонзори</t>
  </si>
  <si>
    <t>Иссиқхона ташкил этиш (1 га лимон)</t>
  </si>
  <si>
    <t>"Акмурхол чорва" ф-х</t>
  </si>
  <si>
    <t>"Бекназар Назар" фермер хўжалиги</t>
  </si>
  <si>
    <t>"Жануб фидойилари" МЧЖ</t>
  </si>
  <si>
    <t>Мой ишлаб чиқариш</t>
  </si>
  <si>
    <t>"Бойсун Янги Қурилиш Савдо" МЧЖ</t>
  </si>
  <si>
    <t>Керамзит материаллари ишлаб чиқариш ва керамзитни қайта ишлаган холда қурилиш материаллари ишлаб чиқариш</t>
  </si>
  <si>
    <t>Ажрулло Шарифий фх</t>
  </si>
  <si>
    <t xml:space="preserve">Паррандачилик ва чорвачиликни ривожлантириш </t>
  </si>
  <si>
    <t>Boysun avto ser-tyuning OK</t>
  </si>
  <si>
    <t>Автосервис хизматларини такомиллаштриш</t>
  </si>
  <si>
    <t>Jasurbek Education МЧЖ</t>
  </si>
  <si>
    <t>"Хайрли Абдумўмин" ОК</t>
  </si>
  <si>
    <t>Мехмонхона , маиший хизмат кўрсатиш фаолиятини ривожлантириш</t>
  </si>
  <si>
    <t>Иброхим парвиз МЧЖ</t>
  </si>
  <si>
    <t>Барча турдаги замонавий хизматлар кўрсатиш</t>
  </si>
  <si>
    <t>Бойсун Рухсор МЧЖ</t>
  </si>
  <si>
    <t>Техник хизмат кўрсатиш</t>
  </si>
  <si>
    <t>Гипс ва гипса картон ишлаб чиқариш</t>
  </si>
  <si>
    <t>"Бойсун кичкинтойлари" МЧЖ</t>
  </si>
  <si>
    <t>Бойсун туман "Пасурхи" маҳалласида давлат-хусусий шериклик асосида мактабгача таълим муассаси ташкил этиш</t>
  </si>
  <si>
    <t>"Менинг ширинтойларим" ХТМ</t>
  </si>
  <si>
    <t>Бойсун тумани "Кўлқамиш" маҳалласида давлат-хусусий шериклик асосида мактабгача таълим муассаси ташкил этиш</t>
  </si>
  <si>
    <t>"Осиё жажжи юлдузлари" МЧЖ</t>
  </si>
  <si>
    <t xml:space="preserve"> Бойсун  тумани, "Ҳунармандлар"  маҳалласида давлат-хусусий шериклик асосида мактабгача таълим муассаси ташкил этиш</t>
  </si>
  <si>
    <t>"Сайроб чинори" МЧЖ</t>
  </si>
  <si>
    <t>Бойсун тумани "Қўшчинор" маҳалласида давлат-хусусий шериклик асосида мактабгача таълим муассаси ташкил этиш</t>
  </si>
  <si>
    <t>Бред Саус МЧЖ</t>
  </si>
  <si>
    <t>Замонавий Иссиқхона (Лимоннария) ташкил қилиш</t>
  </si>
  <si>
    <t>"Бошработ олтин дон" ф-х</t>
  </si>
  <si>
    <t>Замонавий  иссиқхона  ва боғ барпо этиш</t>
  </si>
  <si>
    <t>"Қумсой" ФХ</t>
  </si>
  <si>
    <t>Томчилатиб суғориладиган боғдорчилик</t>
  </si>
  <si>
    <t>"PRB INVESTMENT CO" МЧЖ ҚК</t>
  </si>
  <si>
    <t>Цемент ишлаб чиқаришни ташкил қилиш</t>
  </si>
  <si>
    <t>"Бойсун Таракиёт Мухаммад" ф-х</t>
  </si>
  <si>
    <t>"SAHARA" оилавий корхонаси</t>
  </si>
  <si>
    <t xml:space="preserve">Меҳмонхона хизматини ташкил этиш </t>
  </si>
  <si>
    <t>"Гранд агро логистик МЧЖ</t>
  </si>
  <si>
    <t xml:space="preserve">Мой ишлаб чиқариш ва дуккакли махсулотларни саралаш </t>
  </si>
  <si>
    <t>Самадов Одил хусусий фирмаси</t>
  </si>
  <si>
    <t>Шлакаблок ва пенаблок и/ч</t>
  </si>
  <si>
    <t>"INOMJON BOYSUN" МЧЖ</t>
  </si>
  <si>
    <t>Шлакаблок ва Акфа эшик дераза ромлари ишлаб чикаришни ташкил этиш</t>
  </si>
  <si>
    <t>Бунёдбек Болтаев ОК</t>
  </si>
  <si>
    <t>Тўйхона ва маиший хизмат кўрсатиш нуқтасини ташкил этиш</t>
  </si>
  <si>
    <t>"BOYSUN MOL SO''YISH" МЧЖ</t>
  </si>
  <si>
    <t>Қушхона ташкил этиш</t>
  </si>
  <si>
    <t>"Boysun Nurmamat Bobo" МЧЖ</t>
  </si>
  <si>
    <t>"UMURBOBO BOYSUNIY" МЧЖ</t>
  </si>
  <si>
    <t>Тўйхона хизматини ривожлантириш</t>
  </si>
  <si>
    <t>"ИБОДУЛЛО БОБО" К/К</t>
  </si>
  <si>
    <t xml:space="preserve">"Бойсун Мохинур" оилавий корхонаси </t>
  </si>
  <si>
    <t xml:space="preserve">Суний қопламали спорт майдончаси ташкил этиш </t>
  </si>
  <si>
    <t xml:space="preserve">"Инвест Идеал қурилиш " оилавий корхонаси  </t>
  </si>
  <si>
    <t>Қурилиш материаллари ишлаб чиқариш (шлакаблок)</t>
  </si>
  <si>
    <t xml:space="preserve">Қишлоқ хўжалиги махсулотлари етиштириш </t>
  </si>
  <si>
    <t>"Хусан тағо" ОК</t>
  </si>
  <si>
    <t>Хаммом хизмати</t>
  </si>
  <si>
    <t xml:space="preserve">"Хумо Само" МЧЖ </t>
  </si>
  <si>
    <t>Истироҳат боғи барпо этиш</t>
  </si>
  <si>
    <t>“Agro Gold-Export” МЧЖ</t>
  </si>
  <si>
    <t>Мева-сабзавотчилик кластерини 
ташкил этиш</t>
  </si>
  <si>
    <t>ШДС Хазарбоғ х.к</t>
  </si>
  <si>
    <t>Тикувчиликни ташкил этиш</t>
  </si>
  <si>
    <t>Элбек Қўзибоевлар О.К</t>
  </si>
  <si>
    <t>Автомобилларга техник хизмапт лўрсатиш шахобчаси</t>
  </si>
  <si>
    <t>Маиший хизмат кўрсатиш комплексини ташкил этиш</t>
  </si>
  <si>
    <t>"Денов гулчилик" OК</t>
  </si>
  <si>
    <t>Иссиқхона ташкил этиш
(Гулчилик)</t>
  </si>
  <si>
    <t>"Шох мухаммад омад" МЧЖ</t>
  </si>
  <si>
    <t>Миллий ширинликлар ишлаб чиқариш ва маиший хизмат кўрсатишни ташкил этиш</t>
  </si>
  <si>
    <t>"Нур Строй Денов" МЧЖ</t>
  </si>
  <si>
    <t>Пенаблок ва эмулсион ишлаб чиқаришни ташкил этиш</t>
  </si>
  <si>
    <t>"Мамасолиевлар" ХК</t>
  </si>
  <si>
    <t>Автомобилларга сервис хизмат кўрсатиш тикувчиликни ташкил этиш</t>
  </si>
  <si>
    <t>"Эко Денов" ОК</t>
  </si>
  <si>
    <t>Суюқ совин гел ишлаб чиқаришни ташкил этиш</t>
  </si>
  <si>
    <t>"Жануб металл инвест" МЧЖ</t>
  </si>
  <si>
    <t>Битон плиталар ишлаб чиқаришни ташкил этиш</t>
  </si>
  <si>
    <t>"Темур Мега Транс" МЧЖ</t>
  </si>
  <si>
    <t>Яхна ичимликлар ишлаб чиқаришни ташкил этиш</t>
  </si>
  <si>
    <t>"Star Med Servis Center" МЧЖ</t>
  </si>
  <si>
    <t>Соғломлаштириш марказини кенгайтириш</t>
  </si>
  <si>
    <t>"Ургут Термиз Алоқа" МЧЖ</t>
  </si>
  <si>
    <t>Замонавий кўп қаватли уй-жой қуриш савдо ва маиший хизматни ташкил этиш 
(9 қаватли 124 хонадон)</t>
  </si>
  <si>
    <t xml:space="preserve">"Гўзал Себзор Сервис" МЧЖ </t>
  </si>
  <si>
    <t>Тикувчилик махсулотлари ишлаб чиқариш</t>
  </si>
  <si>
    <t>“Jaxon Islom” ХК</t>
  </si>
  <si>
    <t>“Axadbek Solixovlar” ОК</t>
  </si>
  <si>
    <t>Кийим-кечак ишлаб чиқаришни ташкил этиш</t>
  </si>
  <si>
    <t>“Xamid Xamkor Fayz” МТП МЧЖ</t>
  </si>
  <si>
    <t>“Denov Sifatli Don” МЧЖ</t>
  </si>
  <si>
    <t>Нон ва қандолат маҳсулотлари ҳамда макарон ишлаб чиқаришни ташкил этиш</t>
  </si>
  <si>
    <t>“Ozod-Anvar” МЧЖ</t>
  </si>
  <si>
    <t>Қурилиш материаллари ишлаб чиқаришни ташкил этиш</t>
  </si>
  <si>
    <t>“Аbu bakr” ХК</t>
  </si>
  <si>
    <t xml:space="preserve">Темир-бетон ва тикувчилик  маҳсулотлари ишлаб чиқаришни ташкил этиш </t>
  </si>
  <si>
    <t>“Yo`lbars-Kamoli” ХК</t>
  </si>
  <si>
    <t>“Aziya-Aziz-Yagona” МЧЖ</t>
  </si>
  <si>
    <t>Шағал-қум ишлаб чиқаришни ташкил этиш</t>
  </si>
  <si>
    <t>“Жануб Капитал” МЧЖ</t>
  </si>
  <si>
    <t>Дорихона хизматини кенгайтириш</t>
  </si>
  <si>
    <t>ЯТТ Мамадаминова Орзигул</t>
  </si>
  <si>
    <t>Қандолат махсулоталри ишлаб чиқаришни ташкил этиш</t>
  </si>
  <si>
    <t>ТИБЕТ ХК</t>
  </si>
  <si>
    <t>ЯТТ Абдурахмонов Акмал</t>
  </si>
  <si>
    <t>Муқимий Денов ОК</t>
  </si>
  <si>
    <t>Покиза Ширин ХК</t>
  </si>
  <si>
    <t>"Ахадбек Солиховлар" ОК</t>
  </si>
  <si>
    <t>DIMIRIL-INVEST ОК</t>
  </si>
  <si>
    <t>Қурилиш материалларини ишлаб чиқаришни ташкил этиш</t>
  </si>
  <si>
    <t>"Абу Бакр" МЧЖ</t>
  </si>
  <si>
    <t>Бойчибор Халкобод ХК</t>
  </si>
  <si>
    <t>Куп қаватли уй-жой қуриш учун (9 қаватли)</t>
  </si>
  <si>
    <t>“Gold Max Prof” МЧЖ</t>
  </si>
  <si>
    <t>Транспорт хизмати кўрсатишни 
ташкил килиш</t>
  </si>
  <si>
    <t>“Madinabonu-Med Servis” ХК</t>
  </si>
  <si>
    <t>Тиббиёт клиникаси фаолиятини 
кенгайтириш</t>
  </si>
  <si>
    <t>“Paxlavon Imkon” ФХ</t>
  </si>
  <si>
    <t>Узумчиликни ташкил қилиш</t>
  </si>
  <si>
    <t>“Shashmohkashob-Medline” МЧЖ</t>
  </si>
  <si>
    <t>Замонавий тиббиёт клиникаси 
ташкил этиш</t>
  </si>
  <si>
    <t>“Shukurov Suxbon” ФХ</t>
  </si>
  <si>
    <t>“Surxon Med Future” МЧЖ</t>
  </si>
  <si>
    <t>Махмуд Ихтиёр Чорвадор ф.х</t>
  </si>
  <si>
    <t>Ташаббускор 
(Файзи Мехринисо Курилиш ХК)</t>
  </si>
  <si>
    <t xml:space="preserve">Дорихона хизматини ташкил этиш </t>
  </si>
  <si>
    <t>Маиший хизмат комплексини ташкил этиш учун</t>
  </si>
  <si>
    <t xml:space="preserve">Тикувчилик фаолиятини ташкил этиш </t>
  </si>
  <si>
    <t>Жавохир Феруз Проф МЧЖ</t>
  </si>
  <si>
    <t>Профнастил ишлаб чиқаришни ташкил этиш</t>
  </si>
  <si>
    <t>Полиграфия маҳсулотлари ишлаб чиқариш</t>
  </si>
  <si>
    <t xml:space="preserve">Стаматология хизматини ташкил этиш </t>
  </si>
  <si>
    <t>"Maxmud Ixtiyor chorvador" ФХ</t>
  </si>
  <si>
    <t>Чорвачиликни кенгайтириш учун</t>
  </si>
  <si>
    <t>Мухиддин файз ХК</t>
  </si>
  <si>
    <t>Бетон плита маҳсулотлари ишлаб чиқариш</t>
  </si>
  <si>
    <t>Файзи Мехринисо Курилиш ХК</t>
  </si>
  <si>
    <t>кўп каватли уй-жой комлпексини барпо этиш</t>
  </si>
  <si>
    <t>"Денов  Эко Туризм" МЧЖ ("Аббос эко агро" МЧЖ)</t>
  </si>
  <si>
    <t>Микроавтобус, минивен, электромобил, юк ташиш машиналари 2 тонналик ишлаб чиқариш.</t>
  </si>
  <si>
    <t xml:space="preserve">"Денов Эко Туризм" МЧЖ </t>
  </si>
  <si>
    <t>Интенсив балиқчиликни ташкил этиш</t>
  </si>
  <si>
    <t>“Abbos-Eco Agro” МЧЖ</t>
  </si>
  <si>
    <t>Замонавий паррандачилик комплексини ташкил этиш</t>
  </si>
  <si>
    <t>“Mehnat-Farovon Hayot” ФХ</t>
  </si>
  <si>
    <t>Балиқчилик ва чорвачиликни ривожлантириш, гўшт ва сут  маҳсулотларини қайта ишлашни ташкил этиш</t>
  </si>
  <si>
    <t>“Navnixol Soxili” ФХ</t>
  </si>
  <si>
    <t>Балиқчилик хўжалигини 
ташкил этиш</t>
  </si>
  <si>
    <t>"ASOMIDDIN-BARAKA BALIQLARI" ФХ</t>
  </si>
  <si>
    <t>Балиқчилик фаолиятини ташкил қилиш</t>
  </si>
  <si>
    <t>"Элбек Жабборович" ФХ</t>
  </si>
  <si>
    <t>"O'TKIR-FAROVON-KELAJAK" ОК</t>
  </si>
  <si>
    <t>Денов сазан баликлари ОК</t>
  </si>
  <si>
    <t>кичик футбол ўйингоҳи ташкил қилиш</t>
  </si>
  <si>
    <t>Меҳнат фаровон ҳаёт ФХ</t>
  </si>
  <si>
    <t>ем ишлаб чиқаришни ташкил қилиш</t>
  </si>
  <si>
    <t>"Денов-Кумкургон-Тошгузар" СИЧК</t>
  </si>
  <si>
    <t>Балиқчилик фаолиятини ривожлантириш</t>
  </si>
  <si>
    <t>"DENOV MEVA-SABZAVOT" МЧЖ</t>
  </si>
  <si>
    <t>Тиббий хизмат фаолиятини ташкил этиш</t>
  </si>
  <si>
    <t>"Ал-сар лочин" МЧЖ</t>
  </si>
  <si>
    <t>"MEHR-BARAKA KO'CHATCHILIK" ФХ</t>
  </si>
  <si>
    <t>Кўчатчилик фаолиятини ривожлантириш</t>
  </si>
  <si>
    <t>Ташаббускори аниқланмоқда</t>
  </si>
  <si>
    <t>Кўп қаватли уй-жойлар қуриш</t>
  </si>
  <si>
    <t>“Invest - Denov - Teks” ОК</t>
  </si>
  <si>
    <t>Пайпоқ ишлаб чиқаришни кенгайтириш</t>
  </si>
  <si>
    <t>“Yusuf Trans Denov” МЧЖ</t>
  </si>
  <si>
    <t>“Zarin” ХК</t>
  </si>
  <si>
    <t>Замонавий типдаги меҳмонхона комплексини ташкил этиш</t>
  </si>
  <si>
    <t xml:space="preserve">"Азия Брокерс Трейд" МЧЖ </t>
  </si>
  <si>
    <t>Музлатгичли омборхона ва ун ишлаб чиқаришни ташкил этиш.</t>
  </si>
  <si>
    <t>“Eco Exclusive Brend” МЧЖ</t>
  </si>
  <si>
    <t xml:space="preserve">Кир ювиш кукуни ишлаб чиқаришни ташкил этиш </t>
  </si>
  <si>
    <t>“Zaynalobidin Constraction” МЧЖ</t>
  </si>
  <si>
    <t>“Xojiakbar-Mega Qurilish” МЧЖ</t>
  </si>
  <si>
    <t xml:space="preserve">Замонавий диагностика маркази, кардиология ва болаларни даволаш шифохонасини ташкил этиш </t>
  </si>
  <si>
    <t>“Zangori Asr” МЧЖ</t>
  </si>
  <si>
    <t>Чиқиндини қайта ишлашни ташкил этиш</t>
  </si>
  <si>
    <t xml:space="preserve">Пишиқ ғишт ишлаб чиқаришни ташкил этиш </t>
  </si>
  <si>
    <t>Азиза Рухшона ХК</t>
  </si>
  <si>
    <t>Пишган ғишт ишлаб чиқаришни кенгайтириш</t>
  </si>
  <si>
    <t>Мухайё Шохрух барака ХК</t>
  </si>
  <si>
    <t>Бетон ғишт ишлаб чиқаришни ташкил этиш</t>
  </si>
  <si>
    <t>"Фидоий А" МЧЖ</t>
  </si>
  <si>
    <t>Турли хилдаги темир-бетон махсулотлари ишлаб чиқаришни ташкил этиш</t>
  </si>
  <si>
    <t>Бетон қоришмаси ва темир-бетон махсулотлари ишлаб чиқаришни ташкил этиш</t>
  </si>
  <si>
    <t>Шагал саралаш заводини ташкил этиш</t>
  </si>
  <si>
    <t>Суйуқ сувоқ махсулотлари ва ғишт ишлаб чиқаришни  ташкил этиш</t>
  </si>
  <si>
    <t>"Денов Янги тараккиёт" ИТК</t>
  </si>
  <si>
    <t>Узун меъмор курилиш ХК</t>
  </si>
  <si>
    <t>Замонавий иссиқхона ташкил этиш (2 га)</t>
  </si>
  <si>
    <t>Сантехника махсулотлари ишлаб чиқариш</t>
  </si>
  <si>
    <t>Кўп қаватли турар-жой биноси қуриш (1та 9 қаватли)</t>
  </si>
  <si>
    <t>“Gold Biznes Pro” МЧЖ</t>
  </si>
  <si>
    <t xml:space="preserve">Темир-бетон маҳсулотлари ишлаб чиқаришни ташкил этиш </t>
  </si>
  <si>
    <t>Ўктам Транс Денов  х.к</t>
  </si>
  <si>
    <t>Транспорт хизмати кўрсатиш</t>
  </si>
  <si>
    <t>Шукрон Абдуқодир х.к</t>
  </si>
  <si>
    <t>Қурилиш материаллари Пишган ғишт Қум шаҳал темир бетон махсулотлари ишлаб чиқариш</t>
  </si>
  <si>
    <t>NIRIDDIN CHUBAYEV BARAKA Oilaviy korxona</t>
  </si>
  <si>
    <t>Баликчиликни ташкил қилиш</t>
  </si>
  <si>
    <t>DAHANA QUYONCHILIK Оилавий корхона</t>
  </si>
  <si>
    <t>MUXAMMADRIZO OCHILDIYEV Хусусий корхона</t>
  </si>
  <si>
    <t>МДФ эшик ишлаб чикаришни ташкил қилиш</t>
  </si>
  <si>
    <t>G'ALABA BARAKA PARRANDA Оилавий корхона</t>
  </si>
  <si>
    <t xml:space="preserve">Паррандачиликни ташки қилиш </t>
  </si>
  <si>
    <t>FARZONAXON-DENOV Oilaviy korxonasi</t>
  </si>
  <si>
    <t>DOSTON UMIRZOQOVLAR XUSUSIY KORXONASI</t>
  </si>
  <si>
    <t>Техника хизматини ташкил қилиш</t>
  </si>
  <si>
    <t>Метин Ирода Гарант МЧЖ</t>
  </si>
  <si>
    <t>Хизмат курсатиш маркази ташкил этиш</t>
  </si>
  <si>
    <t>"SUNNATULLO-QURILISN-BIZNES" хусусий корхонаси</t>
  </si>
  <si>
    <t>Мадад Намуна МЧЖ</t>
  </si>
  <si>
    <t>Куп каватли турар жой мажмуаси куриш</t>
  </si>
  <si>
    <t>"Джафар Бизнес" МЧЖ</t>
  </si>
  <si>
    <t>Махалла гузари(маиший хизмат кўрсатиш шахобчалари билан биргаликда)</t>
  </si>
  <si>
    <t xml:space="preserve">"Умид Рамз" ОК </t>
  </si>
  <si>
    <t>Замонавий музлатгич, камерали омборхона ва иссиқхона ташкил этиш</t>
  </si>
  <si>
    <t>“Afrosiyob go'sht sut savdo va ishlab chiqarish” ХК</t>
  </si>
  <si>
    <t>Мева-сабзавот маҳсулотларини қайта ишлаш, шарбат, консервалар ишлаб чиқаришни 
ташкил этиш</t>
  </si>
  <si>
    <t xml:space="preserve">Қандолат маҳсулотлари ишлаб чиқаришни ташкил этиш </t>
  </si>
  <si>
    <t>“Anglesey Food” МЧЖ</t>
  </si>
  <si>
    <t xml:space="preserve">Замонавий савдо мажмуаси (супермаркет) ташкил этиш </t>
  </si>
  <si>
    <t xml:space="preserve">“Buyuk Ipak Yuli ixtisoslashtirilgan bozori” МЧЖ </t>
  </si>
  <si>
    <t>Янги автомобиль бозори 
ташкил этиш</t>
  </si>
  <si>
    <t>“Azimut Agro” ФХ</t>
  </si>
  <si>
    <t>Ўсимлик ёғи, маъданли сув ҳамда ун ишлаб чиқаришни ташкил этиш</t>
  </si>
  <si>
    <t>“Jawad Sharifiy” МЧЖ</t>
  </si>
  <si>
    <t xml:space="preserve">Зафарон етиштиришни кенгайтириш ва қайта ишлашни ташкил этиш </t>
  </si>
  <si>
    <t>“Sangardak-Nur Market” МЧЖ</t>
  </si>
  <si>
    <t>Мустақиллик кўчаси бўйлаб 3 та замонавий “Ақлли бекатлар” ташкил этиш</t>
  </si>
  <si>
    <t>“Servis-Invest” ОК</t>
  </si>
  <si>
    <t>Шароф Рашидов кўчаси бўйлаб 20 та замонавий  “Ақлли бекатлар” ташкил этиш</t>
  </si>
  <si>
    <t>“Shashmohkashob Qurilish Trans Invest” ШК</t>
  </si>
  <si>
    <t>Замонавий меҳмонхона комплексини 
ташкил этиш</t>
  </si>
  <si>
    <t>“Shashmohkashob” МЧЖ</t>
  </si>
  <si>
    <t>Ип-калава, йигирув, газлама ва трикотаж мато тўқиш ҳамда ип-калавани бўяшни ташкил этиш</t>
  </si>
  <si>
    <t>“Shashmohkashob-Yog'” МЧЖ</t>
  </si>
  <si>
    <t xml:space="preserve">Пахта чигити ва кунгабоқарни қайта ишлаш, ўсимлик ёғи ишлаб чиқаришни ташкил этиш </t>
  </si>
  <si>
    <t>“Kafolat A K” МЧЖ</t>
  </si>
  <si>
    <t>Интенсив боғ барпо этиш</t>
  </si>
  <si>
    <t>Денов Мухиддин Файз х.к</t>
  </si>
  <si>
    <t xml:space="preserve">Автомобилларга техника хизмат кўрсатиш шахобчаси </t>
  </si>
  <si>
    <t>Орион Денов Мед МЧЖ</t>
  </si>
  <si>
    <t xml:space="preserve">Маиший ва савдо хизмат кўрсатиш шахобчалари ташкил этиш </t>
  </si>
  <si>
    <t>"Xazarbog' melioratsiya agro" МЧЖ</t>
  </si>
  <si>
    <t>Совутгичли омборхоналарни ташкил этиш</t>
  </si>
  <si>
    <t>Денов Азиз Мехмон оилавий корхонаси</t>
  </si>
  <si>
    <t>Оилавий мехмонхона ташкил этиш</t>
  </si>
  <si>
    <t>"Жамолиддин жахонгир пласт" хк</t>
  </si>
  <si>
    <t>Полиэтилен плёнка ишлаб чикариш сохасини кенгайтириш</t>
  </si>
  <si>
    <t>"Етти хазина мўъжизаси" х/к</t>
  </si>
  <si>
    <t>Маиший хизмат кўрсатиш мажмуасини ташкил этиш</t>
  </si>
  <si>
    <t>Денов Универсал Проф" оК</t>
  </si>
  <si>
    <t>Автомобилларга техник хизмат курсатиш мажмуаси ташкил этиш</t>
  </si>
  <si>
    <t>"Мухаммад Шердил" ХК</t>
  </si>
  <si>
    <t>Тиббийёт сохасини ривожлантириш максадида томаграфия ускуналари харид килиш</t>
  </si>
  <si>
    <t>“Автоолам клаас"  МЧЖ</t>
  </si>
  <si>
    <t>Савдо ва маиший хизмат курсатиш хизмати мажмуаси ташкил этиш</t>
  </si>
  <si>
    <t>“Шох султон Нур" фермер хўжалиги</t>
  </si>
  <si>
    <t>Интенсив бог ташкил этиш</t>
  </si>
  <si>
    <t xml:space="preserve">"НИГ" МЧЖ </t>
  </si>
  <si>
    <t>“Хазарбоғ мелорация Агро” МЧЖ</t>
  </si>
  <si>
    <t>500 тонна Музлаткич омбори ва авто-хизмат курсатиш мажмуаси курилиши</t>
  </si>
  <si>
    <t>Ташаббускор аниқланмоқда</t>
  </si>
  <si>
    <t>16 каватли уй-жой курилишини амалга ошириш</t>
  </si>
  <si>
    <t xml:space="preserve">"Денов Аббос транс" МЧЖ </t>
  </si>
  <si>
    <t>Қандолат ва нон махсулотлари ишлаб чиқариш</t>
  </si>
  <si>
    <t>"Яхши ният  сервис" хусусий корхонаси</t>
  </si>
  <si>
    <t>Сиқилган газ қуйиш шахобчасини ташкил этиш</t>
  </si>
  <si>
    <t xml:space="preserve">“2516-сон автокорхона” ДУК </t>
  </si>
  <si>
    <t xml:space="preserve">Техника хизати кўрсатишни кенгайтириш (10 дона HAWO русумли техника харид қилиш) </t>
  </si>
  <si>
    <t>“Denov-Abbos-Trans” МЧЖ</t>
  </si>
  <si>
    <t xml:space="preserve">“Ismat Humoyun Fayz” МЧЖ </t>
  </si>
  <si>
    <t>Савдо марказини 
ташкил этиш</t>
  </si>
  <si>
    <t>“Islomjon Ergashev” ХК</t>
  </si>
  <si>
    <t>Темир-бетон маҳсулотлари ишлаб чиқаришни 
ташкил этиш</t>
  </si>
  <si>
    <t>“Subxon Ulugbek Sharofiddinovich” ХК</t>
  </si>
  <si>
    <t>“Surxon-Gold Electronics”  МЧЖ</t>
  </si>
  <si>
    <t>Интенсив усулда боғ барпо этиш</t>
  </si>
  <si>
    <t>“Surxon-Gold Electronics” МЧЖ</t>
  </si>
  <si>
    <t>Замонавий автотураргоҳ ташкил этиш</t>
  </si>
  <si>
    <t>“Temurbek-Trans-Denov” МЧЖ</t>
  </si>
  <si>
    <t>“Xolchayon Trans” МЧЖ</t>
  </si>
  <si>
    <t>Сина Анис Голд х.к</t>
  </si>
  <si>
    <t>“Jasurbek Sariosoyo Savdo” МЧЖ</t>
  </si>
  <si>
    <t>Мустақиллик кўчаси бўйлаб
 15 та замонавий “Ақлли бекатлар”
ташкил этиш</t>
  </si>
  <si>
    <t xml:space="preserve">“Surxonoziqovqatsanoati” АЖ </t>
  </si>
  <si>
    <t>Ёғ ва совун ишлаб чиқаришни модернизация қилиш</t>
  </si>
  <si>
    <t>“Abdixamid Ibragimov Savdo” МЧЖ</t>
  </si>
  <si>
    <t>Кичик маиший техника маҳсулотлари ишлаб чиқаришни ташкил этиш</t>
  </si>
  <si>
    <t xml:space="preserve">“Janub Eksport” МЧЖ </t>
  </si>
  <si>
    <t>Кабель ва электротехника маҳсулотлари ишлаб чиқаришни ташкил этиш</t>
  </si>
  <si>
    <t xml:space="preserve"> "Агро Темур" МЧЖ </t>
  </si>
  <si>
    <t>Замонавий типдаги иссиқхона ташкил этиш</t>
  </si>
  <si>
    <t xml:space="preserve"> Жума Турсунов ФХ </t>
  </si>
  <si>
    <t xml:space="preserve">"Қурбонова Райхонбону" ФХ </t>
  </si>
  <si>
    <t xml:space="preserve">"Хазарбоғ Агро Куба" МЧЖ  </t>
  </si>
  <si>
    <t>“Denov Sanoat Export” ХК</t>
  </si>
  <si>
    <t>Замонавий типдаги (лимончилик йўналишида) иссиқхона ташкил этиш</t>
  </si>
  <si>
    <t>“Denov-Dormagen” МЧЖ</t>
  </si>
  <si>
    <t xml:space="preserve">Замонавий типдаги иссиқхона 
ташкил этиш </t>
  </si>
  <si>
    <t>“Denov-Sharq Mo`jizasi” МЧЖ</t>
  </si>
  <si>
    <t>“Muslima Suyunova Sharafiddinova” ФХ</t>
  </si>
  <si>
    <t>“Nurli Denov Mash`ali” ХК</t>
  </si>
  <si>
    <t>“Universal-Innovatsion” МЧЖ</t>
  </si>
  <si>
    <t>“Сурхон Қизириқ агро инвест” МЧЖ</t>
  </si>
  <si>
    <t>Мева-сабзавотларни қайта ишлаш</t>
  </si>
  <si>
    <t>"SURXON MED FUTURE" МЧЖ</t>
  </si>
  <si>
    <t xml:space="preserve">Лимончилик фаолиятини ривожлантириш мақсадида замонавий иссиқхона 
ташкил этиш </t>
  </si>
  <si>
    <t>"BESH O'G'LON MAMADALIYEV" МЧЖ</t>
  </si>
  <si>
    <t>Ҳамом ташкил этиш</t>
  </si>
  <si>
    <t>"ОYATILLLO-UMIDILLO-INOYATILLO" ФХ</t>
  </si>
  <si>
    <t>"Сайфиддин СУЖ" КТФ</t>
  </si>
  <si>
    <t>Замонавий автосервис</t>
  </si>
  <si>
    <t>Реаблитация қилиш марказини ташкил этиш</t>
  </si>
  <si>
    <t>"ASHUR ERGASHOV" ФХ</t>
  </si>
  <si>
    <t>"DOVINCHI GROUP" МЧЖ</t>
  </si>
  <si>
    <t>Маҳсус техникалар хизматини ташкил этиш</t>
  </si>
  <si>
    <t>"BEKZOD" ХК</t>
  </si>
  <si>
    <t>Меҳмонхона фаолиятини кенгайтириш</t>
  </si>
  <si>
    <t>Денов шаҳрида 1 (бир) дона 9 (тўққиз) қаватли уй жой қуриш</t>
  </si>
  <si>
    <t xml:space="preserve"> "Сурхон Капитал Мобил Бизнес" МЧЖ </t>
  </si>
  <si>
    <t xml:space="preserve">Гипсакартон ишлаб чиқариш </t>
  </si>
  <si>
    <t>“Afden Group” МЧЖ</t>
  </si>
  <si>
    <t>Қандолат маҳсулотлари ишлаб чиқаришни ташкил этиш</t>
  </si>
  <si>
    <t>“Sino Silk” МЧЖ</t>
  </si>
  <si>
    <t>Пиллани қайта ишлаш ва тайёр ипак маҳсулотлари ишлаб чиқариш кластерини ташкил этиш</t>
  </si>
  <si>
    <t>“Xayrabod Qishloq Meva Sabzavot” ХК</t>
  </si>
  <si>
    <t>Автомобилларга сиқилган газ қуйиш шохобчасини ташкил этиш</t>
  </si>
  <si>
    <t xml:space="preserve">“Сумая Текстил” оилавий корхонаси </t>
  </si>
  <si>
    <t>Сочиқ ишлаб чиқариш</t>
  </si>
  <si>
    <t>Шифер ишлаб чиқариш</t>
  </si>
  <si>
    <t>Мелибой Абраев х.к</t>
  </si>
  <si>
    <t xml:space="preserve">Савдо ва маиший хизмат кўрсатиш ташкил этиш </t>
  </si>
  <si>
    <t>"Денов Гайрат" МЧЖ</t>
  </si>
  <si>
    <t>"FAROVON HAYOT ERKATOYLARI"  MCHJ</t>
  </si>
  <si>
    <t>Нон ва нон махсулотари ишлаб чиқаришни ташкил этиш</t>
  </si>
  <si>
    <t>ЧП "IBROXIM-BEXRUZ"</t>
  </si>
  <si>
    <t>Шифер ишлаб чиқариш учун хом ашё маҳсулотлари ишлаб чиқариш</t>
  </si>
  <si>
    <t>Парранда Комплекс Савдо МЧЖ</t>
  </si>
  <si>
    <t>Пенаплас ишлаб чикаришни ташкил этиш</t>
  </si>
  <si>
    <t>“Мароқанд-Денов-Парранда” ХК</t>
  </si>
  <si>
    <t>Паррандачилик ва Чорвачилик комплексини ташкил этиш</t>
  </si>
  <si>
    <t>"IBROHIM FAYZ GAZ" MCHJ</t>
  </si>
  <si>
    <t xml:space="preserve"> Автомобилларга сиқилган газ қўйиш шахобчасини ташкил этиш.</t>
  </si>
  <si>
    <t>Чорвачиликни ташкил қилиш</t>
  </si>
  <si>
    <t>"Аслиддин Абдухолик - 2005" хусусий корхонаси</t>
  </si>
  <si>
    <t>Савдо ва  хизмат курсатиш мажмуаси ташкил этиш</t>
  </si>
  <si>
    <t>"Денов Гардон" МЧЖ</t>
  </si>
  <si>
    <t>Қишлоқ хўжалиги маҳсулотларини қайта ишлашни ташкил этиш</t>
  </si>
  <si>
    <t xml:space="preserve">Туман марказийда куп каватли тураржой биноси қурилиши </t>
  </si>
  <si>
    <t xml:space="preserve">"Famly Ismoil ОК" </t>
  </si>
  <si>
    <t xml:space="preserve">"Осиё мебел гранд" МЧЖ </t>
  </si>
  <si>
    <t>Мебель ишлаб чиқариш</t>
  </si>
  <si>
    <t>“Chag`oniyon Agro Tomorqa Xizmati” МЧЖ</t>
  </si>
  <si>
    <t>“Denov Silver Stroy” ХК</t>
  </si>
  <si>
    <t>“Даштибой чорвадор” ФХ</t>
  </si>
  <si>
    <t>“Diyor-Eco-Waste” МЧЖ</t>
  </si>
  <si>
    <t xml:space="preserve">Музлаткич камерали омборхона 
ташкил этиш </t>
  </si>
  <si>
    <t>“Lochin” ФХ</t>
  </si>
  <si>
    <t>“Хаким Хожи” ФХ</t>
  </si>
  <si>
    <t>“Mirzo-Firdavs” ФХ</t>
  </si>
  <si>
    <t>“Sevara-Baraka Nur” ХК</t>
  </si>
  <si>
    <t>Савдо ва маиший хизмат кўрсатиш хизматини ташкил этиш</t>
  </si>
  <si>
    <t>“АRТ Golden МЕРТ” МЧЖ</t>
  </si>
  <si>
    <t>Бахриддин ф.х</t>
  </si>
  <si>
    <t>Шерали Файз Чорвадор х.к</t>
  </si>
  <si>
    <t>Чорвачилик комплекси ташкил этиш</t>
  </si>
  <si>
    <t>"Ойбек Ришод Таъмирбек" ХК</t>
  </si>
  <si>
    <t xml:space="preserve">Маиший хизмат кўрсатиш шахобчалари ташкил этиш </t>
  </si>
  <si>
    <t>FAYZLI IMRONBEK BIZNES XK</t>
  </si>
  <si>
    <t>Маиший хизмат кўрсатиш хизматини ташкил этиш</t>
  </si>
  <si>
    <t>MAMASOBIR RASULOV  ок</t>
  </si>
  <si>
    <t xml:space="preserve"> URUNOV X/K </t>
  </si>
  <si>
    <t>"Жийдали Гузар файзли" ХК</t>
  </si>
  <si>
    <t>"DIYOR-ECO-WASTE" мчж</t>
  </si>
  <si>
    <t>Денов Авто таррақиёт ХК</t>
  </si>
  <si>
    <t>ZUBAYDULLAYEV KAMRONBEK CHORVALAR ф.х</t>
  </si>
  <si>
    <t>Чорвачилик фаолиятини ташкил этиш</t>
  </si>
  <si>
    <t xml:space="preserve">Lochinbek Abdurahmonovlar OK </t>
  </si>
  <si>
    <t xml:space="preserve">NURBEK BARAKA CHORVADOR FX </t>
  </si>
  <si>
    <t>Шахобиддин-К ф.х</t>
  </si>
  <si>
    <t>“Amber Stone” МЧЖ</t>
  </si>
  <si>
    <t>Қандолат маҳсулотлари ишлаб чиқаришни 
ташкил этиш</t>
  </si>
  <si>
    <t>“Textil Ali” ОК</t>
  </si>
  <si>
    <t>Автотранспорт воситаларига чехол учун матрас ишлаб чиқаришни ташкил этиш</t>
  </si>
  <si>
    <t>“Denov Agro Export-Import” МЧЖ</t>
  </si>
  <si>
    <t xml:space="preserve">Замонавий типдаги “Кемпинг” 
ташкил этиш </t>
  </si>
  <si>
    <t>“Kucharov Botir” МЧЖ</t>
  </si>
  <si>
    <t>Қурилиш ойнаси ишлаб чиқаришни ташкил этиш</t>
  </si>
  <si>
    <t>“Lider Daxana Parrandasi” МЧЖ</t>
  </si>
  <si>
    <t>“O'rgatuvchi Hududlararo Avtomobil O`quv Ishlab Chiqarish Kombinati” МЧЖ</t>
  </si>
  <si>
    <t xml:space="preserve">Абдулазиз  Хожиахмад х.к </t>
  </si>
  <si>
    <t>Хрусчатка ишлаб чиқариш</t>
  </si>
  <si>
    <t>ЯТТ “Ibragimov Abdulaziz”</t>
  </si>
  <si>
    <t>Бектош Бекзод х/к</t>
  </si>
  <si>
    <t>Майиший хизмат курсатиш нуктасини ташкил этиш</t>
  </si>
  <si>
    <t>"Сурхон Чорвачилик" ф.х</t>
  </si>
  <si>
    <t>"Дилкаш лол" хусусий корхонаси</t>
  </si>
  <si>
    <t>Ош тузи ва усимлик ёғи ишлаб чиқаришни ташкил этиш</t>
  </si>
  <si>
    <t>350</t>
  </si>
  <si>
    <t>800</t>
  </si>
  <si>
    <t>"Нур-нон" оилавий корхонаси</t>
  </si>
  <si>
    <t>Қолипли нон ва нон маҳсулотларини ишлаб чиқариш фаолиятини ташкил этиш</t>
  </si>
  <si>
    <t>150</t>
  </si>
  <si>
    <t>200</t>
  </si>
  <si>
    <t>"Юлдуз АДЖД" хусусий фирмаси</t>
  </si>
  <si>
    <t>Автомобилларга сиқилган газ қуйиш шахобчасини (АГТКС) ташкил этиш</t>
  </si>
  <si>
    <t>"Яҳёбек Баҳтиёр Сервис" хк</t>
  </si>
  <si>
    <t>Чорвачилик</t>
  </si>
  <si>
    <t>Жануб Сурхон Чорвадори фермер хўжалиги</t>
  </si>
  <si>
    <t>Бўрдоқичиликни ташкил этиш</t>
  </si>
  <si>
    <t>Намуна Парранда МЧЖ</t>
  </si>
  <si>
    <t>Паррандачиликни ташкил этиш (тухум)</t>
  </si>
  <si>
    <t>"Бақтирия бунёд файз"МЧЖ</t>
  </si>
  <si>
    <t>Иссиқхона (лимончилик) ташкил этиш</t>
  </si>
  <si>
    <t>"Мавлонбек асилабону файз"ОК</t>
  </si>
  <si>
    <t>"Сурхон Барака Б" МЧЖ</t>
  </si>
  <si>
    <t>МДФ ва ёғоч эшиклар ишлаб чиқариш лойиҳасини ташкил этиш</t>
  </si>
  <si>
    <t>100</t>
  </si>
  <si>
    <t>700</t>
  </si>
  <si>
    <t>"Имконият Барака" МЧЖ</t>
  </si>
  <si>
    <t>4000</t>
  </si>
  <si>
    <t>12</t>
  </si>
  <si>
    <t>Придвуд Энвест</t>
  </si>
  <si>
    <t>2</t>
  </si>
  <si>
    <t>Туркистон Нур Диёр МЧЖ</t>
  </si>
  <si>
    <t>300</t>
  </si>
  <si>
    <t>Ватанпарвар Нур Файз ОК</t>
  </si>
  <si>
    <t>Умумий овқатланиш шахобчасини кенгайтириш</t>
  </si>
  <si>
    <t>10</t>
  </si>
  <si>
    <t>Мужизавий Шифо Фарм МЧЖ</t>
  </si>
  <si>
    <t>Тиббий хизмат кўрсатиш шаҳобчасини ташкил этиш</t>
  </si>
  <si>
    <t>600</t>
  </si>
  <si>
    <t>15</t>
  </si>
  <si>
    <t>Шохжахон Сурхон Транс МЧЖ</t>
  </si>
  <si>
    <t>Қурилиш материаллари хизматини ташкил этиш</t>
  </si>
  <si>
    <t>107</t>
  </si>
  <si>
    <t>263</t>
  </si>
  <si>
    <t>Смарт Голд Инвест АС МЧЖ</t>
  </si>
  <si>
    <t>Агромилк Фарм МЧЖ</t>
  </si>
  <si>
    <t>"Фабулло Строй Сервис" МЧЖ</t>
  </si>
  <si>
    <t>Автоклав усулида газобетон ишлаб чиқариш</t>
  </si>
  <si>
    <t>"Green Sulfcrete" МЧЖ ҚК</t>
  </si>
  <si>
    <t>Серобетон ишлаб чиқариш</t>
  </si>
  <si>
    <t>"Жарқўғон баракали ёғ" МЧЖ</t>
  </si>
  <si>
    <t xml:space="preserve">Ун завод ташкил этиш </t>
  </si>
  <si>
    <t>"Эшпўлат М. С. И" фермер хужалиги</t>
  </si>
  <si>
    <t>Иссикхона ташкил килиш учун</t>
  </si>
  <si>
    <t>Сурхон курилиш юксалиш МЧЖ</t>
  </si>
  <si>
    <t>"Жарқўрғон Сифатли Лимон" МЧЖ</t>
  </si>
  <si>
    <t xml:space="preserve">"Жарқўрғон Асл Лимон Файз" МЧЖ                                      </t>
  </si>
  <si>
    <t>Нуржахон Келажаги ХК</t>
  </si>
  <si>
    <t>GREAT JARQO'RG'ON МЧЖ</t>
  </si>
  <si>
    <t>"JAR-LEMON GARDEN" МЧЖ</t>
  </si>
  <si>
    <t>"Авто лавз"МЧЖ</t>
  </si>
  <si>
    <t>"SURXON JAR FAYZ XAMKOR"  МЧЖ</t>
  </si>
  <si>
    <t>450</t>
  </si>
  <si>
    <t>"SURXON SARA-LIMONLARI"  МЧЖ</t>
  </si>
  <si>
    <t>"JAR TAMINOT-BARAKA"  МЧЖ</t>
  </si>
  <si>
    <t>"SURXON BARAKALI MEVA-SABZAVOT TAMINOTCHI"  МЧЖ</t>
  </si>
  <si>
    <t>"SURXON LIMON NUR BARAKA"  МЧЖ</t>
  </si>
  <si>
    <t>"Жақўрғон файзли лимон" МЧЖ</t>
  </si>
  <si>
    <t>"Жарқўрғон баракали асл лимон"  МЧЖ</t>
  </si>
  <si>
    <t>"PARRANDA KOMPLEKS" MChJ</t>
  </si>
  <si>
    <t>Паррандачиликни ташкил қилиш, парранда озуқаси ва дори-дармон, вакцина маҳсулотлари сотиб олиш</t>
  </si>
  <si>
    <t>IFTIXOR MELIORATSIYA МЧЖ</t>
  </si>
  <si>
    <t>Давлат хизматлари маркази қурилиш ишларини бажариш мақсадида</t>
  </si>
  <si>
    <t>Сурхон балиғи</t>
  </si>
  <si>
    <t>Бек Али Атхамбек фермер хўжалиги</t>
  </si>
  <si>
    <t xml:space="preserve">48 АТК МЧЖ </t>
  </si>
  <si>
    <t>Техника хизмати кўрсатиш</t>
  </si>
  <si>
    <t>"CHANDARAK-NUR" МЧЖ</t>
  </si>
  <si>
    <t>Асл Жарқўрғон Чорвачилик Хусусий корхонаси</t>
  </si>
  <si>
    <t>120</t>
  </si>
  <si>
    <t>"Голд Мироншох" МЧЖ</t>
  </si>
  <si>
    <t xml:space="preserve">Ҳаммом хизматини ташкил этиш </t>
  </si>
  <si>
    <t>"Сарварбек Сардор" ф.х</t>
  </si>
  <si>
    <t>Чорвачиликни ташкил этиш (сут ва гўшт)</t>
  </si>
  <si>
    <t>"Файзли Нодирбек" Ф/Х</t>
  </si>
  <si>
    <t>"Жасурбек Тўраев" Ф/Х</t>
  </si>
  <si>
    <t>"Қизириқ мелиоратив қувур" МЧЖ</t>
  </si>
  <si>
    <t>Паррандачиликни ташкил этиш (гушт)</t>
  </si>
  <si>
    <t>"Омухта ем сифат" МЧЖ</t>
  </si>
  <si>
    <t>Нон ишлаб чиқариш ва ун тегирмони ташкил этиш</t>
  </si>
  <si>
    <t>"Қизириқ Инвест" Х/К</t>
  </si>
  <si>
    <t>Нон ишлаб чиқариш ҳамда тикувчилик цехини ташкил этиш</t>
  </si>
  <si>
    <t>Қурилиш материалларини ишлаб чиқариш</t>
  </si>
  <si>
    <t>"Шохжахон сервис оил" МЧЖ</t>
  </si>
  <si>
    <t>Бензин ва газ қуйиш шахобчасини кенагайтириш</t>
  </si>
  <si>
    <t>Автомабилларга техник хизмат кўрсатиш</t>
  </si>
  <si>
    <t xml:space="preserve">ЯТТ Рахмонов Азизбек </t>
  </si>
  <si>
    <t xml:space="preserve">Мебел маҳсулотлари ишлаб чиқаришни ташкил этиш </t>
  </si>
  <si>
    <t>Шохмат ОК</t>
  </si>
  <si>
    <t xml:space="preserve">Тикувчилик ва соғломлаштириш маркази ташкил этиш </t>
  </si>
  <si>
    <t>Холдинг Гулям Х/К</t>
  </si>
  <si>
    <t xml:space="preserve">Тикувчилик ва мини стадионни ташкил этиш </t>
  </si>
  <si>
    <t>Ғайратбек Ёшлар 
меҳнат гузари ХК</t>
  </si>
  <si>
    <t xml:space="preserve">Маҳалла гузари ташкил этиш </t>
  </si>
  <si>
    <t xml:space="preserve"> Бинокор идеал МЧЖ</t>
  </si>
  <si>
    <t>Газобетон ишлаб чиқариш ва махсус техника</t>
  </si>
  <si>
    <t>"MEGA GRAND G'ISHT"МЧЖ</t>
  </si>
  <si>
    <t>Ғишт ишлаб чикаришни ривожлантириш</t>
  </si>
  <si>
    <t>БАРАКА ГИШТ ФАЙЗ хусусий корхона</t>
  </si>
  <si>
    <t>Қурилиш материаллари (ғишт ич)</t>
  </si>
  <si>
    <t>"Янги замин" ФХ</t>
  </si>
  <si>
    <t>"Синдорбек Инвест экспресс" МЧЖ</t>
  </si>
  <si>
    <t>Коинот Файз барака ХК</t>
  </si>
  <si>
    <t>Қуёнчилик ташкил этиш</t>
  </si>
  <si>
    <t>"Келажак Парвози" МЧЖ</t>
  </si>
  <si>
    <t>Савдо комплекини ташкил этиш</t>
  </si>
  <si>
    <t>"Келажак Дарахти" МЧЖ</t>
  </si>
  <si>
    <t>Асаларичиликни ташкитл этиш</t>
  </si>
  <si>
    <t>"Мегапланет" ОК</t>
  </si>
  <si>
    <t>Соғломлаштириш марказини ташкил этиш</t>
  </si>
  <si>
    <t>"Шахло Акбарова" ОК</t>
  </si>
  <si>
    <t>Тикувчилик цехини ташкил этиш</t>
  </si>
  <si>
    <t>"Аманов Содиқ Шавкатжонович" Ф/Х</t>
  </si>
  <si>
    <t>Элдиёр Севинч МЧЖ</t>
  </si>
  <si>
    <t>"Оқ тулпор олтин балиқ" Ф/Х</t>
  </si>
  <si>
    <t>Сунъий ва табиий ҳавзаларда балиқчиликни ривожлантириш</t>
  </si>
  <si>
    <t xml:space="preserve">Интенсив боғ ва узумзорлар ташкил этиш </t>
  </si>
  <si>
    <t xml:space="preserve">"Илхом Жумаев" ОК </t>
  </si>
  <si>
    <t>Нон ва нон маҳсулотларини ишлаб чиқариш</t>
  </si>
  <si>
    <t>“QIZIRIQ TEXTILE” МCHJ</t>
  </si>
  <si>
    <t>Тайёр трикотаж махсулотлари ишлаб чиқаришни ташкил этиш</t>
  </si>
  <si>
    <t>“QIZIRIQ-GOLD TEXTILE” МCHJ</t>
  </si>
  <si>
    <t>“SURXON INDENIM TEXTILE” МCHJ</t>
  </si>
  <si>
    <t>Аброр Ахрор Чарос ХК</t>
  </si>
  <si>
    <t xml:space="preserve">Аҳолига маиший хизмат кўрсатиш нуқтасини ташкил этиш </t>
  </si>
  <si>
    <t>“QIZIRIQ-HUMO-TEXTILE” МCHJ</t>
  </si>
  <si>
    <t>"Асадбек Диёри 2019" ОК</t>
  </si>
  <si>
    <t>Полиэтилен махсулотлари ишлаб чиқаришни  кенгайтириш</t>
  </si>
  <si>
    <t>Сардор дастурчи 96 ОК</t>
  </si>
  <si>
    <t>Serquyosh pro agro МЧЖ</t>
  </si>
  <si>
    <t>"Жайхун Кластер Чорва" МЧЖ</t>
  </si>
  <si>
    <t>"Star Icebox" МЧЖ</t>
  </si>
  <si>
    <t>музлатгичли омборхона ташкил этиш</t>
  </si>
  <si>
    <t>иссиқхона ташкил этиш</t>
  </si>
  <si>
    <t>"Termez Jayxun Cluster" МЧЖ</t>
  </si>
  <si>
    <t>тўқимачилик фабрикасини ташкил этиш 
(ип-калавадан - тайёр маҳсулотгача)</t>
  </si>
  <si>
    <t xml:space="preserve">трикотаж матолари ва сочиқ ишлаб чиқаришни ишлаб чиқаришни ташкил этиш   </t>
  </si>
  <si>
    <t>"Сурхон сара уруғлари" МЧЖ</t>
  </si>
  <si>
    <t>замонавий пахта, ғалла ва полиз-сабзавот маҳсулотларининг уруғини қайта ишлаш технологиясини  ўрнатиш</t>
  </si>
  <si>
    <t>"HAYAT GRANT AGRO Logistik MARKAZI" МЧЖ</t>
  </si>
  <si>
    <t>Чорвачилик комплекси 10 000 бош қора мол ва 10 000 бош қўй ва эчкилар</t>
  </si>
  <si>
    <t>"Ниёзов Абулқосим" ХК</t>
  </si>
  <si>
    <t>Парррандачиликни ташкил этиш</t>
  </si>
  <si>
    <t>Астанов Жўрабек Х/К</t>
  </si>
  <si>
    <t>Махсус техника хизмати</t>
  </si>
  <si>
    <t>"Абдулфайз Хусанов" Х/К</t>
  </si>
  <si>
    <t>Қуруқ қоришмалар ишлаб чиқариш</t>
  </si>
  <si>
    <t>Zaxro Raxmatullo Limonzori F/X</t>
  </si>
  <si>
    <t>Unique Farm F/X</t>
  </si>
  <si>
    <t>Saxobiddinxon Limonzori F/X</t>
  </si>
  <si>
    <t>BEST FRESH LIMONZORI ФХ</t>
  </si>
  <si>
    <t>UMMUL QURO LIMONZORI FX</t>
  </si>
  <si>
    <t>Ezozaxon Limonzori F/X</t>
  </si>
  <si>
    <t>Alibek Limonchilik F/X</t>
  </si>
  <si>
    <t>SURXON AZIZBEK LIMONZORI FX</t>
  </si>
  <si>
    <t>ZAFARBEK  LIMONZORI FX</t>
  </si>
  <si>
    <t>XURRAM OTA LIMONZORI FX</t>
  </si>
  <si>
    <t>BLESSED LEMON GROVE FX</t>
  </si>
  <si>
    <t>Jamshid Nur Limonzori F/X</t>
  </si>
  <si>
    <t>Nodir Nur Limonzori</t>
  </si>
  <si>
    <t>AZIZBEK FARXOD LIMONZORI FX</t>
  </si>
  <si>
    <t>Sirojiddinovlar Limonzori F/X</t>
  </si>
  <si>
    <t>FOZIL FIRDAVS LIMONZORI FX</t>
  </si>
  <si>
    <t>MANSUR FAYZALI LIMONZORI FX</t>
  </si>
  <si>
    <t>SHAROFIDDINBEK LIMONZORI FX</t>
  </si>
  <si>
    <t>Умаршох Лимонзори Ф/Х</t>
  </si>
  <si>
    <t>ABBOS LIMONZORI FX</t>
  </si>
  <si>
    <t>SITRUS LIMITED FX</t>
  </si>
  <si>
    <t>BROWN LEMON FX</t>
  </si>
  <si>
    <t>RICH-HARVEST-LEMON FX</t>
  </si>
  <si>
    <t>YULDASHEV ULUGBEK LIMONZORI FX</t>
  </si>
  <si>
    <t>QUMQURGON LIMONZORI 777 FX</t>
  </si>
  <si>
    <t>Абдурахмоновлар Лимонзори Ф/Х</t>
  </si>
  <si>
    <t>AXMEDOVLAR LIMONZORI FX</t>
  </si>
  <si>
    <t>Музаффарзода Лимонлари Ф/Х</t>
  </si>
  <si>
    <t>Ўролбек Яйлови Ф/Х</t>
  </si>
  <si>
    <t>"Турон олтин балиқ ҳавзаси" КТФХ</t>
  </si>
  <si>
    <t>Осиё голд стар инвест МЧЖ</t>
  </si>
  <si>
    <t>Метан газ савдосини ташкил килиш</t>
  </si>
  <si>
    <t>Шох Лимонзори Ф/Х</t>
  </si>
  <si>
    <t>YUSUFBEK LIMONZORI ФХ</t>
  </si>
  <si>
    <t>"DILIM-NUR ZAFARBEK"</t>
  </si>
  <si>
    <t>Қуёнчилик ва парандачиликни ташкил этиш</t>
  </si>
  <si>
    <t>Наврўз Қашқа чорваси</t>
  </si>
  <si>
    <t>"Рамзиддин Мега Голд" МЧЖ</t>
  </si>
  <si>
    <t>Қандолатчикни ташкил этиш</t>
  </si>
  <si>
    <t>Умидахоним миллий ширинликлари ОК</t>
  </si>
  <si>
    <t>Рахмонқулов Соатмурод ДХ</t>
  </si>
  <si>
    <t>Тойлоқ барака қуёнлари МЧЖ</t>
  </si>
  <si>
    <t>"Эгамберди Жалолиддин" Ф/Х</t>
  </si>
  <si>
    <t>Чорвачиликни кенгайтиришни  ташкил этиш</t>
  </si>
  <si>
    <t>"Қумқўрғон Агро Юксалиш" Ф/Х</t>
  </si>
  <si>
    <t>Қуёнчиликни кенгайтриш</t>
  </si>
  <si>
    <t>" Муслима Ирода Мухаммадали" МЧЖ</t>
  </si>
  <si>
    <t>Автосервис ва маъиший хизмат кўрсатишни ташкил этиш</t>
  </si>
  <si>
    <t>Лимонзор Қалби хусусий корхонаси</t>
  </si>
  <si>
    <t>маъиший хизмат кўрсатишни ташкил этиш</t>
  </si>
  <si>
    <t>"Сурхон ПИ Асфальт" МЧЖ</t>
  </si>
  <si>
    <t>Асфальт бетон махсулотлари ишлаб чиқариш</t>
  </si>
  <si>
    <t>" Пармалаш ускуналарини таъмирлаш" МЧЖ</t>
  </si>
  <si>
    <t>Газаблок, темир бетон махсулотлари, ускуналарга сетка ишлаб чиқариш ва қишлоқ хўжаликги техникалари ҳамда насосларга техник таъмирлаш хизматини кўрсатиш.</t>
  </si>
  <si>
    <t>"Ибратли Ўғлонлар"Ф/Х</t>
  </si>
  <si>
    <t>Голден Нур Файз МЧЖ</t>
  </si>
  <si>
    <t>Замонавий типдаги иссиқхона ташкил қилиш ва махсус техника сотиб олиш</t>
  </si>
  <si>
    <t>"Осиё Агро Сталл" ХК</t>
  </si>
  <si>
    <t>"Жавхарой Жони" ФХ</t>
  </si>
  <si>
    <t>Сунъий қопламали футбол майдончаси ташкил этиш</t>
  </si>
  <si>
    <t>"Умарбек-Нур" Х/К</t>
  </si>
  <si>
    <t>Маиший хизмат кўрсатиш нуқтасини ташкил этиш</t>
  </si>
  <si>
    <t>"Пиноккииё" МЧЖ</t>
  </si>
  <si>
    <t>Музработ тумани, Шаффоф  маҳалласи хусусий мактабгача таълим муассасаларини ташкил этиш</t>
  </si>
  <si>
    <t>"SOHIBNAZAR ULUG'OV" MCHJ</t>
  </si>
  <si>
    <t xml:space="preserve">"Чорибобо Агро "Ф/Х </t>
  </si>
  <si>
    <t>"Хусанбобо" хусусий фирмаси</t>
  </si>
  <si>
    <t>2 дона Sinotruk HOWO цемент ташиш машинаси (тягач ва полуприцептний цементовоз) сотиб олиш</t>
  </si>
  <si>
    <t>ALP-DONI MCHJ</t>
  </si>
  <si>
    <t>Музработ Томорқа Хизмат МЧЖ</t>
  </si>
  <si>
    <t>"Алпомиш Сервис Инвест" хусусий корхонаси</t>
  </si>
  <si>
    <t>Бир марталик шприц ва бинт ишлаб чиқариш</t>
  </si>
  <si>
    <t>Rivoj Baraka KO МЧЖ</t>
  </si>
  <si>
    <t xml:space="preserve">Транспорт хизматини ташкил этиш </t>
  </si>
  <si>
    <t xml:space="preserve">"SURXON KSP-GRAND" МЧЖ </t>
  </si>
  <si>
    <t>Майдаланган қамиш хом ашёсидан КСП (ДСП) плиталари ишлаб чиқариш</t>
  </si>
  <si>
    <t>"Музработ юксалиш омад" МЧЖ</t>
  </si>
  <si>
    <t xml:space="preserve"> Агломерат плиткалар  ишлаб чиқариш </t>
  </si>
  <si>
    <t>Golden Piece Plus MCHJ</t>
  </si>
  <si>
    <t>Шолини кайта ишлаб гуруч ишлаб чикариш заводи ташкил этиш</t>
  </si>
  <si>
    <t>Behruzbek Grand Mir хусусий корхонаси</t>
  </si>
  <si>
    <t>Махсус техникалар сотиб олиш</t>
  </si>
  <si>
    <t xml:space="preserve">Нодирбек Шерхонбек ф/х </t>
  </si>
  <si>
    <t>Сардор Миллион транс Голд х/к</t>
  </si>
  <si>
    <t>Савдо ва маиший хизмат кўрсатиш мажмуоси</t>
  </si>
  <si>
    <t>Уч Огайни Голд О.К</t>
  </si>
  <si>
    <t>Умумий овкатланиш</t>
  </si>
  <si>
    <t>Химмат Савдо саноат фирмаси</t>
  </si>
  <si>
    <t>Транспорт Фоод Класс мчж</t>
  </si>
  <si>
    <t>Сикилган газ куйиш шахобчасини ташкил этиш</t>
  </si>
  <si>
    <t>Гелдимурд Мадина хусусий корхонаси</t>
  </si>
  <si>
    <t>"Фрукт Азия" МЧЖ</t>
  </si>
  <si>
    <t>Қишлоқ хўжалиги маҳсулотлари</t>
  </si>
  <si>
    <t>Ўқув марказлари, репетиторлик хизмати
(якка тартибда ва гуруҳ бўлиб машғулотлар ўтқазиш)</t>
  </si>
  <si>
    <t>"Равшанбек Қурбонов" ОК</t>
  </si>
  <si>
    <t>Автомабилларни ювиш ва техник хизмат кўрсатиш</t>
  </si>
  <si>
    <t>"Бойсун Азия транс" хусусий корхонаси</t>
  </si>
  <si>
    <t>Маиший хизмат кўрсатиш шахорбчаларини ташкил этиш, (Автомобилларни ювиш ва техник хизмат кўрсатиш)</t>
  </si>
  <si>
    <t>Инкабод Бурғу таъмир МЧЖ</t>
  </si>
  <si>
    <t>Аҳолига сув ўтказиш хизматлари (бурғулаш)</t>
  </si>
  <si>
    <t>"BEHRUZBEK GRAND MIR" XK</t>
  </si>
  <si>
    <t>Махсус техника олиш учун</t>
  </si>
  <si>
    <t>"IMRONBEK PROGRESS FOR" MCHJ</t>
  </si>
  <si>
    <t>Тикув цехи ташкил килиш</t>
  </si>
  <si>
    <t>"NAVRUZ NURLI" MCHJ</t>
  </si>
  <si>
    <t>Фитнес клуб ташкил килиш</t>
  </si>
  <si>
    <t>"ZARSHED-ABDUJALIL" MCHJ</t>
  </si>
  <si>
    <t>Ахолига курилиш материаллари етказиб бериш</t>
  </si>
  <si>
    <t>Истиклол-10 хусусий дорихонаси</t>
  </si>
  <si>
    <t>Хонадонларга дори-дармон етказиб беришни ташкил килиш</t>
  </si>
  <si>
    <t>Музработ Кунгирот Сервис Маьсулияти чекланган жамияти</t>
  </si>
  <si>
    <t>Пахта цехи ташкил килиш</t>
  </si>
  <si>
    <t>Музработ Сафаргул Элбеги Хусусий корхонаси</t>
  </si>
  <si>
    <t>Обихаёт богишамол ок</t>
  </si>
  <si>
    <t>Музрабод ХОВо транс мчж</t>
  </si>
  <si>
    <t>Гишт заводини ташкил килиш</t>
  </si>
  <si>
    <t>Жасмина Агро фх</t>
  </si>
  <si>
    <t>"Жануб Матонат" МЧЖ</t>
  </si>
  <si>
    <t>Омухта ем ишлаб чикариш  хамда полиэтилен қоп ишлаб чикаришни ташкил этиш</t>
  </si>
  <si>
    <t>"Балиқчи" Х/К</t>
  </si>
  <si>
    <t>"Жайхун Лайф" МЧЖ</t>
  </si>
  <si>
    <t xml:space="preserve">"Bio Agro Surxondaryo" МЧЖ ҚК  </t>
  </si>
  <si>
    <t>анорни қайта ишлаш кластерини ташкил этиш</t>
  </si>
  <si>
    <t xml:space="preserve">
"Laylo Jannat Shamoli" МЧЖ ҚК
</t>
  </si>
  <si>
    <t>Пенопласт ишлаб чиқаришни ташкил этиш</t>
  </si>
  <si>
    <t>Кенжа Тошев Хусусий корхонаси</t>
  </si>
  <si>
    <t>Мини стадион қуриш</t>
  </si>
  <si>
    <t>"Мастона Эхсон" оилавий корхонаси</t>
  </si>
  <si>
    <t>Автомобилларга техник хизмат курсатиш</t>
  </si>
  <si>
    <t>"Орзу қаноти" МЧЖ</t>
  </si>
  <si>
    <t>"Музработ ЭССЕ" МЧЖ ҚК</t>
  </si>
  <si>
    <t>Цимент ишлаб чиқаришни ташкил этиш</t>
  </si>
  <si>
    <t>"Музработ Рисе Кластер" МЧЖ</t>
  </si>
  <si>
    <t>Шоличилик кластерини ташкил этиш</t>
  </si>
  <si>
    <t>Сурхон Истиқлол Юксалиш МЧЖ</t>
  </si>
  <si>
    <t>"MIRSHODI КUZMUNCHOQLARI" МТМ</t>
  </si>
  <si>
    <t>Мактабгача таълим муассасасини ташкил этиш</t>
  </si>
  <si>
    <t>"SOUTH SHOPPING CENTER" МЧЖ</t>
  </si>
  <si>
    <t>"XURLUQO KUZMUNCHOG'I" МТМ</t>
  </si>
  <si>
    <t>"ABDINAZAR RAMAZONOV" oilaviy korxonasi</t>
  </si>
  <si>
    <t>"ABDULLAYEV ANVAR"  fermer xujaligi</t>
  </si>
  <si>
    <t>"Интенсив боғни" ривожлантириш</t>
  </si>
  <si>
    <t>"ABDURAYIM YULDOSHIV" fermer xujaligi</t>
  </si>
  <si>
    <t>"BIBIZAYNAB BUNYODKORI" xususiy korxonasi</t>
  </si>
  <si>
    <t>"BOTOSH LOCHINI" fermer xujaligi</t>
  </si>
  <si>
    <t>"BURONOV ABDUKARIM" fermer xujaligi</t>
  </si>
  <si>
    <t>"Интенсив усулда узумчиликни" ташкил этиш</t>
  </si>
  <si>
    <t>"CHIRNOBILCHILAR UYUSHMASI XUZURIDAGI DAVRONBEKJON" xususiy korxonasi</t>
  </si>
  <si>
    <t xml:space="preserve">"CHORI RUST SHARBATLARI" МЧЖ </t>
  </si>
  <si>
    <t>"CHUMCHUQLI ADIR CHORVASI " fermer xujaligi</t>
  </si>
  <si>
    <t>"EGAMBERDI QUSHOQOV" fermer xujaligi</t>
  </si>
  <si>
    <t>"Тош майдалаш кластерини" ташкил этиш</t>
  </si>
  <si>
    <t>"ELENORA SAVDO" xususiy korxonasi</t>
  </si>
  <si>
    <t>"Автомобилларга техник хизмат кўрсатишни" ташкил этиш</t>
  </si>
  <si>
    <t>"Нон ва нон махсулотлари ишлаб чиқаришни" ташкил этиш</t>
  </si>
  <si>
    <t>"ESHMURODOV DOBIL" fermer xujaligi</t>
  </si>
  <si>
    <t>"G'UCHCHIYEV MENGQOBIL" fermer xujaligi</t>
  </si>
  <si>
    <t>"Medical Plaster" МЧЖ</t>
  </si>
  <si>
    <t>Хусусий клиникани кенгайтириш</t>
  </si>
  <si>
    <t>"MIRSHODILIK ZAYNILOBIDIN" fermer xujaligi</t>
  </si>
  <si>
    <t>Нон ва нон махсулотлари ишлаб чиқаришни кенгайтиришга хом ашё сотиб олиш</t>
  </si>
  <si>
    <t>Сут махсулотларини ишлаб чиқаришни кенгайтиришга хом ашё сотиб олиш</t>
  </si>
  <si>
    <t>"MUNGLI MAYSA" fermer xujaligi</t>
  </si>
  <si>
    <t xml:space="preserve">Музлатгич омборхонасини ташкил этиш </t>
  </si>
  <si>
    <t>"NIZOM OPTIMAL" МЧЖ</t>
  </si>
  <si>
    <t>"Темир бетон плита ишлаб чиқариш цеҳини" ташкил этиш</t>
  </si>
  <si>
    <t>"NJL LASVEGES" МЧЖ</t>
  </si>
  <si>
    <t>"Логистика марказини" ташкил этиш</t>
  </si>
  <si>
    <t>"NUR" xususiy korxonasi</t>
  </si>
  <si>
    <t xml:space="preserve">"OLTINSOY GAVHARI" МЧЖ </t>
  </si>
  <si>
    <t>"Тош майдалаш ва ювилган шебин, қум  ишлаб чиқаришни" ташкил этиш</t>
  </si>
  <si>
    <t>"OLTINSOY MEDISOF" МЧЖ</t>
  </si>
  <si>
    <t>"PARDAYEV ALIYAR" oilaviy korxonasi</t>
  </si>
  <si>
    <t>"Замонавий меҳмонхона" ташкил этиш</t>
  </si>
  <si>
    <t>"QORA TEPA FАRM" xususiy korxonasi</t>
  </si>
  <si>
    <t>"Шпалер ва бетон маҳсулотларини" ишлаб чиқаришни ташкил этиш</t>
  </si>
  <si>
    <t>"RAJAB QUCHQOROV"fermer xujaligi</t>
  </si>
  <si>
    <t>"Интенсив узум боғини" ташкил этиш</t>
  </si>
  <si>
    <t>"SODIQ" xususiy korxonasi</t>
  </si>
  <si>
    <t>"SULTON SHARBATI" МЧЖ</t>
  </si>
  <si>
    <t>"Автосервис комплекс хизматини" ташкил этиш</t>
  </si>
  <si>
    <t>"Интенсив воиш усулида узумчиликни" ташкил этиш</t>
  </si>
  <si>
    <t>"Zamin Mega Gold" МЧЖ</t>
  </si>
  <si>
    <t>"ULUGBEK OLTIN ZAMINI"   xususiy korxonasi</t>
  </si>
  <si>
    <t>"XUJASOAT SAVDO" xususiy korxonasi</t>
  </si>
  <si>
    <t>"Шлакоблок ишлаб чиқаришни" ташкил этиш</t>
  </si>
  <si>
    <t>Қандолат маҳсулотларини ишлаб чиқаришни ташкил этиш</t>
  </si>
  <si>
    <t>"XUSAN" fermer xujaligi</t>
  </si>
  <si>
    <t>"Узумчиликни" ташкил қилиш</t>
  </si>
  <si>
    <t>Ташаббускор "Мамасобиров Шарофиддин"</t>
  </si>
  <si>
    <t>Фуқаро "Назаров Боходир Юлдошиевич" ("Жануб Агро Барокат" фх)</t>
  </si>
  <si>
    <t>Музлаткичли омборхона ва узумчиликни ташкил этиш</t>
  </si>
  <si>
    <t>Фуқоро "Эсанов Абдували"</t>
  </si>
  <si>
    <t>"Интенсив боғ, иссиқхона ва воишли усулда узумчиликни" ташкил этиш</t>
  </si>
  <si>
    <t xml:space="preserve">"Олтинсой строй" МЧЖ </t>
  </si>
  <si>
    <t>Табий тошларни майдалаш ва қайта ишлаш</t>
  </si>
  <si>
    <t>"Билол авия"ХК</t>
  </si>
  <si>
    <t>"Мухиддин Стом Сервес" хусусий корхонаси</t>
  </si>
  <si>
    <t>"Хусусий кленика" ташкил этиш</t>
  </si>
  <si>
    <t>"Руслан Нормухаммедович" хусусий корхонаси</t>
  </si>
  <si>
    <t>"Савдо нуқтаси Туй ва маросимлар ўтказишни" ташкил этиш</t>
  </si>
  <si>
    <t>"Абдуназар Ромозонов" оилавий корхонаси</t>
  </si>
  <si>
    <t>"Боғдорчиликни" ташкил этиш</t>
  </si>
  <si>
    <t>"Миршоди Чорва Равнақи" оилавий корхонаси</t>
  </si>
  <si>
    <t>"Чорвачиликни" ташкил этиш</t>
  </si>
  <si>
    <t>"AAFL ELIKTRONIK" МЧЖ</t>
  </si>
  <si>
    <t>"Махсус техника хизматини" ташкил этиш</t>
  </si>
  <si>
    <t>"Пайзиллаева Гулсун" оилавий корхонаси</t>
  </si>
  <si>
    <t>"Қурилиш матиреалларини ишлаб чиқаришни" (Пенаблоқ, Газвблок) ташкил этиш</t>
  </si>
  <si>
    <t>"ELNURBEK STAR" oilaviy korxonasi</t>
  </si>
  <si>
    <t>"MUSTAQILLIK" fermer xujaligi</t>
  </si>
  <si>
    <t>АLTIMABIL  GRОUP  МЧЖ</t>
  </si>
  <si>
    <t>"Gastranom Food" MCHJ</t>
  </si>
  <si>
    <t>"Замонавий савдо мажмуаси" ташкил этиш</t>
  </si>
  <si>
    <t>"Прафнастил ишлаб чиқаришни" ташкил этиш</t>
  </si>
  <si>
    <t>"Автосервис хизматини" ташкил этиш</t>
  </si>
  <si>
    <t>"QIROL MED" МЧЖ</t>
  </si>
  <si>
    <t xml:space="preserve">"Интенсив усулда узумчиликни"  ташкил этиш </t>
  </si>
  <si>
    <t>"SUNBULA CHASHMASI" xususiy korxonasi</t>
  </si>
  <si>
    <t xml:space="preserve">Туйхона ва маросимлар ўтказиш хизматини ташкил этиш </t>
  </si>
  <si>
    <t>ЯТТ "Номозова Насиба Нормаматовна"</t>
  </si>
  <si>
    <t>Савдо ва маъиший хизмат кўрсатиш нуқтаси ташкил этиш</t>
  </si>
  <si>
    <t>"Элнора Савдо" ХК</t>
  </si>
  <si>
    <t>Давлат хусусий шерикчилик асосида Маҳалла гузари ташкил этиш</t>
  </si>
  <si>
    <t>"Асила Олтин Олмослари" ХК</t>
  </si>
  <si>
    <t>Замонавий савдо нуқтаси ташкил этиш</t>
  </si>
  <si>
    <t>"Моҳиҳои Халқабод" фермер хўжалиги</t>
  </si>
  <si>
    <t xml:space="preserve">"Замонавий савдо нуқтасини" ташкил этиш </t>
  </si>
  <si>
    <t>YaTT "XOLIQOV OYBEK"</t>
  </si>
  <si>
    <t>"Сунний қопламали стадион" ташкил этиш</t>
  </si>
  <si>
    <t>Фуқоро "Ашурова Лола Абсаматовна"</t>
  </si>
  <si>
    <t>"Интенсив усулда шафтоли, гилос боғини" ташкил этиш</t>
  </si>
  <si>
    <t>"Олтинсой Авто" МЧЖ</t>
  </si>
  <si>
    <t>Автосервис, Умумий овқатланиш нуқтаси ташкил этиш</t>
  </si>
  <si>
    <t>"AGRO STAR MARMIN" МЧЖ</t>
  </si>
  <si>
    <t>"Маиший хизмат кўрсатиш, Умумий овқатланиш ва Мехмонхона хизматини" ташкил этиш</t>
  </si>
  <si>
    <t>"Орзу К" МЧЖ</t>
  </si>
  <si>
    <t>Олтинсой туманида жойлашган узумни бирламчи қайта ишлаш шахобчасини модернизация қилиш йўли билан замонавий асбоб-ускуна жорий этиш</t>
  </si>
  <si>
    <t>"THE BEST OLTINSOY" ХК</t>
  </si>
  <si>
    <t>"Тикувчилик, Ўқув маркази, Китоб дукони " ташкил этиш</t>
  </si>
  <si>
    <t>"XO'JAYEV BAHROM"  fermer xujaligi</t>
  </si>
  <si>
    <t>XAYITMUROD ABDULLAYEV МЧЖ</t>
  </si>
  <si>
    <t>"Ботош Пахлавони" фермер хўжалиги</t>
  </si>
  <si>
    <t>"Хур Улкам Миршоди" МЧЖ</t>
  </si>
  <si>
    <t>"Сурхон Мебел Равнақ" оилавий корхонаси</t>
  </si>
  <si>
    <t>"Мебил ишлаб чиқариш ва нон махсулотлдарини ишлаб чиқаришни" ташкил этиш</t>
  </si>
  <si>
    <t>"Нон ва нон махсулотларини ишлаб чиқаришни" ташкил этиш</t>
  </si>
  <si>
    <t>"Ёқубов Омонтурди" Оилавий корхонаси</t>
  </si>
  <si>
    <t>"Махалла гузарини" ташкил этиш</t>
  </si>
  <si>
    <t>"Сафаров Абдуқодир Сервес" оилавий корхонаси</t>
  </si>
  <si>
    <t xml:space="preserve">"Автомобилларга техник хизмат кўрсатишни" ташкил этиш </t>
  </si>
  <si>
    <t>"Ғуччиев Азизбек" МЧЖ</t>
  </si>
  <si>
    <t>"Ишлаб чиқаришни ривожлантириш ҳамда Савдо мажмуасини" ташкил этиш</t>
  </si>
  <si>
    <t>"Олча Гилос Боғлари" фермер хўжалиги</t>
  </si>
  <si>
    <t xml:space="preserve">"Боғдорчиликни" ташкил этиш </t>
  </si>
  <si>
    <t>ОЛТИНСОЙ КАМОЛОТИ ФХ</t>
  </si>
  <si>
    <t>Қишлоқ хўжалиги техникаси хизматини ташкил этиш</t>
  </si>
  <si>
    <t>Сахий ер фермер хужалиги</t>
  </si>
  <si>
    <t>"ШСЗ 1" МЧЖ</t>
  </si>
  <si>
    <t>“Abror Kafolat Sifat” МЧЖ</t>
  </si>
  <si>
    <t>“Мехмонхона хизматини ташкил этиш”</t>
  </si>
  <si>
    <t>Аббосбек абад МЧЖ</t>
  </si>
  <si>
    <t>Газобетон ишлаб чиқариш</t>
  </si>
  <si>
    <t>Юсуф Мухаммад МЧЖ</t>
  </si>
  <si>
    <t>Газобетон махсулотларини ищлаб чикаришни ташкил этиш</t>
  </si>
  <si>
    <t>"Солиҳабону" МЧЖ</t>
  </si>
  <si>
    <t>Чорвачиликни ривожлантириш (Қорамол)</t>
  </si>
  <si>
    <t>“SURXON MOXIDIL” МЧЖ</t>
  </si>
  <si>
    <t>“Тошни қайта ишлашда фойдаланиладиган симли элаклар ва сим тўсиқлар ишлаб чиқариш”</t>
  </si>
  <si>
    <t>"Диёрбек Озодбек Орифжон" ХК</t>
  </si>
  <si>
    <t>"Шер" фермер хўжалиги</t>
  </si>
  <si>
    <t>Маиший хизмат қурсатишни комплекси ташкил этиш</t>
  </si>
  <si>
    <t>"Хан Мед" хусусий корхонаси</t>
  </si>
  <si>
    <t>Хусусий клиника ташкил этиш мақсадида бино қурилиши ҳамда жихозлаш учун</t>
  </si>
  <si>
    <t>"Икром Барака сервис" ХК</t>
  </si>
  <si>
    <t>"Сариосиё Малика Нур" ОК</t>
  </si>
  <si>
    <t>Маиший хизмат кўрсатиш компеликсни ташкил этиш</t>
  </si>
  <si>
    <t>NORDBERG BERGTAND SHAGAL SARALASH MCHJ</t>
  </si>
  <si>
    <t>Ноорудавий махсулотлар (қум, шағал) ишлаб чиқаришни ташкил этиш</t>
  </si>
  <si>
    <t>"Шухрат Турев" МЧЖ</t>
  </si>
  <si>
    <t>FAYZ INVEST BARAKA SAVDO xususiy korxonasi</t>
  </si>
  <si>
    <t>Спорт ва соғломлаштириш хизматларини ташкил этиш</t>
  </si>
  <si>
    <t>Хуфар Строй Транс МЧЖ</t>
  </si>
  <si>
    <t>Кимёвий тозалаш (химчиска) ташкил этиш</t>
  </si>
  <si>
    <t>"Мухсина Фирдавс" МЧЖ</t>
  </si>
  <si>
    <t>"Жасур агро" ХК</t>
  </si>
  <si>
    <t>Автомобилларга сиқилган газ билан тўлдириш компрессор станцияси ташкил этиш</t>
  </si>
  <si>
    <t>"Dream Start" МЧЖ</t>
  </si>
  <si>
    <t>Мехмохна фаолиятни ташкил этиш</t>
  </si>
  <si>
    <t>"АСЛ-ФОРЕЛ" Ф/Х</t>
  </si>
  <si>
    <t>Фарел голден фиш фх</t>
  </si>
  <si>
    <t>Хасанхон асётр балиқлари фх</t>
  </si>
  <si>
    <t>"Қандил Парвоз Файз" фх</t>
  </si>
  <si>
    <t>Балиқчиликни ташкил этишни кенгайтириш (форель)</t>
  </si>
  <si>
    <t>"Феруза Боғбон Омад"
ФХ</t>
  </si>
  <si>
    <t>Интенсив воғ ташкли этиш</t>
  </si>
  <si>
    <t>"Бахриддин Омад" ОК</t>
  </si>
  <si>
    <t>Мухриддин Икбол Файз ХК</t>
  </si>
  <si>
    <t>SHABBONA  IMONA Oilaviy korxona</t>
  </si>
  <si>
    <t>ENG YOSH TADBIRKOR OILA Oilaviy korxona</t>
  </si>
  <si>
    <t>"Сурхон Комфорт Бизнес" МЧЖ</t>
  </si>
  <si>
    <t>Мебел ишлаб чиқаришни кенгайтириш</t>
  </si>
  <si>
    <t>"Зикиров Ҳамробобо" ф.х</t>
  </si>
  <si>
    <t>"Холби момо" МЧЖ</t>
  </si>
  <si>
    <t>"Учқизил Омон маскани" МЧЖ</t>
  </si>
  <si>
    <t>Замонавий типдаги Мехмонхона ташкил этиш</t>
  </si>
  <si>
    <t>"Эко Термиз Боғ" ФХ</t>
  </si>
  <si>
    <t>Иссиқхона ташкил ташкил этиш</t>
  </si>
  <si>
    <t>"Термиз Сардор транс" МЧЖ</t>
  </si>
  <si>
    <t>Чорвачилик (сут ва гўшт йўналиши) комплекси ташкил этиш</t>
  </si>
  <si>
    <t>"Жануб Лабо авто транс" МЧЖ</t>
  </si>
  <si>
    <t>Чорвачилик (сут йўналиши) комплекси ташкил этиш</t>
  </si>
  <si>
    <t>"Termiz Farxod" Х/К</t>
  </si>
  <si>
    <t>Авто ихтиёт қисмлари савдо мажмуасини ташкил этиш</t>
  </si>
  <si>
    <t xml:space="preserve">"Faran Group LTD" МЧЖ </t>
  </si>
  <si>
    <t>Гидропоника усулида иссиқхона ташкил этиш</t>
  </si>
  <si>
    <t>Limonzor Agro хусусий корхонаси</t>
  </si>
  <si>
    <t>Жалол Омад Термиз МЧЖ</t>
  </si>
  <si>
    <t>Улуғбеке Жавохирбек Мафтунабону МЧЖ</t>
  </si>
  <si>
    <t>Қоп ишлаб чиқариш</t>
  </si>
  <si>
    <t>Латифа Термиз савдо МЧЖ</t>
  </si>
  <si>
    <t>"Намуна Хўжа" УЧСИЧК</t>
  </si>
  <si>
    <t>Маиший хизмат</t>
  </si>
  <si>
    <t>"Термиз люкс транс" МЧЖ</t>
  </si>
  <si>
    <t>Термиз Текистил МЧЖ</t>
  </si>
  <si>
    <t>Тўқимачилик махсулотларига ранг бериш ва тикиш</t>
  </si>
  <si>
    <t>"Грант Равнақ" МЧЖ</t>
  </si>
  <si>
    <t>Маиший хизмат кўрсатиш ва савдо нуқтаси ташкил қилиш</t>
  </si>
  <si>
    <t>"Нуралибек-Янгиариқ" Ф/Х</t>
  </si>
  <si>
    <t>"Султонбек" ФХ</t>
  </si>
  <si>
    <t>"СITY SNAB" МЧЖ</t>
  </si>
  <si>
    <t>Ун завод ташкил этиш</t>
  </si>
  <si>
    <t>"Жануб Покиза Дон" МЧЖ</t>
  </si>
  <si>
    <t xml:space="preserve">Ун ва ун махсулотларини ишлаб чиқариш </t>
  </si>
  <si>
    <t>way grets xk</t>
  </si>
  <si>
    <t>бетон махсулотларини ишлаб чикариш ташкил этиш</t>
  </si>
  <si>
    <t>саноат</t>
  </si>
  <si>
    <t>"Termez Shoes" МЧЖ</t>
  </si>
  <si>
    <t>Пойабзал махсулотлари ишлаб чиқариш</t>
  </si>
  <si>
    <t>"Сурқаш Хамкор" МЧЖ</t>
  </si>
  <si>
    <t>Металлкомплект (қурилиш фасад материаллари)</t>
  </si>
  <si>
    <t xml:space="preserve">"TERMIZ KANSELARIYA MOLLARI" МЧЖ </t>
  </si>
  <si>
    <t xml:space="preserve">Телевизор ишлаб чиқаришни  ташкилл этиш  </t>
  </si>
  <si>
    <t>“Indenim Textile” МЧЖ</t>
  </si>
  <si>
    <t xml:space="preserve">Тайёр тикувчилик маҳсулотлари </t>
  </si>
  <si>
    <t>"Термиз Инденим тестиль" МЧЖ</t>
  </si>
  <si>
    <t>Тайёр тўқимачилик маҳсулотларини ишлаб чиқариш</t>
  </si>
  <si>
    <t>"Термиз Фарзона Транс" МЧЖ</t>
  </si>
  <si>
    <t>Лак-бўёқ маҳсулотлари ишлаб чиқариш</t>
  </si>
  <si>
    <t>"Bexruzbek Ayratom Taminot" хусусий корхонаси</t>
  </si>
  <si>
    <t>Туристларга хизмат кўрсатиш маркази</t>
  </si>
  <si>
    <t>"TERMIZ MARVARID" хусусий корхонаси</t>
  </si>
  <si>
    <t>Маиший хизмат кўрсатишни ташкил этиш. (Автотураргоҳ ва умумий овқатланиш)</t>
  </si>
  <si>
    <t>"Сурхонтуризм" МЧЖ</t>
  </si>
  <si>
    <t>Композит арматура ва сетка ишлаб чиқариш</t>
  </si>
  <si>
    <t xml:space="preserve"> "Афросиёб Парранда"  МЧЖ </t>
  </si>
  <si>
    <t xml:space="preserve"> паррандачилик учун ем ишлаб чиқаришни ташкил этиш</t>
  </si>
  <si>
    <t>меҳмонхона ва дам олиш маскани ташкил этиш</t>
  </si>
  <si>
    <t xml:space="preserve">"Олтин Кафас" МЧЖ </t>
  </si>
  <si>
    <t xml:space="preserve"> паррандачилик комплекстини ташкил этиш</t>
  </si>
  <si>
    <t>" СУРХОН БОГИ БЕХИШТ" Ф/Х</t>
  </si>
  <si>
    <t>Богдорчиликни ташкил этиш</t>
  </si>
  <si>
    <t>Агро Голд Траде МЧЖ</t>
  </si>
  <si>
    <t>Мансур Абдулфаттоҳ МЧЖ</t>
  </si>
  <si>
    <t>"BO'STON-SURXON YUKSALISH" ХК</t>
  </si>
  <si>
    <t xml:space="preserve"> "Жануб Боғи Дала" фермер хўжалик</t>
  </si>
  <si>
    <t>Янгиариқ томорқа хизмати МЧЖ</t>
  </si>
  <si>
    <t>Шахруз Намуна Сардори ОК</t>
  </si>
  <si>
    <t>Иссиқхона биноси</t>
  </si>
  <si>
    <t>"BARAKA TERMIZ GOLD" МЧЖ</t>
  </si>
  <si>
    <t>Намлантирилган салфеткалар, болалар таглиги ҳамда аёллар учун гигиена воситалари ишлаб чиқаришни ташкил этиш</t>
  </si>
  <si>
    <t>"South Sun Development" МЧЖ</t>
  </si>
  <si>
    <t>Буғдойни қайта ишлаш учун ун тегирмони қуриш</t>
  </si>
  <si>
    <t>Сурхон Жануб Транс Мачж</t>
  </si>
  <si>
    <t>Теплица куриш ва музлатгич олиш учун</t>
  </si>
  <si>
    <t>Шохбекат Термиз МЧЖ</t>
  </si>
  <si>
    <t>Рахмат Ривож Камрах МЧЖ</t>
  </si>
  <si>
    <t>Ҳар хил турдаги қоп ич</t>
  </si>
  <si>
    <t>"GoldenServis-Plus" МЧЖ</t>
  </si>
  <si>
    <t>Термиз шаҳридаги автомобилларга сиқилган газ тўлдириш станцияси ва автотранспорт воситаларига техник хизмат кўрсатиш шахобчаларини қуриш</t>
  </si>
  <si>
    <t>"Termiz To'yxonasi" МЧЖ</t>
  </si>
  <si>
    <t>Термиз шахрида 100 ўринга мўлжалланган меҳмонхона хўжалигини ташкил этиш</t>
  </si>
  <si>
    <t>"Био Техно Эко" МЧЖ</t>
  </si>
  <si>
    <t xml:space="preserve">Полиэтилен қувурлари ишлаб чиқариш </t>
  </si>
  <si>
    <t>"Сурхон Бек Хаус" МЧЖ</t>
  </si>
  <si>
    <t>Нон ва нон махсулотлари итшлаб чиқариш</t>
  </si>
  <si>
    <t>"Мустафо Мухаммад Ислом" МЧЖ</t>
  </si>
  <si>
    <t>Тўй тадбир ўтказиш учун апаратуралар олиш</t>
  </si>
  <si>
    <t>Темир бетон, брусчатка шлака блок маҳсулотлари ишлаб чиқариш</t>
  </si>
  <si>
    <t>"Зилол Акбар Савдо" МЧЖ</t>
  </si>
  <si>
    <t>Қурилиш материаллари (Шпаклевка,  клей, ички ва ташқи фасад учун родбант) ишлаб чиқаришни ташкил этиш</t>
  </si>
  <si>
    <t>"SITORA UNITED GRAND"XK</t>
  </si>
  <si>
    <t>Шпаклевка маҳсулотларини ишлаб чиқариш фаолиятини ташкил этиш</t>
  </si>
  <si>
    <t>"ORAVIT CERAMIC" МЧЖ</t>
  </si>
  <si>
    <t>Сантехника керамик  буюмлари  ишлаб чикариш</t>
  </si>
  <si>
    <t>"Чагам Азия" МЧЖ</t>
  </si>
  <si>
    <t>Ун ва ун маҳсулотларини ишлаб чиқаришни ташкил этиш</t>
  </si>
  <si>
    <t>"QIYOMIDDIN FAYZ SERVIS" ХК</t>
  </si>
  <si>
    <t>фармацевтика хизмати (Дорихона)</t>
  </si>
  <si>
    <t>"Avto Star Berkut"МЧЖ</t>
  </si>
  <si>
    <t>Ахолига транспорт хизмати ташкил этиш</t>
  </si>
  <si>
    <t>"Ардашер Термиз" СИЧХК</t>
  </si>
  <si>
    <t>Миллий ширинликлар ишлаб  чиқаришни ташкил этиш</t>
  </si>
  <si>
    <t>ООО "ALIYSA"</t>
  </si>
  <si>
    <t>Қурилиш махсулотлари савдоси хизматини ташкил этиш</t>
  </si>
  <si>
    <t>"Life Textile" ҚК</t>
  </si>
  <si>
    <t>Тикувчиликни ривожлантириш</t>
  </si>
  <si>
    <t>"Сурхон сервис юксалиш" МЧЖ</t>
  </si>
  <si>
    <t>ХУСАНБЕК М.Ч.Ж.</t>
  </si>
  <si>
    <t xml:space="preserve">“Метан газ тўлдириш компрессори” шахобчаси ташкил этиш </t>
  </si>
  <si>
    <t>"Сурхон Техник Сервис" МЧЖ</t>
  </si>
  <si>
    <t>Мева-сабзавотларни қайта ишлаш ва қуритишни ташкил этиш</t>
  </si>
  <si>
    <t>Стандарт саноат сеовис курилиш МЧЖ</t>
  </si>
  <si>
    <t xml:space="preserve">Кўп қаватли турар жой биносини қуриш хамда  маиший хизмат кўрсатиш </t>
  </si>
  <si>
    <t>Сурхон Нафаси МЧЖ</t>
  </si>
  <si>
    <t xml:space="preserve">Термиз шаҳрида "Яшил дунё" савдо комплексини ташкил этиш </t>
  </si>
  <si>
    <t xml:space="preserve">Савдо комплекси ташкил этиш </t>
  </si>
  <si>
    <t>"Капитал улгуржи савдо" МЧЖ</t>
  </si>
  <si>
    <t>Томчили шлангларни ва бир маротиба ишлатиладиган идишлар ишлаб чиқариш</t>
  </si>
  <si>
    <t>“Afghan Bazar Silk Carpets Asia” МЧЖ ҚК</t>
  </si>
  <si>
    <t xml:space="preserve">гилам тўқишни ташкил этиш </t>
  </si>
  <si>
    <t>Ургут-Термиз-Алоқа МЧЖ</t>
  </si>
  <si>
    <t>Замонавий кўп қаватли уй-жой қуриш савдо ва маиший хизматни ташкил этиш (Термиз ш А.Навоий кўчаси ёқасида 34,36 уйлар)</t>
  </si>
  <si>
    <t>Неврология йўналишида замонавий реаблитация ва диагностика клиникасини ташкил этиш</t>
  </si>
  <si>
    <t>"JAVOHIRBEK SURXON QURILISH" ХК</t>
  </si>
  <si>
    <t xml:space="preserve">Замонавий мехмонхона ва маиший хизмат кўрсатиш нуқталари ташкил этиш
</t>
  </si>
  <si>
    <t>"SURXON OBOD QURILISH"МЧЖ</t>
  </si>
  <si>
    <t xml:space="preserve">Туй маросимларида профессионал фото ва видео хизматини ташкил этиш </t>
  </si>
  <si>
    <t>Кавсар Мадад ХК</t>
  </si>
  <si>
    <t>Шифер махсулотлари ишлаб чиқаришни кенгайтириш</t>
  </si>
  <si>
    <t>Зокир Гулустон хк</t>
  </si>
  <si>
    <t>Қурилиш материаллари ишлаб чиқариш Шебен завод</t>
  </si>
  <si>
    <t>"Uzun Chinor Agro Fayz" МЧЖ</t>
  </si>
  <si>
    <t xml:space="preserve">"Сурхон Имкон Инвест" МЧЖ </t>
  </si>
  <si>
    <t>Музаффарбек ФХ</t>
  </si>
  <si>
    <t>"ЯНГИ ЙЎЛ ИМКОНИЯТИ "МЧЖ</t>
  </si>
  <si>
    <t>"Акбаршох" Х/К</t>
  </si>
  <si>
    <t>Чорвачиликни ташкил этиш ва сутни кайта ишлаш</t>
  </si>
  <si>
    <t>Сурхон Иншоат Таьмир МЧЖ</t>
  </si>
  <si>
    <t>"QUVONDIQ RUSTAMOV" МЧЖ</t>
  </si>
  <si>
    <t>" Aziya Uzun Gold Fruit" МЧЖ</t>
  </si>
  <si>
    <t>Олтиариқ усулида воишли токзор ташкил этиш</t>
  </si>
  <si>
    <t>"Мусинжон юксалиш келажак" хк</t>
  </si>
  <si>
    <t>"SARUHAN" ХК</t>
  </si>
  <si>
    <t>"INVEST MEHNAT" МЧЖ</t>
  </si>
  <si>
    <t>Гипсакартон ишлаб чиқаришни ташкил этиш</t>
  </si>
  <si>
    <t>"VAQT ECO INVEST" МЧЖ</t>
  </si>
  <si>
    <t>Экобозор ва савдо комплекси ташкил этиш</t>
  </si>
  <si>
    <t>Шахзод Зоир Махмат ХК</t>
  </si>
  <si>
    <t>Маиший хизмат ташкил қилиш</t>
  </si>
  <si>
    <t>БОТИР Х ФИРМАСИ</t>
  </si>
  <si>
    <t>ТУМАРИС ЮМШОҚ ЖИХОЗЛАРИ ХК</t>
  </si>
  <si>
    <t>UZUN ASIL QURILISH хусусий корхонаси</t>
  </si>
  <si>
    <t>Махсус техникалар хизмати</t>
  </si>
  <si>
    <t>"SHOY-MENG BUSINESS UZUN" ХК</t>
  </si>
  <si>
    <t>Спорт пойабзаллари ишлаб чиқаришни ташкил этиш</t>
  </si>
  <si>
    <t>EVRO-GOLD-BULDING ХК</t>
  </si>
  <si>
    <t>MUHAMMAD ALI LOLA ХК</t>
  </si>
  <si>
    <t>Автошохбекат ва савдо нуқталарини ташкил этиш</t>
  </si>
  <si>
    <t>НУР-М ХФ</t>
  </si>
  <si>
    <t>Савдо ва маиший хизмат кўрсатиш марказини ташкил этиш</t>
  </si>
  <si>
    <t>Surxon Sifatli Savdo маъсулияти чекланган жамияти</t>
  </si>
  <si>
    <t>"EKONOM ENERGIYA" Х/К</t>
  </si>
  <si>
    <t xml:space="preserve"> "UZUN NEUROMED" ХК</t>
  </si>
  <si>
    <t>Тиббий диагностик ташхис ва даволаш маркази ташкил этиш</t>
  </si>
  <si>
    <t>ТУРАМУРОД СИРОЖИДДИН А. ФХ</t>
  </si>
  <si>
    <t>"Шабада Оромгохи" ХК</t>
  </si>
  <si>
    <t>"Қоратоғ Файз" ХК</t>
  </si>
  <si>
    <t>"Шер Панжа Файз"ХК</t>
  </si>
  <si>
    <t>Замонавий хаммом хизматини ташкил этиш лойиҳаси</t>
  </si>
  <si>
    <t>"Нодир Сурхон Чорвачиликни ривожлантириш" ХК</t>
  </si>
  <si>
    <t>Интенсив усулда балиқ етиштиришни ташкил этиш</t>
  </si>
  <si>
    <t>"Шермуҳаммад Билолиддин Узумчилик" МЧЖ</t>
  </si>
  <si>
    <t>Узумчилик хўжалигини ташкил этиш</t>
  </si>
  <si>
    <t>"Сурхон Қурилиш Бутлаш" МЧЖ</t>
  </si>
  <si>
    <t>Хар хил турдаги ламинатланган пол махсулотлари ишлаб чиқаришни ташкил этиш</t>
  </si>
  <si>
    <t>"BINOKOR PGS BETON" ХК</t>
  </si>
  <si>
    <t>Темир-бетон ва газо блок ишлаб чиқаришни ташкил этиш</t>
  </si>
  <si>
    <t>"Узун Бехруз Мебеллари" МЧЖ</t>
  </si>
  <si>
    <t>YTT SATTOROV AXMAD MAXMARAJAB OGLI</t>
  </si>
  <si>
    <t>Олтин Давр Файз Барака МЧЖ</t>
  </si>
  <si>
    <t>VAQT ECO INVEST MCHJ</t>
  </si>
  <si>
    <t>Газоблок ва евродевор ишлаб чиқаришни ташкил этиш</t>
  </si>
  <si>
    <t>"MUSHTARIY SEHRIYO BARAKA" Х/К</t>
  </si>
  <si>
    <t>"Узун Қурилиш-Инвест" компанияси</t>
  </si>
  <si>
    <t>"Олий-Эркин-Прогрез" МЧЖ</t>
  </si>
  <si>
    <t>Замонавий ошхона ташкил этиш</t>
  </si>
  <si>
    <t>"Пахлавон" хк</t>
  </si>
  <si>
    <t>"Шеробод Озиқ-овқат захира" МЧЖ</t>
  </si>
  <si>
    <t>Нон ва нон махсулотлари ишлаб чиқариш ва савдо нуқтасини ташкил этиш</t>
  </si>
  <si>
    <t>"Ойбек Наврўзбек" ФХ</t>
  </si>
  <si>
    <t>Нон ва қандолат махсулотлари ишлаб чиқаришни ташкил этиш</t>
  </si>
  <si>
    <t>Анор сокини ишлаб чиқаришни ташкил этиш</t>
  </si>
  <si>
    <t>"Мехринисо Озода Асилбек" фх</t>
  </si>
  <si>
    <t>Тошпўлатов Жўраниёз ФХ</t>
  </si>
  <si>
    <t>Қорамолчилик ташкил этиш</t>
  </si>
  <si>
    <t>Тараққиёт Инерт сервис МЧЖ</t>
  </si>
  <si>
    <t>Пишган ғишт ишлаб чиқаришни ташкил этиш</t>
  </si>
  <si>
    <t>"Термиз ирригация қурилиш" МЧЖ</t>
  </si>
  <si>
    <t>Меваларни қуритиш, қадоқлаш ва қайта ишлаш</t>
  </si>
  <si>
    <t>"Абдували бах" ФХ</t>
  </si>
  <si>
    <t>Қорамолчиликни  ташкил этиш</t>
  </si>
  <si>
    <t xml:space="preserve">Sherobod star textil МЧЖ </t>
  </si>
  <si>
    <t>"Бекжон-Фаррухжон"ОК</t>
  </si>
  <si>
    <t>Авто сервис хизматини ташкил этиш</t>
  </si>
  <si>
    <t>"Жонибек Дилроз" ОК</t>
  </si>
  <si>
    <t>Рахмонқул Абдураим Жалил ИТХК</t>
  </si>
  <si>
    <t>Автомойка, вулканизация автомобилларга техник хизмат кўрсатишни ташкил этиш.</t>
  </si>
  <si>
    <t>Файзулло барака туризм сервис МЧЖ</t>
  </si>
  <si>
    <t>Умумий овқатланиш ва йўл бўйи инфратузилма шахобчаси ташкил этиш</t>
  </si>
  <si>
    <t>Шеробод стройтеч МЧЖ</t>
  </si>
  <si>
    <t>Сифатли қурилиш дизайн РК</t>
  </si>
  <si>
    <t>Кардо мед плюс ХК</t>
  </si>
  <si>
    <t xml:space="preserve">Тиббий хизмат шахобчаси ташкил этиш </t>
  </si>
  <si>
    <t>Сурхон бест инвест МЧЖ</t>
  </si>
  <si>
    <t>Умумий овқатланиш шахобчаси (Кафе) маданий ҳордиқ чиқариш нуқтаси ташкил этиш</t>
  </si>
  <si>
    <t>"Шеробод Агро фиш" ф/х</t>
  </si>
  <si>
    <t>Балиқчилик ташкил этиш</t>
  </si>
  <si>
    <t>"Mushtar Star Invest" МЧЖ</t>
  </si>
  <si>
    <t>Полителин қоп, офис қоғозлари, болалар таглиги ишлаб чиқаришни ташкил этиш</t>
  </si>
  <si>
    <t>"Абдурашид Олмос Барака" МЧЖ</t>
  </si>
  <si>
    <t>Сурхондарё ҳудудий Электр тармоқлари корхонаси</t>
  </si>
  <si>
    <t>Бетон сталва ишлаб чиқариш</t>
  </si>
  <si>
    <t>Жўраев Илхом ахмедович фх</t>
  </si>
  <si>
    <t>Каримова Мехринисо Абдулкайимовна ОК</t>
  </si>
  <si>
    <t>Музлатгич ташкил этиш</t>
  </si>
  <si>
    <t>"Baxtiyorbek ko`kat klasteri" МЧЖ</t>
  </si>
  <si>
    <t>Маҳсулотларни сақлаш, қайта ишлаш қувватларини ошириш</t>
  </si>
  <si>
    <t>"Sherobod sabzavot ko`kat klaster" МЧЖ</t>
  </si>
  <si>
    <t>"Бахтинур Умид келажаги" МЧЖ</t>
  </si>
  <si>
    <t>SOATMUROD-OTA ХСИЧФ</t>
  </si>
  <si>
    <t>Тиббий хизмат кўрсатишни кенгайтириш</t>
  </si>
  <si>
    <t>"Идеал СС" МЧЖ</t>
  </si>
  <si>
    <t>Мехмонхонани ташкил этиш</t>
  </si>
  <si>
    <t>Омад Бахт Шўрчи ХК</t>
  </si>
  <si>
    <t>Дон маҳсулотларини қайта ишлаш</t>
  </si>
  <si>
    <t>Дон махсулотларини кайта ишлашни ташкил этиш</t>
  </si>
  <si>
    <t>Эргашбобо Ўғиллари ИЧК</t>
  </si>
  <si>
    <t>"Боботоғ бодомзор боғи " Ф/Х</t>
  </si>
  <si>
    <t>бодом, ёнғоқ боғи ташкил этиш</t>
  </si>
  <si>
    <t>"Ободон Насллар чорваси" ФХ</t>
  </si>
  <si>
    <t>"Назарбек чорва барака" ОК</t>
  </si>
  <si>
    <t>Хотамтой Диёри ИЧК</t>
  </si>
  <si>
    <t>Чорвачиликни (сутчилик йўналишида) ташкил этиш</t>
  </si>
  <si>
    <t>Барака Ўсимлик ёғи МЧЖ</t>
  </si>
  <si>
    <t>Шўрчи Бўрон Қуши ОК</t>
  </si>
  <si>
    <t>Чорвачиликни (сутчилик йўналишини) ташкил этиш</t>
  </si>
  <si>
    <t>Сурхон строй инвест МЧЖ</t>
  </si>
  <si>
    <t>"Файз Саид Барака" ХК</t>
  </si>
  <si>
    <t>Замонавий гидропоника иссиқхонани ташкил этиш</t>
  </si>
  <si>
    <t>"Шакаркўл вохаси" Хусусий корхона</t>
  </si>
  <si>
    <t>Қораариқ Амур Балиғи ФХ</t>
  </si>
  <si>
    <t>Ингичка Сой Балиқлари ФХ</t>
  </si>
  <si>
    <t>Сурхон Азия Гранд Дон МЧЖ</t>
  </si>
  <si>
    <t>Дон махсулотларини қайта ишлаш чиқариш</t>
  </si>
  <si>
    <t>"Ягона Сервис пласт"ХК</t>
  </si>
  <si>
    <t>Ун заводини ташкил этиш</t>
  </si>
  <si>
    <t>"Шўрчи Асалчи" МЧЖ</t>
  </si>
  <si>
    <t>"Бизнес Усмон" МЧЖ</t>
  </si>
  <si>
    <t>Кийим-кечак ишлаб чиқариш</t>
  </si>
  <si>
    <t>"MANSUR-TRADE-STAR" OK</t>
  </si>
  <si>
    <t>"SHURCHI HOTEL PLAZA" МЧЖ</t>
  </si>
  <si>
    <t>Мехмонхона хизматини ривожлантириш</t>
  </si>
  <si>
    <t>"SHO'RCHI-OBOD XUDUD" МЧЖ</t>
  </si>
  <si>
    <t>Чиқиндини саралаш ва қайта ишлашни ташкил этиш</t>
  </si>
  <si>
    <t>"Turkiy invest group"МЧЖ ҚК</t>
  </si>
  <si>
    <t>"STAR MEGA SHO'RCHI"</t>
  </si>
  <si>
    <t>Тўйхона ва умумий овқатланиш хизматини ташкил этиш</t>
  </si>
  <si>
    <t>Лойиҳанинг жорий холати</t>
  </si>
  <si>
    <t>Ташаббускоринг Ф.И.Ш ва телефон рақами</t>
  </si>
  <si>
    <r>
      <t xml:space="preserve">Жами бюджетга </t>
    </r>
    <r>
      <rPr>
        <b/>
        <u/>
        <sz val="14"/>
        <rFont val="Times New Roman"/>
        <family val="1"/>
        <charset val="204"/>
      </rPr>
      <t>йиллик</t>
    </r>
    <r>
      <rPr>
        <b/>
        <sz val="14"/>
        <rFont val="Times New Roman"/>
        <family val="1"/>
        <charset val="204"/>
      </rPr>
      <t xml:space="preserve"> тушум (млн сўм)</t>
    </r>
  </si>
  <si>
    <t xml:space="preserve">“ДОКТОР АЛ-ҲАКИМ” МЧЖ </t>
  </si>
  <si>
    <t>Умумий қиймати
(млн.сўм)</t>
  </si>
  <si>
    <t>ўз маблағи (млн.сўм)</t>
  </si>
  <si>
    <t>хорижий кредит (минг.долл)</t>
  </si>
  <si>
    <t>хорижий инвес-тиция (минг.долл)</t>
  </si>
  <si>
    <t>2021 йилда амалга ошириладиган лойиҳалар режаси</t>
  </si>
  <si>
    <t>шундан,</t>
  </si>
  <si>
    <t>1-сектор</t>
  </si>
  <si>
    <t>2-сектор</t>
  </si>
  <si>
    <t>3-сектор</t>
  </si>
  <si>
    <t>4-сектор</t>
  </si>
  <si>
    <t>5-сектор</t>
  </si>
  <si>
    <t>6-сектор</t>
  </si>
  <si>
    <t>Қуёнчиликни ривожлантириш</t>
  </si>
  <si>
    <t>Куёнчиликни ташкил этиш</t>
  </si>
  <si>
    <t>Қудуқ қазиш, сувсиз далаларга сув чиқариш</t>
  </si>
  <si>
    <t>2022 йилда амалга ошириладиган лойиҳалар режаси</t>
  </si>
  <si>
    <t>Иброхим Бехруз х.к</t>
  </si>
  <si>
    <t>Аббосбек Олмоси ок</t>
  </si>
  <si>
    <t>"Хафизулло Шахзод боғлари" МЧЖ</t>
  </si>
  <si>
    <t>"Жавохир Жабборзода" МЧЖ</t>
  </si>
  <si>
    <t>Сурхон технотак МЧЖ</t>
  </si>
  <si>
    <t>"ATLANTIDA PLAZA" МЧЖ</t>
  </si>
  <si>
    <t>"Умиров Хушбахт Хожибобо" Х/К</t>
  </si>
  <si>
    <t>№ 04-10/65</t>
  </si>
  <si>
    <t>№ 04-10/73</t>
  </si>
  <si>
    <t>№ 04-10/70</t>
  </si>
  <si>
    <t>№ 04-10/74</t>
  </si>
  <si>
    <t>№ 04-10/71</t>
  </si>
  <si>
    <t>№ 04-10/62</t>
  </si>
  <si>
    <t>№ 04-10/80</t>
  </si>
  <si>
    <t>№ 04-10/67</t>
  </si>
  <si>
    <t>№ 04-10/79</t>
  </si>
  <si>
    <t>№ 04-10/77</t>
  </si>
  <si>
    <t>№ 04-10/78</t>
  </si>
  <si>
    <t>№ 04-10/81</t>
  </si>
  <si>
    <t>ООО "Брайн Инвест"</t>
  </si>
  <si>
    <t>Россия</t>
  </si>
  <si>
    <t>"Tong Xiang Sericulture Co" LTD</t>
  </si>
  <si>
    <t>Хитой</t>
  </si>
  <si>
    <t>№ 04-10/76</t>
  </si>
  <si>
    <t>№ 04-10/63</t>
  </si>
  <si>
    <t>№ 04-10/85</t>
  </si>
  <si>
    <t>№ 04-10/75</t>
  </si>
  <si>
    <t>№ 04-10/72</t>
  </si>
  <si>
    <t>№ 04-10/84</t>
  </si>
  <si>
    <t>306225925</t>
  </si>
  <si>
    <t>307505797</t>
  </si>
  <si>
    <t>306827183</t>
  </si>
  <si>
    <t>307409773</t>
  </si>
  <si>
    <t>306311154</t>
  </si>
  <si>
    <t>307218670</t>
  </si>
  <si>
    <t>303735625</t>
  </si>
  <si>
    <t>302721715</t>
  </si>
  <si>
    <t>306296466</t>
  </si>
  <si>
    <t>303799055</t>
  </si>
  <si>
    <t>205466352</t>
  </si>
  <si>
    <t>305817924</t>
  </si>
  <si>
    <t>303440795</t>
  </si>
  <si>
    <t>306549370</t>
  </si>
  <si>
    <t>304861951</t>
  </si>
  <si>
    <t>Фаттон</t>
  </si>
  <si>
    <t>Тожикситон</t>
  </si>
  <si>
    <t>305295326</t>
  </si>
  <si>
    <t>300271264</t>
  </si>
  <si>
    <t>306464240</t>
  </si>
  <si>
    <t>304455751</t>
  </si>
  <si>
    <t>306713721</t>
  </si>
  <si>
    <t>300612693</t>
  </si>
  <si>
    <t>304613515</t>
  </si>
  <si>
    <t>305616558</t>
  </si>
  <si>
    <t>Тўраев Асқар</t>
  </si>
  <si>
    <t>304254377</t>
  </si>
  <si>
    <t>202132865</t>
  </si>
  <si>
    <t>Шариф шарифий</t>
  </si>
  <si>
    <t>Афғонистон</t>
  </si>
  <si>
    <t>307004993</t>
  </si>
  <si>
    <t>204654222</t>
  </si>
  <si>
    <t>304291031</t>
  </si>
  <si>
    <t>305910350</t>
  </si>
  <si>
    <t>304955952</t>
  </si>
  <si>
    <t>205793270</t>
  </si>
  <si>
    <t>305420312</t>
  </si>
  <si>
    <t>307473395</t>
  </si>
  <si>
    <t>305620736</t>
  </si>
  <si>
    <t>204136114</t>
  </si>
  <si>
    <t>302370496</t>
  </si>
  <si>
    <t>306653504</t>
  </si>
  <si>
    <t>303151618</t>
  </si>
  <si>
    <t>205325044</t>
  </si>
  <si>
    <t>307513527</t>
  </si>
  <si>
    <t>307505987</t>
  </si>
  <si>
    <t>306264664</t>
  </si>
  <si>
    <t>302179352</t>
  </si>
  <si>
    <t>307021317</t>
  </si>
  <si>
    <t>307129022</t>
  </si>
  <si>
    <t>306327648</t>
  </si>
  <si>
    <t>305567896</t>
  </si>
  <si>
    <t>300770672</t>
  </si>
  <si>
    <t>306173549</t>
  </si>
  <si>
    <t>303325139</t>
  </si>
  <si>
    <t>307526447</t>
  </si>
  <si>
    <t>№44</t>
  </si>
  <si>
    <t>305891804</t>
  </si>
  <si>
    <t>№35</t>
  </si>
  <si>
    <t>№33</t>
  </si>
  <si>
    <t>206576943</t>
  </si>
  <si>
    <t>307400454</t>
  </si>
  <si>
    <t>302012275</t>
  </si>
  <si>
    <t>№43</t>
  </si>
  <si>
    <t>204475477</t>
  </si>
  <si>
    <t>306097610</t>
  </si>
  <si>
    <t>307338507</t>
  </si>
  <si>
    <t>307331500</t>
  </si>
  <si>
    <t>302105143</t>
  </si>
  <si>
    <t>306857621</t>
  </si>
  <si>
    <t>307338284</t>
  </si>
  <si>
    <t>306761204</t>
  </si>
  <si>
    <t>307361535</t>
  </si>
  <si>
    <t>307361504</t>
  </si>
  <si>
    <t>307361582</t>
  </si>
  <si>
    <t>307361581</t>
  </si>
  <si>
    <t>307352886</t>
  </si>
  <si>
    <t>307393994</t>
  </si>
  <si>
    <t>305287422</t>
  </si>
  <si>
    <t>303881438</t>
  </si>
  <si>
    <t>205502157</t>
  </si>
  <si>
    <t>№ 2/96</t>
  </si>
  <si>
    <t>№1/84</t>
  </si>
  <si>
    <t>№3/80</t>
  </si>
  <si>
    <t>№ 1/98</t>
  </si>
  <si>
    <t>№ 3/94</t>
  </si>
  <si>
    <t>№ 3/93</t>
  </si>
  <si>
    <t>№2/22</t>
  </si>
  <si>
    <t>№3/17</t>
  </si>
  <si>
    <t>№2/27</t>
  </si>
  <si>
    <t>№2/23</t>
  </si>
  <si>
    <t>№2/19</t>
  </si>
  <si>
    <t>№3/22</t>
  </si>
  <si>
    <t>№2/20</t>
  </si>
  <si>
    <t>№2/30</t>
  </si>
  <si>
    <t>№1/27</t>
  </si>
  <si>
    <t>№3/21</t>
  </si>
  <si>
    <t>№2/25</t>
  </si>
  <si>
    <t>№2/32</t>
  </si>
  <si>
    <t>№2/31</t>
  </si>
  <si>
    <t>№2/28</t>
  </si>
  <si>
    <t>№2/24</t>
  </si>
  <si>
    <t>№2/21</t>
  </si>
  <si>
    <t>№2/26</t>
  </si>
  <si>
    <t>№2/29</t>
  </si>
  <si>
    <t>№3/20</t>
  </si>
  <si>
    <t>№3/19</t>
  </si>
  <si>
    <t>№1/26</t>
  </si>
  <si>
    <t>№3/18</t>
  </si>
  <si>
    <t>306521257</t>
  </si>
  <si>
    <t>№3/65</t>
  </si>
  <si>
    <t>300546260</t>
  </si>
  <si>
    <t xml:space="preserve">Султани Ахмед Жавед
</t>
  </si>
  <si>
    <t>302783758</t>
  </si>
  <si>
    <t>Энгин Чакмак</t>
  </si>
  <si>
    <t>Туркия</t>
  </si>
  <si>
    <t>№3/74</t>
  </si>
  <si>
    <t>WAHEDI HAJI SARWAR</t>
  </si>
  <si>
    <t>Абдул Сабур</t>
  </si>
  <si>
    <t>№ 2/73</t>
  </si>
  <si>
    <t>№ 2/71</t>
  </si>
  <si>
    <t>№ 3/75</t>
  </si>
  <si>
    <t>№ 1/63</t>
  </si>
  <si>
    <t>№1/72</t>
  </si>
  <si>
    <t>№ 1/65</t>
  </si>
  <si>
    <t>№ 2/19</t>
  </si>
  <si>
    <t>301579844</t>
  </si>
  <si>
    <t>305743829</t>
  </si>
  <si>
    <t>№1/18</t>
  </si>
  <si>
    <t>№ 2/24</t>
  </si>
  <si>
    <t>№ 2/20</t>
  </si>
  <si>
    <t>№ 2/23</t>
  </si>
  <si>
    <t>№ 2/18</t>
  </si>
  <si>
    <t>№2/7</t>
  </si>
  <si>
    <t>№2/139</t>
  </si>
  <si>
    <t>№3/134</t>
  </si>
  <si>
    <t>№3/136</t>
  </si>
  <si>
    <t>№3/135</t>
  </si>
  <si>
    <t>№3/123</t>
  </si>
  <si>
    <t>№3/133</t>
  </si>
  <si>
    <t>№2/126</t>
  </si>
  <si>
    <t xml:space="preserve">Акт ввод </t>
  </si>
  <si>
    <t>Мемориалка</t>
  </si>
  <si>
    <t>оригинал / копия</t>
  </si>
  <si>
    <t>№1/13</t>
  </si>
  <si>
    <t>АКТ ВВОД рақами</t>
  </si>
  <si>
    <t>№ 2/25</t>
  </si>
  <si>
    <t>№2/14</t>
  </si>
  <si>
    <t>№1/10</t>
  </si>
  <si>
    <t>№1/09</t>
  </si>
  <si>
    <t>№ 3/67</t>
  </si>
  <si>
    <t>№3/15</t>
  </si>
  <si>
    <t>№1/9</t>
  </si>
  <si>
    <t>№1/7</t>
  </si>
  <si>
    <t xml:space="preserve"> "Чаққонова Озода" ОК </t>
  </si>
  <si>
    <t>№1/8</t>
  </si>
  <si>
    <t>Янги Шуроб Ф/Х</t>
  </si>
  <si>
    <t>№3/11</t>
  </si>
  <si>
    <t>"Оқарбулоқ Мега Сервис" МЧЖ</t>
  </si>
  <si>
    <t>№2/17</t>
  </si>
  <si>
    <t>№3/13</t>
  </si>
  <si>
    <t>№2/18</t>
  </si>
  <si>
    <t>№3/14</t>
  </si>
  <si>
    <t>№3/12</t>
  </si>
  <si>
    <t>Шоколад ва конфет махсулотларини ишлаб чиқариш</t>
  </si>
  <si>
    <t>Онлайн такси хизмати</t>
  </si>
  <si>
    <t>"GULISTON GRAND AZIYA" xususiy korxonasi</t>
  </si>
  <si>
    <t>№1/456</t>
  </si>
  <si>
    <t>"Муродов Хайрулло Томорқа хизмати" МЧЖ</t>
  </si>
  <si>
    <t xml:space="preserve"> "Узун Универсал Сервис" МЧЖ </t>
  </si>
  <si>
    <t>№3/27</t>
  </si>
  <si>
    <t>"Рахматуллабек Джураев" оилавий корхонаси</t>
  </si>
  <si>
    <t>№1/</t>
  </si>
  <si>
    <t>№2/</t>
  </si>
  <si>
    <t>№04-10/49</t>
  </si>
  <si>
    <t>№1/6</t>
  </si>
  <si>
    <t>Шеробод Шаршараси х.к</t>
  </si>
  <si>
    <t xml:space="preserve">Бойсун "GOLD FRUITS" қишлоқ хўжалиги кооперативи </t>
  </si>
  <si>
    <t>"Gold Wool Baraka" ОК</t>
  </si>
  <si>
    <t>№1/20</t>
  </si>
  <si>
    <t>№2/65</t>
  </si>
  <si>
    <t>№2/63</t>
  </si>
  <si>
    <t>№2/67</t>
  </si>
  <si>
    <t>№1/53</t>
  </si>
  <si>
    <t>№2/68</t>
  </si>
  <si>
    <t>№3/140</t>
  </si>
  <si>
    <t>№34</t>
  </si>
  <si>
    <t>№30</t>
  </si>
  <si>
    <t>№1/28</t>
  </si>
  <si>
    <t>№3/141</t>
  </si>
  <si>
    <t>№2/35</t>
  </si>
  <si>
    <t>№45</t>
  </si>
  <si>
    <t>№2/66</t>
  </si>
  <si>
    <t>№3</t>
  </si>
  <si>
    <t>№3/30</t>
  </si>
  <si>
    <t>№3/6</t>
  </si>
  <si>
    <t>№1/3</t>
  </si>
  <si>
    <t>№3/28</t>
  </si>
  <si>
    <t>№3/7</t>
  </si>
  <si>
    <t>№3/8</t>
  </si>
  <si>
    <t>№3/16</t>
  </si>
  <si>
    <t>№1</t>
  </si>
  <si>
    <t>№2/70</t>
  </si>
  <si>
    <t>№3/9</t>
  </si>
  <si>
    <t>№1/22</t>
  </si>
  <si>
    <t>№1/12</t>
  </si>
  <si>
    <t>№1/14</t>
  </si>
  <si>
    <t>№2/34</t>
  </si>
  <si>
    <t>№3/92</t>
  </si>
  <si>
    <t>Сурхондарё вилоятида 2020-2022 йилларда амалга оширилиши белгиланган инвестиция лойиҳалари тўғрисида
ЙИҒМА МАЪЛУМОТ</t>
  </si>
  <si>
    <t>Сурхондарё вилоятида 2020-2022 йилларда амалга оширилиши белгиланган инвестиция лойиҳаларининг 
МАНЗИЛЛИ РЎЙХАТИ</t>
  </si>
  <si>
    <t>№47</t>
  </si>
  <si>
    <t>№48</t>
  </si>
  <si>
    <t>Тармоқ жадвали бўйича</t>
  </si>
  <si>
    <t>бино-иншоот сотиб олиш ажратиш 
(сана кун  ой  йил)</t>
  </si>
  <si>
    <t>кредит масаласи</t>
  </si>
  <si>
    <t>қурилиш ишлари бошланиши 
(сана кун  ой  ил)</t>
  </si>
  <si>
    <t xml:space="preserve">ускуналарни келтириш </t>
  </si>
  <si>
    <t>электр 
(сана)</t>
  </si>
  <si>
    <t>газ 
(сана)</t>
  </si>
  <si>
    <t>ичимлик сув 
(сана)</t>
  </si>
  <si>
    <t>ҳужжат топшириш муддати 
(сана кун  ой  йил)</t>
  </si>
  <si>
    <t xml:space="preserve"> кредит ажратиш муддати 
(сана кун  ой  йил)</t>
  </si>
  <si>
    <t>режа
(сана кун  ой  йил)</t>
  </si>
  <si>
    <t>амалда 
(сана кун  ой  йил)</t>
  </si>
  <si>
    <t>№3/29</t>
  </si>
  <si>
    <t>№1/49</t>
  </si>
  <si>
    <t>"FUTURE CONFIDENCE" МЧЖ</t>
  </si>
  <si>
    <t>№2/33</t>
  </si>
  <si>
    <t>№2/85</t>
  </si>
  <si>
    <t>№1/143</t>
  </si>
  <si>
    <t>Жами ишга тушган лойиҳалар</t>
  </si>
  <si>
    <t>Дастурдан ташқари ишга тушган лойиҳалар</t>
  </si>
  <si>
    <t>Дастур доирасида ишга тушган лойиҳалар</t>
  </si>
  <si>
    <t>№1/29</t>
  </si>
  <si>
    <t>№04-10/96</t>
  </si>
  <si>
    <t>№04-10/94</t>
  </si>
  <si>
    <t>№2/77</t>
  </si>
  <si>
    <t>№04-10/97</t>
  </si>
  <si>
    <t>№04-10/92</t>
  </si>
  <si>
    <t>№3/101</t>
  </si>
  <si>
    <t>№3/100</t>
  </si>
  <si>
    <t>№04-10/98</t>
  </si>
  <si>
    <t>№1/17</t>
  </si>
  <si>
    <t>№3/76</t>
  </si>
  <si>
    <t>№1/145</t>
  </si>
  <si>
    <t>№37</t>
  </si>
  <si>
    <t>№36</t>
  </si>
  <si>
    <t>№04-10/99</t>
  </si>
  <si>
    <t>№04-10/93</t>
  </si>
  <si>
    <t>Жами банк кредити</t>
  </si>
  <si>
    <t>№3/78</t>
  </si>
  <si>
    <t>№3/</t>
  </si>
  <si>
    <t>№1/144</t>
  </si>
  <si>
    <t>"Сариосиё Голд Экспорт" МЧЖ</t>
  </si>
  <si>
    <t>Мева-сабзавот маҳсулотларини экспортини ташкил этиш</t>
  </si>
  <si>
    <t>№3/77</t>
  </si>
  <si>
    <t>№1/11</t>
  </si>
  <si>
    <t>2021 йилда амалга оширилган лойиҳалар</t>
  </si>
  <si>
    <t>№1/50</t>
  </si>
  <si>
    <t>№1/51</t>
  </si>
  <si>
    <t>2021 йил 1-чоракда режа</t>
  </si>
  <si>
    <t>2021 йил 1-чоракда амалда</t>
  </si>
  <si>
    <t>2021 йил 1-чоракда ишга тушмаган</t>
  </si>
  <si>
    <t>№2/84</t>
  </si>
  <si>
    <t>2020 йил 1 февларь ҳолатига</t>
  </si>
  <si>
    <t>№2/103</t>
  </si>
  <si>
    <t xml:space="preserve"> </t>
  </si>
  <si>
    <t>№2/105</t>
  </si>
  <si>
    <t>№3/104</t>
  </si>
  <si>
    <t>№2/2</t>
  </si>
  <si>
    <t>№2/3</t>
  </si>
  <si>
    <t>№2/01</t>
  </si>
  <si>
    <t>№01/1</t>
  </si>
  <si>
    <t>№4</t>
  </si>
  <si>
    <t>№2/72</t>
  </si>
  <si>
    <t>№3/5</t>
  </si>
  <si>
    <t>Замонавий музлатгич омборханосини ташкил этиш</t>
  </si>
  <si>
    <t>"ООО Homе Master"</t>
  </si>
  <si>
    <t>"Registon Denov Savdo" MCHJ</t>
  </si>
  <si>
    <t>307605712</t>
  </si>
  <si>
    <t>204275299</t>
  </si>
  <si>
    <t>304071424</t>
  </si>
  <si>
    <t>302681505</t>
  </si>
  <si>
    <t>303009103</t>
  </si>
  <si>
    <t>307714291</t>
  </si>
  <si>
    <t>№3/2</t>
  </si>
  <si>
    <t>№3/3</t>
  </si>
  <si>
    <t>№3/31</t>
  </si>
  <si>
    <t>№2/1</t>
  </si>
  <si>
    <t>№02-3181/4937</t>
  </si>
  <si>
    <t xml:space="preserve"> "Финляндия Импекс" МЧЖ </t>
  </si>
  <si>
    <t>№01</t>
  </si>
  <si>
    <t>№2</t>
  </si>
  <si>
    <t>№205</t>
  </si>
  <si>
    <t>№2/80</t>
  </si>
  <si>
    <t>"Қумқўрғон метан газ" МЧЖ</t>
  </si>
  <si>
    <t>№2/86</t>
  </si>
  <si>
    <t>№2/36</t>
  </si>
  <si>
    <t>№1/24</t>
  </si>
  <si>
    <t>№1/23</t>
  </si>
  <si>
    <t>2020 йил 1 февраль ҳолатига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</si>
</sst>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1">
    <numFmt numFmtId="43" formatCode="_-* #,##0.00\ _₽_-;\-* #,##0.00\ _₽_-;_-* &quot;-&quot;??\ _₽_-;_-@_-"/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#,##0.0"/>
    <numFmt numFmtId="169" formatCode="#"/>
    <numFmt numFmtId="170" formatCode="_-* #,##0.00\ &quot;?.&quot;_-;\-* #,##0.00\ &quot;?.&quot;_-;_-* &quot;-&quot;??\ &quot;?.&quot;_-;_-@_-"/>
    <numFmt numFmtId="171" formatCode="_-* #,##0.00\ _?_._-;\-* #,##0.00\ _?_._-;_-* &quot;-&quot;??\ _?_._-;_-@_-"/>
    <numFmt numFmtId="172" formatCode="\$#.00"/>
    <numFmt numFmtId="173" formatCode="&quot;$&quot;#.00"/>
    <numFmt numFmtId="174" formatCode="#."/>
    <numFmt numFmtId="175" formatCode="%#.00"/>
    <numFmt numFmtId="176" formatCode="#\,##0.00"/>
    <numFmt numFmtId="177" formatCode="#.00"/>
    <numFmt numFmtId="178" formatCode="_-* #,##0\ &quot;d.&quot;_-;\-* #,##0\ &quot;d.&quot;_-;_-* &quot;-&quot;\ &quot;d.&quot;_-;_-@_-"/>
    <numFmt numFmtId="179" formatCode="_-* #,##0.00\ &quot;d.&quot;_-;\-* #,##0.00\ &quot;d.&quot;_-;_-* &quot;-&quot;??\ &quot;d.&quot;_-;_-@_-"/>
    <numFmt numFmtId="180" formatCode="_-* #,##0.00[$€-1]_-;\-* #,##0.00[$€-1]_-;_-* &quot;-&quot;??[$€-1]_-"/>
    <numFmt numFmtId="181" formatCode="_(* #,##0_);_(* \(#,##0\);_(* &quot;-&quot;_);_(@_)"/>
    <numFmt numFmtId="182" formatCode="_(* #,##0.00_);_(* \(#,##0.00\);_(* &quot;-&quot;??_);_(@_)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0.00_)"/>
    <numFmt numFmtId="186" formatCode="_-* #,##0\ _d_._-;\-* #,##0\ _d_._-;_-* &quot;-&quot;\ _d_._-;_-@_-"/>
    <numFmt numFmtId="187" formatCode="_-* #,##0.00\ _d_._-;\-* #,##0.00\ _d_._-;_-* &quot;-&quot;??\ _d_._-;_-@_-"/>
    <numFmt numFmtId="188" formatCode="#,##0.0_р_."/>
    <numFmt numFmtId="189" formatCode="_-* #,##0\ _?_._-;\-* #,##0\ _?_._-;_-* &quot;-&quot;\ _?_._-;_-@_-"/>
    <numFmt numFmtId="190" formatCode="#,##0\ _₽"/>
    <numFmt numFmtId="191" formatCode="dd\.mm\.yyyy"/>
    <numFmt numFmtId="192" formatCode="#,##0_ ;[Red]\-#,##0\ "/>
    <numFmt numFmtId="193" formatCode="#,##0.0\ _₽"/>
  </numFmts>
  <fonts count="78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2"/>
      <color indexed="35"/>
      <name val="Courier"/>
      <family val="1"/>
      <charset val="204"/>
    </font>
    <font>
      <sz val="12"/>
      <color indexed="8"/>
      <name val="Courier"/>
      <family val="1"/>
      <charset val="204"/>
    </font>
    <font>
      <sz val="10"/>
      <color indexed="35"/>
      <name val="Courier"/>
      <family val="1"/>
      <charset val="204"/>
    </font>
    <font>
      <sz val="10"/>
      <color indexed="8"/>
      <name val="Courier"/>
      <family val="1"/>
      <charset val="204"/>
    </font>
    <font>
      <u/>
      <sz val="7.5"/>
      <color indexed="12"/>
      <name val="Arial Cyr"/>
      <charset val="204"/>
    </font>
    <font>
      <u/>
      <sz val="16"/>
      <color indexed="72"/>
      <name val="Courier"/>
      <family val="1"/>
      <charset val="204"/>
    </font>
    <font>
      <u/>
      <sz val="7.5"/>
      <color indexed="36"/>
      <name val="Arial Cyr"/>
      <charset val="204"/>
    </font>
    <font>
      <sz val="10"/>
      <name val="Arial Cyr"/>
      <charset val="204"/>
    </font>
    <font>
      <sz val="11"/>
      <name val="??"/>
      <charset val="129"/>
    </font>
    <font>
      <sz val="1"/>
      <color indexed="8"/>
      <name val="Courier"/>
      <family val="1"/>
      <charset val="204"/>
    </font>
    <font>
      <sz val="10"/>
      <name val="Helv"/>
      <family val="2"/>
    </font>
    <font>
      <sz val="10"/>
      <name val="Helv"/>
    </font>
    <font>
      <sz val="1"/>
      <color indexed="16"/>
      <name val="Courier"/>
      <family val="1"/>
      <charset val="204"/>
    </font>
    <font>
      <b/>
      <sz val="1"/>
      <color indexed="16"/>
      <name val="Courier"/>
      <family val="1"/>
      <charset val="204"/>
    </font>
    <font>
      <b/>
      <sz val="1"/>
      <color indexed="8"/>
      <name val="Courier"/>
      <family val="1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b/>
      <sz val="18"/>
      <color indexed="8"/>
      <name val="Courier"/>
      <family val="1"/>
      <charset val="204"/>
    </font>
    <font>
      <sz val="11"/>
      <color indexed="8"/>
      <name val="Calibri"/>
      <family val="2"/>
      <charset val="204"/>
    </font>
    <font>
      <b/>
      <sz val="12"/>
      <color indexed="8"/>
      <name val="Courier"/>
      <family val="1"/>
      <charset val="204"/>
    </font>
    <font>
      <sz val="11"/>
      <color indexed="9"/>
      <name val="Calibri"/>
      <family val="2"/>
      <charset val="204"/>
    </font>
    <font>
      <sz val="10"/>
      <color indexed="72"/>
      <name val="Courier"/>
      <family val="1"/>
      <charset val="204"/>
    </font>
    <font>
      <sz val="12"/>
      <color indexed="72"/>
      <name val="Courier"/>
      <family val="1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name val="Baltica"/>
      <family val="2"/>
    </font>
    <font>
      <i/>
      <sz val="11"/>
      <color indexed="23"/>
      <name val="Calibri"/>
      <family val="2"/>
      <charset val="204"/>
    </font>
    <font>
      <i/>
      <sz val="1"/>
      <color indexed="18"/>
      <name val="Courier"/>
      <family val="1"/>
      <charset val="204"/>
    </font>
    <font>
      <i/>
      <sz val="1"/>
      <color indexed="16"/>
      <name val="Courier"/>
      <family val="1"/>
      <charset val="204"/>
    </font>
    <font>
      <sz val="11"/>
      <color indexed="17"/>
      <name val="Calibri"/>
      <family val="2"/>
      <charset val="204"/>
    </font>
    <font>
      <sz val="8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2"/>
      <name val="Arial Cyr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i/>
      <sz val="16"/>
      <name val="Helv"/>
    </font>
    <font>
      <sz val="10"/>
      <color indexed="0"/>
      <name val="Courier"/>
      <family val="1"/>
      <charset val="204"/>
    </font>
    <font>
      <b/>
      <sz val="11"/>
      <color indexed="63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Times New Roman"/>
      <family val="1"/>
      <charset val="204"/>
    </font>
    <font>
      <sz val="7"/>
      <color indexed="8"/>
      <name val="Times New Roman"/>
      <family val="1"/>
      <charset val="204"/>
    </font>
    <font>
      <b/>
      <sz val="6"/>
      <color indexed="8"/>
      <name val="Arial"/>
      <family val="2"/>
      <charset val="204"/>
    </font>
    <font>
      <b/>
      <sz val="18"/>
      <color indexed="62"/>
      <name val="Cambria"/>
      <family val="2"/>
      <charset val="204"/>
    </font>
    <font>
      <sz val="10"/>
      <name val="MS Sans Serif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10"/>
      <name val="Calibri"/>
      <family val="2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</font>
    <font>
      <sz val="10"/>
      <name val="Arial Cyr"/>
      <family val="2"/>
      <charset val="204"/>
    </font>
    <font>
      <sz val="10"/>
      <name val="Arial Cyr"/>
      <charset val="186"/>
    </font>
    <font>
      <sz val="11"/>
      <name val="돋움"/>
      <charset val="129"/>
    </font>
    <font>
      <sz val="11"/>
      <name val="Calibri"/>
      <family val="2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4"/>
      <name val="Times New Roman"/>
      <family val="1"/>
      <charset val="204"/>
    </font>
    <font>
      <b/>
      <u/>
      <sz val="14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14"/>
      <color rgb="FF0070C0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1"/>
      <color indexed="8"/>
      <name val="Calibri"/>
      <family val="2"/>
    </font>
    <font>
      <sz val="14"/>
      <color theme="0"/>
      <name val="Times New Roman"/>
      <family val="1"/>
      <charset val="204"/>
    </font>
    <font>
      <b/>
      <sz val="13"/>
      <color rgb="FFFF0000"/>
      <name val="Times New Roman"/>
      <family val="1"/>
      <charset val="204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theme="9" tint="0.79998168889431442"/>
        <bgColor indexed="64"/>
      </patternFill>
    </fill>
  </fills>
  <borders count="9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8227">
    <xf numFmtId="0" fontId="0" fillId="0" borderId="0"/>
    <xf numFmtId="0" fontId="3" fillId="0" borderId="0"/>
    <xf numFmtId="0" fontId="2" fillId="0" borderId="0" applyNumberFormat="0" applyFont="0" applyFill="0" applyBorder="0" applyAlignment="0" applyProtection="0"/>
    <xf numFmtId="0" fontId="3" fillId="0" borderId="0"/>
    <xf numFmtId="169" fontId="4" fillId="0" borderId="0">
      <protection locked="0"/>
    </xf>
    <xf numFmtId="169" fontId="4" fillId="0" borderId="0">
      <protection locked="0"/>
    </xf>
    <xf numFmtId="169" fontId="5" fillId="0" borderId="0">
      <protection locked="0"/>
    </xf>
    <xf numFmtId="169" fontId="6" fillId="0" borderId="0">
      <protection locked="0"/>
    </xf>
    <xf numFmtId="169" fontId="6" fillId="0" borderId="0">
      <protection locked="0"/>
    </xf>
    <xf numFmtId="169" fontId="6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6" fillId="0" borderId="0">
      <protection locked="0"/>
    </xf>
    <xf numFmtId="169" fontId="7" fillId="0" borderId="0">
      <protection locked="0"/>
    </xf>
    <xf numFmtId="169" fontId="6" fillId="0" borderId="0">
      <protection locked="0"/>
    </xf>
    <xf numFmtId="169" fontId="6" fillId="0" borderId="0">
      <protection locked="0"/>
    </xf>
    <xf numFmtId="169" fontId="6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6" fillId="0" borderId="0">
      <protection locked="0"/>
    </xf>
    <xf numFmtId="169" fontId="7" fillId="0" borderId="0"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69" fontId="9" fillId="0" borderId="0"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69" fontId="7" fillId="0" borderId="0">
      <protection locked="0"/>
    </xf>
    <xf numFmtId="170" fontId="11" fillId="0" borderId="0" applyFont="0" applyFill="0" applyBorder="0" applyAlignment="0" applyProtection="0"/>
    <xf numFmtId="0" fontId="11" fillId="0" borderId="0"/>
    <xf numFmtId="171" fontId="11" fillId="0" borderId="0" applyFont="0" applyFill="0" applyBorder="0" applyAlignment="0" applyProtection="0"/>
    <xf numFmtId="0" fontId="12" fillId="0" borderId="0"/>
    <xf numFmtId="0" fontId="13" fillId="0" borderId="1"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>
      <protection locked="0"/>
    </xf>
    <xf numFmtId="0" fontId="13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164" fontId="16" fillId="0" borderId="0">
      <protection locked="0"/>
    </xf>
    <xf numFmtId="0" fontId="16" fillId="0" borderId="1">
      <protection locked="0"/>
    </xf>
    <xf numFmtId="0" fontId="16" fillId="0" borderId="1">
      <protection locked="0"/>
    </xf>
    <xf numFmtId="0" fontId="13" fillId="0" borderId="1">
      <protection locked="0"/>
    </xf>
    <xf numFmtId="0" fontId="13" fillId="0" borderId="1">
      <protection locked="0"/>
    </xf>
    <xf numFmtId="169" fontId="17" fillId="0" borderId="0">
      <protection locked="0"/>
    </xf>
    <xf numFmtId="169" fontId="17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169" fontId="17" fillId="0" borderId="0">
      <protection locked="0"/>
    </xf>
    <xf numFmtId="169" fontId="17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169" fontId="16" fillId="0" borderId="1">
      <protection locked="0"/>
    </xf>
    <xf numFmtId="169" fontId="16" fillId="0" borderId="1">
      <protection locked="0"/>
    </xf>
    <xf numFmtId="169" fontId="16" fillId="0" borderId="1">
      <protection locked="0"/>
    </xf>
    <xf numFmtId="169" fontId="16" fillId="0" borderId="1">
      <protection locked="0"/>
    </xf>
    <xf numFmtId="172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72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72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9" fillId="0" borderId="0">
      <protection locked="0"/>
    </xf>
    <xf numFmtId="169" fontId="5" fillId="0" borderId="0">
      <protection locked="0"/>
    </xf>
    <xf numFmtId="169" fontId="19" fillId="0" borderId="1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0" fontId="20" fillId="0" borderId="0">
      <protection locked="0"/>
    </xf>
    <xf numFmtId="169" fontId="5" fillId="0" borderId="0">
      <protection locked="0"/>
    </xf>
    <xf numFmtId="169" fontId="20" fillId="0" borderId="1">
      <protection locked="0"/>
    </xf>
    <xf numFmtId="169" fontId="5" fillId="0" borderId="1">
      <protection locked="0"/>
    </xf>
    <xf numFmtId="0" fontId="19" fillId="0" borderId="0">
      <protection locked="0"/>
    </xf>
    <xf numFmtId="169" fontId="5" fillId="0" borderId="0">
      <protection locked="0"/>
    </xf>
    <xf numFmtId="169" fontId="19" fillId="0" borderId="1">
      <protection locked="0"/>
    </xf>
    <xf numFmtId="169" fontId="5" fillId="0" borderId="1">
      <protection locked="0"/>
    </xf>
    <xf numFmtId="0" fontId="19" fillId="0" borderId="0">
      <protection locked="0"/>
    </xf>
    <xf numFmtId="169" fontId="5" fillId="0" borderId="0">
      <protection locked="0"/>
    </xf>
    <xf numFmtId="169" fontId="19" fillId="0" borderId="1">
      <protection locked="0"/>
    </xf>
    <xf numFmtId="169" fontId="5" fillId="0" borderId="1">
      <protection locked="0"/>
    </xf>
    <xf numFmtId="0" fontId="19" fillId="0" borderId="0">
      <protection locked="0"/>
    </xf>
    <xf numFmtId="169" fontId="5" fillId="0" borderId="0">
      <protection locked="0"/>
    </xf>
    <xf numFmtId="169" fontId="19" fillId="0" borderId="1">
      <protection locked="0"/>
    </xf>
    <xf numFmtId="169" fontId="5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19" fillId="0" borderId="0">
      <protection locked="0"/>
    </xf>
    <xf numFmtId="169" fontId="5" fillId="0" borderId="0">
      <protection locked="0"/>
    </xf>
    <xf numFmtId="169" fontId="19" fillId="0" borderId="1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0" fontId="19" fillId="0" borderId="0">
      <protection locked="0"/>
    </xf>
    <xf numFmtId="169" fontId="5" fillId="0" borderId="0">
      <protection locked="0"/>
    </xf>
    <xf numFmtId="169" fontId="19" fillId="0" borderId="1">
      <protection locked="0"/>
    </xf>
    <xf numFmtId="169" fontId="5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0" fontId="5" fillId="0" borderId="0">
      <protection locked="0"/>
    </xf>
    <xf numFmtId="169" fontId="5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172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5" fillId="0" borderId="0">
      <protection locked="0"/>
    </xf>
    <xf numFmtId="169" fontId="19" fillId="0" borderId="1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0" fontId="19" fillId="0" borderId="0">
      <protection locked="0"/>
    </xf>
    <xf numFmtId="169" fontId="5" fillId="0" borderId="0">
      <protection locked="0"/>
    </xf>
    <xf numFmtId="169" fontId="19" fillId="0" borderId="1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19" fillId="0" borderId="0">
      <protection locked="0"/>
    </xf>
    <xf numFmtId="169" fontId="5" fillId="0" borderId="0">
      <protection locked="0"/>
    </xf>
    <xf numFmtId="169" fontId="19" fillId="0" borderId="1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0" fontId="19" fillId="0" borderId="0">
      <protection locked="0"/>
    </xf>
    <xf numFmtId="169" fontId="5" fillId="0" borderId="0">
      <protection locked="0"/>
    </xf>
    <xf numFmtId="169" fontId="19" fillId="0" borderId="1">
      <protection locked="0"/>
    </xf>
    <xf numFmtId="169" fontId="5" fillId="0" borderId="1">
      <protection locked="0"/>
    </xf>
    <xf numFmtId="0" fontId="19" fillId="0" borderId="0">
      <protection locked="0"/>
    </xf>
    <xf numFmtId="169" fontId="5" fillId="0" borderId="0">
      <protection locked="0"/>
    </xf>
    <xf numFmtId="169" fontId="19" fillId="0" borderId="1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0" fontId="19" fillId="0" borderId="0">
      <protection locked="0"/>
    </xf>
    <xf numFmtId="169" fontId="5" fillId="0" borderId="0">
      <protection locked="0"/>
    </xf>
    <xf numFmtId="169" fontId="19" fillId="0" borderId="1">
      <protection locked="0"/>
    </xf>
    <xf numFmtId="169" fontId="5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73" fontId="13" fillId="0" borderId="0">
      <protection locked="0"/>
    </xf>
    <xf numFmtId="174" fontId="13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19" fillId="0" borderId="0">
      <protection locked="0"/>
    </xf>
    <xf numFmtId="169" fontId="5" fillId="0" borderId="0">
      <protection locked="0"/>
    </xf>
    <xf numFmtId="169" fontId="19" fillId="0" borderId="1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0" fontId="19" fillId="0" borderId="0">
      <protection locked="0"/>
    </xf>
    <xf numFmtId="169" fontId="5" fillId="0" borderId="0">
      <protection locked="0"/>
    </xf>
    <xf numFmtId="169" fontId="19" fillId="0" borderId="1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19" fillId="0" borderId="0">
      <protection locked="0"/>
    </xf>
    <xf numFmtId="169" fontId="5" fillId="0" borderId="0">
      <protection locked="0"/>
    </xf>
    <xf numFmtId="169" fontId="19" fillId="0" borderId="1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0" fontId="20" fillId="0" borderId="0">
      <protection locked="0"/>
    </xf>
    <xf numFmtId="169" fontId="20" fillId="0" borderId="1">
      <protection locked="0"/>
    </xf>
    <xf numFmtId="0" fontId="19" fillId="0" borderId="0">
      <protection locked="0"/>
    </xf>
    <xf numFmtId="169" fontId="19" fillId="0" borderId="1">
      <protection locked="0"/>
    </xf>
    <xf numFmtId="0" fontId="19" fillId="0" borderId="0">
      <protection locked="0"/>
    </xf>
    <xf numFmtId="169" fontId="19" fillId="0" borderId="1">
      <protection locked="0"/>
    </xf>
    <xf numFmtId="0" fontId="19" fillId="0" borderId="0">
      <protection locked="0"/>
    </xf>
    <xf numFmtId="169" fontId="5" fillId="0" borderId="0">
      <protection locked="0"/>
    </xf>
    <xf numFmtId="169" fontId="19" fillId="0" borderId="1">
      <protection locked="0"/>
    </xf>
    <xf numFmtId="169" fontId="5" fillId="0" borderId="1">
      <protection locked="0"/>
    </xf>
    <xf numFmtId="0" fontId="19" fillId="0" borderId="0">
      <protection locked="0"/>
    </xf>
    <xf numFmtId="169" fontId="5" fillId="0" borderId="0">
      <protection locked="0"/>
    </xf>
    <xf numFmtId="169" fontId="19" fillId="0" borderId="1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0" fontId="19" fillId="0" borderId="0">
      <protection locked="0"/>
    </xf>
    <xf numFmtId="169" fontId="5" fillId="0" borderId="0">
      <protection locked="0"/>
    </xf>
    <xf numFmtId="169" fontId="19" fillId="0" borderId="1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0" fontId="5" fillId="0" borderId="0">
      <protection locked="0"/>
    </xf>
    <xf numFmtId="169" fontId="5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19" fillId="0" borderId="0">
      <protection locked="0"/>
    </xf>
    <xf numFmtId="169" fontId="5" fillId="0" borderId="0">
      <protection locked="0"/>
    </xf>
    <xf numFmtId="169" fontId="19" fillId="0" borderId="1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169" fontId="5" fillId="0" borderId="0">
      <protection locked="0"/>
    </xf>
    <xf numFmtId="169" fontId="5" fillId="0" borderId="1">
      <protection locked="0"/>
    </xf>
    <xf numFmtId="0" fontId="20" fillId="0" borderId="0">
      <protection locked="0"/>
    </xf>
    <xf numFmtId="169" fontId="5" fillId="0" borderId="0">
      <protection locked="0"/>
    </xf>
    <xf numFmtId="169" fontId="20" fillId="0" borderId="1">
      <protection locked="0"/>
    </xf>
    <xf numFmtId="169" fontId="5" fillId="0" borderId="1">
      <protection locked="0"/>
    </xf>
    <xf numFmtId="0" fontId="19" fillId="0" borderId="0">
      <protection locked="0"/>
    </xf>
    <xf numFmtId="169" fontId="5" fillId="0" borderId="0">
      <protection locked="0"/>
    </xf>
    <xf numFmtId="169" fontId="19" fillId="0" borderId="1">
      <protection locked="0"/>
    </xf>
    <xf numFmtId="169" fontId="5" fillId="0" borderId="1">
      <protection locked="0"/>
    </xf>
    <xf numFmtId="0" fontId="19" fillId="0" borderId="0">
      <protection locked="0"/>
    </xf>
    <xf numFmtId="169" fontId="5" fillId="0" borderId="0">
      <protection locked="0"/>
    </xf>
    <xf numFmtId="169" fontId="19" fillId="0" borderId="1">
      <protection locked="0"/>
    </xf>
    <xf numFmtId="169" fontId="5" fillId="0" borderId="1">
      <protection locked="0"/>
    </xf>
    <xf numFmtId="0" fontId="19" fillId="0" borderId="0">
      <protection locked="0"/>
    </xf>
    <xf numFmtId="169" fontId="5" fillId="0" borderId="0">
      <protection locked="0"/>
    </xf>
    <xf numFmtId="169" fontId="19" fillId="0" borderId="1">
      <protection locked="0"/>
    </xf>
    <xf numFmtId="169" fontId="5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0" fontId="13" fillId="0" borderId="0">
      <protection locked="0"/>
    </xf>
    <xf numFmtId="0" fontId="13" fillId="0" borderId="1">
      <protection locked="0"/>
    </xf>
    <xf numFmtId="172" fontId="5" fillId="0" borderId="0">
      <protection locked="0"/>
    </xf>
    <xf numFmtId="169" fontId="5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69" fontId="16" fillId="0" borderId="0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0" fontId="5" fillId="0" borderId="0">
      <protection locked="0"/>
    </xf>
    <xf numFmtId="169" fontId="16" fillId="0" borderId="0">
      <protection locked="0"/>
    </xf>
    <xf numFmtId="169" fontId="5" fillId="0" borderId="1">
      <protection locked="0"/>
    </xf>
    <xf numFmtId="169" fontId="16" fillId="0" borderId="1">
      <protection locked="0"/>
    </xf>
    <xf numFmtId="175" fontId="5" fillId="0" borderId="0">
      <protection locked="0"/>
    </xf>
    <xf numFmtId="169" fontId="16" fillId="0" borderId="0">
      <protection locked="0"/>
    </xf>
    <xf numFmtId="176" fontId="5" fillId="0" borderId="0">
      <protection locked="0"/>
    </xf>
    <xf numFmtId="169" fontId="16" fillId="0" borderId="0">
      <protection locked="0"/>
    </xf>
    <xf numFmtId="175" fontId="5" fillId="0" borderId="0">
      <protection locked="0"/>
    </xf>
    <xf numFmtId="169" fontId="16" fillId="0" borderId="0">
      <protection locked="0"/>
    </xf>
    <xf numFmtId="176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0" fontId="20" fillId="0" borderId="0">
      <protection locked="0"/>
    </xf>
    <xf numFmtId="169" fontId="5" fillId="0" borderId="0">
      <protection locked="0"/>
    </xf>
    <xf numFmtId="0" fontId="20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75" fontId="13" fillId="0" borderId="0">
      <protection locked="0"/>
    </xf>
    <xf numFmtId="4" fontId="13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169" fontId="5" fillId="0" borderId="0">
      <protection locked="0"/>
    </xf>
    <xf numFmtId="0" fontId="20" fillId="0" borderId="0">
      <protection locked="0"/>
    </xf>
    <xf numFmtId="169" fontId="5" fillId="0" borderId="0">
      <protection locked="0"/>
    </xf>
    <xf numFmtId="0" fontId="20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175" fontId="5" fillId="0" borderId="0">
      <protection locked="0"/>
    </xf>
    <xf numFmtId="176" fontId="5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77" fontId="5" fillId="0" borderId="0">
      <protection locked="0"/>
    </xf>
    <xf numFmtId="169" fontId="16" fillId="0" borderId="0">
      <protection locked="0"/>
    </xf>
    <xf numFmtId="177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77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20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3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13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77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77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77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77" fontId="13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77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77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77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177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77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77" fontId="5" fillId="0" borderId="0">
      <protection locked="0"/>
    </xf>
    <xf numFmtId="169" fontId="16" fillId="0" borderId="0">
      <protection locked="0"/>
    </xf>
    <xf numFmtId="177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177" fontId="5" fillId="0" borderId="0">
      <protection locked="0"/>
    </xf>
    <xf numFmtId="169" fontId="16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20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0" fontId="19" fillId="0" borderId="0">
      <protection locked="0"/>
    </xf>
    <xf numFmtId="169" fontId="5" fillId="0" borderId="0">
      <protection locked="0"/>
    </xf>
    <xf numFmtId="177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0" fontId="5" fillId="0" borderId="0">
      <protection locked="0"/>
    </xf>
    <xf numFmtId="169" fontId="16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1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1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7" fillId="0" borderId="0">
      <protection locked="0"/>
    </xf>
    <xf numFmtId="169" fontId="21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17" fillId="0" borderId="0">
      <protection locked="0"/>
    </xf>
    <xf numFmtId="169" fontId="21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169" fontId="23" fillId="0" borderId="0">
      <protection locked="0"/>
    </xf>
    <xf numFmtId="169" fontId="17" fillId="0" borderId="0">
      <protection locked="0"/>
    </xf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169" fontId="25" fillId="0" borderId="0">
      <protection locked="0"/>
    </xf>
    <xf numFmtId="169" fontId="25" fillId="0" borderId="0">
      <protection locked="0"/>
    </xf>
    <xf numFmtId="169" fontId="25" fillId="0" borderId="0">
      <protection locked="0"/>
    </xf>
    <xf numFmtId="169" fontId="25" fillId="0" borderId="0">
      <protection locked="0"/>
    </xf>
    <xf numFmtId="169" fontId="25" fillId="0" borderId="0">
      <protection locked="0"/>
    </xf>
    <xf numFmtId="169" fontId="25" fillId="0" borderId="0">
      <protection locked="0"/>
    </xf>
    <xf numFmtId="169" fontId="25" fillId="0" borderId="0">
      <protection locked="0"/>
    </xf>
    <xf numFmtId="169" fontId="25" fillId="0" borderId="0">
      <protection locked="0"/>
    </xf>
    <xf numFmtId="169" fontId="26" fillId="0" borderId="0">
      <protection locked="0"/>
    </xf>
    <xf numFmtId="169" fontId="26" fillId="0" borderId="0">
      <protection locked="0"/>
    </xf>
    <xf numFmtId="169" fontId="26" fillId="0" borderId="0">
      <protection locked="0"/>
    </xf>
    <xf numFmtId="169" fontId="26" fillId="0" borderId="0">
      <protection locked="0"/>
    </xf>
    <xf numFmtId="169" fontId="26" fillId="0" borderId="0">
      <protection locked="0"/>
    </xf>
    <xf numFmtId="169" fontId="26" fillId="0" borderId="0">
      <protection locked="0"/>
    </xf>
    <xf numFmtId="0" fontId="22" fillId="0" borderId="0" applyNumberFormat="0" applyFont="0" applyFill="0" applyBorder="0" applyAlignment="0" applyProtection="0"/>
    <xf numFmtId="0" fontId="24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4" fillId="22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4" fillId="18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69" fontId="9" fillId="0" borderId="0">
      <protection locked="0"/>
    </xf>
    <xf numFmtId="169" fontId="9" fillId="0" borderId="0">
      <protection locked="0"/>
    </xf>
    <xf numFmtId="169" fontId="9" fillId="0" borderId="0">
      <protection locked="0"/>
    </xf>
    <xf numFmtId="178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0" fontId="27" fillId="3" borderId="0" applyNumberFormat="0" applyBorder="0" applyAlignment="0" applyProtection="0"/>
    <xf numFmtId="0" fontId="28" fillId="32" borderId="2" applyNumberFormat="0" applyAlignment="0" applyProtection="0"/>
    <xf numFmtId="0" fontId="29" fillId="33" borderId="3" applyNumberFormat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3" fontId="11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180" fontId="1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64" fontId="16" fillId="0" borderId="0">
      <protection locked="0"/>
    </xf>
    <xf numFmtId="164" fontId="16" fillId="0" borderId="0">
      <protection locked="0"/>
    </xf>
    <xf numFmtId="164" fontId="33" fillId="0" borderId="0">
      <protection locked="0"/>
    </xf>
    <xf numFmtId="164" fontId="16" fillId="0" borderId="0">
      <protection locked="0"/>
    </xf>
    <xf numFmtId="164" fontId="16" fillId="0" borderId="0">
      <protection locked="0"/>
    </xf>
    <xf numFmtId="164" fontId="16" fillId="0" borderId="0">
      <protection locked="0"/>
    </xf>
    <xf numFmtId="164" fontId="34" fillId="0" borderId="0"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35" fillId="4" borderId="0" applyNumberFormat="0" applyBorder="0" applyAlignment="0" applyProtection="0"/>
    <xf numFmtId="38" fontId="36" fillId="37" borderId="0" applyNumberFormat="0" applyBorder="0" applyAlignment="0" applyProtection="0"/>
    <xf numFmtId="0" fontId="37" fillId="0" borderId="4" applyNumberFormat="0" applyFill="0" applyAlignment="0" applyProtection="0"/>
    <xf numFmtId="0" fontId="38" fillId="0" borderId="5" applyNumberFormat="0" applyFill="0" applyAlignment="0" applyProtection="0"/>
    <xf numFmtId="0" fontId="39" fillId="0" borderId="6" applyNumberFormat="0" applyFill="0" applyAlignment="0" applyProtection="0"/>
    <xf numFmtId="0" fontId="39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69" fontId="25" fillId="0" borderId="0">
      <protection locked="0"/>
    </xf>
    <xf numFmtId="169" fontId="25" fillId="0" borderId="0">
      <protection locked="0"/>
    </xf>
    <xf numFmtId="169" fontId="25" fillId="0" borderId="0">
      <protection locked="0"/>
    </xf>
    <xf numFmtId="169" fontId="25" fillId="0" borderId="0">
      <protection locked="0"/>
    </xf>
    <xf numFmtId="0" fontId="40" fillId="0" borderId="0"/>
    <xf numFmtId="169" fontId="26" fillId="0" borderId="0">
      <protection locked="0"/>
    </xf>
    <xf numFmtId="169" fontId="26" fillId="0" borderId="0">
      <protection locked="0"/>
    </xf>
    <xf numFmtId="169" fontId="26" fillId="0" borderId="0">
      <protection locked="0"/>
    </xf>
    <xf numFmtId="0" fontId="22" fillId="0" borderId="0" applyNumberFormat="0" applyFont="0" applyFill="0" applyBorder="0" applyAlignment="0" applyProtection="0"/>
    <xf numFmtId="169" fontId="26" fillId="0" borderId="0">
      <protection locked="0"/>
    </xf>
    <xf numFmtId="169" fontId="26" fillId="0" borderId="0">
      <protection locked="0"/>
    </xf>
    <xf numFmtId="169" fontId="26" fillId="0" borderId="0">
      <protection locked="0"/>
    </xf>
    <xf numFmtId="169" fontId="26" fillId="0" borderId="0">
      <protection locked="0"/>
    </xf>
    <xf numFmtId="169" fontId="26" fillId="0" borderId="0">
      <protection locked="0"/>
    </xf>
    <xf numFmtId="169" fontId="26" fillId="0" borderId="0"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41" fillId="7" borderId="2" applyNumberFormat="0" applyAlignment="0" applyProtection="0"/>
    <xf numFmtId="10" fontId="36" fillId="38" borderId="7" applyNumberFormat="0" applyBorder="0" applyAlignment="0" applyProtection="0"/>
    <xf numFmtId="0" fontId="41" fillId="30" borderId="2" applyNumberFormat="0" applyAlignment="0" applyProtection="0"/>
    <xf numFmtId="169" fontId="9" fillId="0" borderId="0">
      <protection locked="0"/>
    </xf>
    <xf numFmtId="169" fontId="9" fillId="0" borderId="0">
      <protection locked="0"/>
    </xf>
    <xf numFmtId="169" fontId="9" fillId="0" borderId="0">
      <protection locked="0"/>
    </xf>
    <xf numFmtId="0" fontId="42" fillId="0" borderId="8" applyNumberFormat="0" applyFill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43" fillId="39" borderId="0" applyNumberFormat="0" applyBorder="0" applyAlignment="0" applyProtection="0"/>
    <xf numFmtId="185" fontId="44" fillId="0" borderId="0"/>
    <xf numFmtId="0" fontId="3" fillId="0" borderId="0"/>
    <xf numFmtId="0" fontId="11" fillId="40" borderId="9" applyNumberFormat="0" applyFont="0" applyAlignment="0" applyProtection="0"/>
    <xf numFmtId="186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69" fontId="25" fillId="0" borderId="0">
      <protection locked="0"/>
    </xf>
    <xf numFmtId="169" fontId="26" fillId="0" borderId="0">
      <protection locked="0"/>
    </xf>
    <xf numFmtId="169" fontId="25" fillId="0" borderId="0">
      <protection locked="0"/>
    </xf>
    <xf numFmtId="169" fontId="26" fillId="0" borderId="0">
      <protection locked="0"/>
    </xf>
    <xf numFmtId="169" fontId="25" fillId="0" borderId="0">
      <protection locked="0"/>
    </xf>
    <xf numFmtId="169" fontId="26" fillId="0" borderId="0">
      <protection locked="0"/>
    </xf>
    <xf numFmtId="169" fontId="25" fillId="0" borderId="0">
      <protection locked="0"/>
    </xf>
    <xf numFmtId="169" fontId="26" fillId="0" borderId="0">
      <protection locked="0"/>
    </xf>
    <xf numFmtId="169" fontId="45" fillId="0" borderId="0">
      <protection locked="0"/>
    </xf>
    <xf numFmtId="169" fontId="26" fillId="0" borderId="0">
      <protection locked="0"/>
    </xf>
    <xf numFmtId="169" fontId="25" fillId="0" borderId="0">
      <protection locked="0"/>
    </xf>
    <xf numFmtId="169" fontId="26" fillId="0" borderId="0">
      <protection locked="0"/>
    </xf>
    <xf numFmtId="169" fontId="25" fillId="0" borderId="0">
      <protection locked="0"/>
    </xf>
    <xf numFmtId="169" fontId="26" fillId="0" borderId="0">
      <protection locked="0"/>
    </xf>
    <xf numFmtId="169" fontId="25" fillId="0" borderId="0">
      <protection locked="0"/>
    </xf>
    <xf numFmtId="0" fontId="22" fillId="0" borderId="0" applyNumberFormat="0" applyFont="0" applyFill="0" applyBorder="0" applyAlignment="0" applyProtection="0"/>
    <xf numFmtId="169" fontId="25" fillId="0" borderId="0">
      <protection locked="0"/>
    </xf>
    <xf numFmtId="169" fontId="26" fillId="0" borderId="0">
      <protection locked="0"/>
    </xf>
    <xf numFmtId="169" fontId="25" fillId="0" borderId="0">
      <protection locked="0"/>
    </xf>
    <xf numFmtId="169" fontId="26" fillId="0" borderId="0">
      <protection locked="0"/>
    </xf>
    <xf numFmtId="0" fontId="46" fillId="32" borderId="10" applyNumberFormat="0" applyAlignment="0" applyProtection="0"/>
    <xf numFmtId="10" fontId="3" fillId="0" borderId="0" applyFon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/>
    <xf numFmtId="0" fontId="47" fillId="41" borderId="0">
      <alignment horizontal="left" vertical="top"/>
    </xf>
    <xf numFmtId="0" fontId="48" fillId="41" borderId="0">
      <alignment horizontal="center" vertical="center"/>
    </xf>
    <xf numFmtId="0" fontId="49" fillId="41" borderId="0">
      <alignment horizontal="center" vertical="top"/>
    </xf>
    <xf numFmtId="0" fontId="49" fillId="41" borderId="0">
      <alignment horizontal="center" vertical="top"/>
    </xf>
    <xf numFmtId="0" fontId="49" fillId="41" borderId="0">
      <alignment horizontal="center" vertical="top"/>
    </xf>
    <xf numFmtId="0" fontId="49" fillId="41" borderId="0">
      <alignment horizontal="left" vertical="top"/>
    </xf>
    <xf numFmtId="0" fontId="49" fillId="41" borderId="0">
      <alignment horizontal="left" vertical="top"/>
    </xf>
    <xf numFmtId="0" fontId="49" fillId="41" borderId="0">
      <alignment horizontal="right" vertical="center"/>
    </xf>
    <xf numFmtId="0" fontId="49" fillId="41" borderId="0">
      <alignment horizontal="right" vertical="center"/>
    </xf>
    <xf numFmtId="0" fontId="49" fillId="41" borderId="0">
      <alignment horizontal="right" vertical="center"/>
    </xf>
    <xf numFmtId="0" fontId="50" fillId="41" borderId="0">
      <alignment horizontal="right" vertical="top"/>
    </xf>
    <xf numFmtId="0" fontId="51" fillId="0" borderId="0" applyNumberFormat="0" applyFill="0" applyBorder="0" applyAlignment="0" applyProtection="0"/>
    <xf numFmtId="0" fontId="5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3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54" fillId="0" borderId="0" applyNumberForma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5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29" borderId="0" applyNumberFormat="0" applyBorder="0" applyAlignment="0" applyProtection="0"/>
    <xf numFmtId="0" fontId="41" fillId="7" borderId="2" applyNumberFormat="0" applyAlignment="0" applyProtection="0"/>
    <xf numFmtId="0" fontId="46" fillId="32" borderId="10" applyNumberFormat="0" applyAlignment="0" applyProtection="0"/>
    <xf numFmtId="0" fontId="28" fillId="32" borderId="2" applyNumberFormat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18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0" fontId="40" fillId="0" borderId="0">
      <alignment horizontal="center"/>
    </xf>
    <xf numFmtId="0" fontId="37" fillId="0" borderId="4" applyNumberFormat="0" applyFill="0" applyAlignment="0" applyProtection="0"/>
    <xf numFmtId="0" fontId="38" fillId="0" borderId="5" applyNumberFormat="0" applyFill="0" applyAlignment="0" applyProtection="0"/>
    <xf numFmtId="0" fontId="39" fillId="0" borderId="6" applyNumberFormat="0" applyFill="0" applyAlignment="0" applyProtection="0"/>
    <xf numFmtId="0" fontId="3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9" fillId="33" borderId="3" applyNumberFormat="0" applyAlignment="0" applyProtection="0"/>
    <xf numFmtId="0" fontId="53" fillId="0" borderId="0" applyNumberFormat="0" applyFill="0" applyBorder="0" applyAlignment="0" applyProtection="0"/>
    <xf numFmtId="0" fontId="22" fillId="0" borderId="0" applyNumberFormat="0" applyFont="0" applyFill="0" applyBorder="0" applyAlignment="0" applyProtection="0"/>
    <xf numFmtId="0" fontId="43" fillId="39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/>
    <xf numFmtId="0" fontId="2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2" fillId="0" borderId="0"/>
    <xf numFmtId="0" fontId="2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2" fillId="0" borderId="0"/>
    <xf numFmtId="0" fontId="2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2" fillId="0" borderId="0"/>
    <xf numFmtId="0" fontId="2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1" fillId="0" borderId="0"/>
    <xf numFmtId="0" fontId="22" fillId="0" borderId="0"/>
    <xf numFmtId="0" fontId="3" fillId="0" borderId="0"/>
    <xf numFmtId="0" fontId="11" fillId="0" borderId="0"/>
    <xf numFmtId="0" fontId="22" fillId="0" borderId="0"/>
    <xf numFmtId="0" fontId="55" fillId="0" borderId="0"/>
    <xf numFmtId="0" fontId="2" fillId="0" borderId="0" applyNumberFormat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5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2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55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55" fillId="0" borderId="0"/>
    <xf numFmtId="0" fontId="2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5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8" fillId="0" borderId="0"/>
    <xf numFmtId="0" fontId="11" fillId="0" borderId="0"/>
    <xf numFmtId="0" fontId="11" fillId="0" borderId="0"/>
    <xf numFmtId="0" fontId="11" fillId="0" borderId="0"/>
    <xf numFmtId="0" fontId="2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3" fillId="0" borderId="0"/>
    <xf numFmtId="0" fontId="3" fillId="0" borderId="0"/>
    <xf numFmtId="0" fontId="2" fillId="0" borderId="0" applyNumberFormat="0" applyFont="0" applyFill="0" applyBorder="0" applyAlignment="0" applyProtection="0"/>
    <xf numFmtId="0" fontId="3" fillId="0" borderId="0"/>
    <xf numFmtId="0" fontId="22" fillId="0" borderId="0" applyNumberFormat="0" applyFont="0" applyFill="0" applyBorder="0" applyAlignment="0" applyProtection="0"/>
    <xf numFmtId="0" fontId="3" fillId="0" borderId="0"/>
    <xf numFmtId="0" fontId="1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57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47" fillId="0" borderId="0"/>
    <xf numFmtId="0" fontId="2" fillId="0" borderId="0" applyNumberFormat="0" applyFill="0" applyBorder="0" applyAlignment="0" applyProtection="0"/>
    <xf numFmtId="0" fontId="3" fillId="0" borderId="0"/>
    <xf numFmtId="0" fontId="2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1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2" fillId="0" borderId="0"/>
    <xf numFmtId="0" fontId="2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2" fillId="0" borderId="0"/>
    <xf numFmtId="0" fontId="3" fillId="0" borderId="0"/>
    <xf numFmtId="0" fontId="2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2" fillId="0" borderId="0"/>
    <xf numFmtId="0" fontId="2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7" fillId="3" borderId="0" applyNumberFormat="0" applyBorder="0" applyAlignment="0" applyProtection="0"/>
    <xf numFmtId="0" fontId="32" fillId="0" borderId="0" applyNumberFormat="0" applyFill="0" applyBorder="0" applyAlignment="0" applyProtection="0"/>
    <xf numFmtId="0" fontId="22" fillId="40" borderId="9" applyNumberFormat="0" applyFont="0" applyAlignment="0" applyProtection="0"/>
    <xf numFmtId="0" fontId="2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42" fillId="0" borderId="8" applyNumberFormat="0" applyFill="0" applyAlignment="0" applyProtection="0"/>
    <xf numFmtId="0" fontId="2" fillId="0" borderId="0" applyNumberFormat="0" applyFont="0" applyFill="0" applyBorder="0" applyAlignment="0" applyProtection="0"/>
    <xf numFmtId="0" fontId="3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" fillId="0" borderId="0"/>
    <xf numFmtId="0" fontId="54" fillId="0" borderId="0" applyNumberFormat="0" applyFill="0" applyBorder="0" applyAlignment="0" applyProtection="0"/>
    <xf numFmtId="189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0" fontId="35" fillId="4" borderId="0" applyNumberFormat="0" applyBorder="0" applyAlignment="0" applyProtection="0"/>
    <xf numFmtId="169" fontId="16" fillId="0" borderId="0">
      <protection locked="0"/>
    </xf>
    <xf numFmtId="169" fontId="16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60" fillId="0" borderId="0"/>
    <xf numFmtId="0" fontId="3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11" fillId="0" borderId="0"/>
    <xf numFmtId="167" fontId="11" fillId="0" borderId="0" applyFont="0" applyFill="0" applyBorder="0" applyAlignment="0" applyProtection="0"/>
    <xf numFmtId="0" fontId="11" fillId="0" borderId="0"/>
    <xf numFmtId="0" fontId="1" fillId="0" borderId="0"/>
    <xf numFmtId="167" fontId="1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/>
    <xf numFmtId="0" fontId="56" fillId="0" borderId="0"/>
    <xf numFmtId="0" fontId="56" fillId="0" borderId="0"/>
    <xf numFmtId="0" fontId="56" fillId="0" borderId="0"/>
    <xf numFmtId="0" fontId="2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" fillId="0" borderId="0"/>
    <xf numFmtId="0" fontId="2" fillId="0" borderId="0"/>
    <xf numFmtId="0" fontId="11" fillId="0" borderId="0"/>
    <xf numFmtId="0" fontId="56" fillId="0" borderId="0"/>
    <xf numFmtId="0" fontId="56" fillId="0" borderId="0"/>
    <xf numFmtId="0" fontId="2" fillId="0" borderId="0"/>
    <xf numFmtId="0" fontId="2" fillId="0" borderId="0"/>
    <xf numFmtId="0" fontId="11" fillId="0" borderId="0" applyNumberFormat="0" applyFont="0" applyFill="0" applyBorder="0" applyAlignment="0" applyProtection="0"/>
    <xf numFmtId="0" fontId="2" fillId="0" borderId="0"/>
    <xf numFmtId="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2" fillId="0" borderId="0"/>
    <xf numFmtId="0" fontId="28" fillId="32" borderId="13" applyNumberFormat="0" applyAlignment="0" applyProtection="0"/>
    <xf numFmtId="0" fontId="41" fillId="7" borderId="13" applyNumberFormat="0" applyAlignment="0" applyProtection="0"/>
    <xf numFmtId="10" fontId="36" fillId="38" borderId="14" applyNumberFormat="0" applyBorder="0" applyAlignment="0" applyProtection="0"/>
    <xf numFmtId="0" fontId="11" fillId="40" borderId="15" applyNumberFormat="0" applyFont="0" applyAlignment="0" applyProtection="0"/>
    <xf numFmtId="0" fontId="46" fillId="32" borderId="16" applyNumberFormat="0" applyAlignment="0" applyProtection="0"/>
    <xf numFmtId="0" fontId="30" fillId="0" borderId="17" applyNumberFormat="0" applyFill="0" applyAlignment="0" applyProtection="0"/>
    <xf numFmtId="0" fontId="41" fillId="7" borderId="13" applyNumberFormat="0" applyAlignment="0" applyProtection="0"/>
    <xf numFmtId="0" fontId="46" fillId="32" borderId="16" applyNumberFormat="0" applyAlignment="0" applyProtection="0"/>
    <xf numFmtId="0" fontId="28" fillId="32" borderId="13" applyNumberFormat="0" applyAlignment="0" applyProtection="0"/>
    <xf numFmtId="0" fontId="30" fillId="0" borderId="17" applyNumberFormat="0" applyFill="0" applyAlignment="0" applyProtection="0"/>
    <xf numFmtId="0" fontId="22" fillId="40" borderId="15" applyNumberFormat="0" applyFont="0" applyAlignment="0" applyProtection="0"/>
    <xf numFmtId="0" fontId="2" fillId="0" borderId="0"/>
    <xf numFmtId="0" fontId="56" fillId="0" borderId="0"/>
    <xf numFmtId="173" fontId="22" fillId="0" borderId="0" applyFont="0" applyFill="0" applyBorder="0" applyAlignment="0" applyProtection="0"/>
    <xf numFmtId="0" fontId="2" fillId="0" borderId="0"/>
    <xf numFmtId="0" fontId="56" fillId="0" borderId="0"/>
    <xf numFmtId="0" fontId="2" fillId="0" borderId="0"/>
    <xf numFmtId="0" fontId="2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61" fillId="0" borderId="0">
      <alignment vertical="center"/>
    </xf>
    <xf numFmtId="0" fontId="2" fillId="0" borderId="0"/>
    <xf numFmtId="0" fontId="2" fillId="0" borderId="0"/>
    <xf numFmtId="0" fontId="2" fillId="0" borderId="0"/>
    <xf numFmtId="0" fontId="3" fillId="0" borderId="0"/>
    <xf numFmtId="0" fontId="56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56" fillId="0" borderId="0"/>
    <xf numFmtId="0" fontId="2" fillId="0" borderId="0"/>
    <xf numFmtId="167" fontId="2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167" fontId="22" fillId="0" borderId="0" applyFont="0" applyFill="0" applyBorder="0" applyAlignment="0" applyProtection="0"/>
    <xf numFmtId="0" fontId="41" fillId="7" borderId="13" applyNumberFormat="0" applyAlignment="0" applyProtection="0"/>
    <xf numFmtId="43" fontId="2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56" fillId="0" borderId="0" applyFont="0" applyFill="0" applyBorder="0" applyAlignment="0" applyProtection="0"/>
    <xf numFmtId="0" fontId="2" fillId="0" borderId="0"/>
    <xf numFmtId="0" fontId="5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56" fillId="0" borderId="0"/>
    <xf numFmtId="0" fontId="56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56" fillId="0" borderId="0"/>
    <xf numFmtId="0" fontId="2" fillId="0" borderId="0"/>
    <xf numFmtId="0" fontId="56" fillId="0" borderId="0"/>
    <xf numFmtId="0" fontId="11" fillId="0" borderId="0"/>
    <xf numFmtId="0" fontId="7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56" fillId="0" borderId="0" applyFont="0" applyFill="0" applyBorder="0" applyAlignment="0" applyProtection="0"/>
    <xf numFmtId="0" fontId="56" fillId="0" borderId="0"/>
    <xf numFmtId="0" fontId="11" fillId="0" borderId="0"/>
    <xf numFmtId="0" fontId="2" fillId="0" borderId="0"/>
    <xf numFmtId="0" fontId="56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2" fillId="0" borderId="0"/>
    <xf numFmtId="43" fontId="2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0" fontId="41" fillId="7" borderId="58" applyNumberFormat="0" applyAlignment="0" applyProtection="0"/>
    <xf numFmtId="0" fontId="41" fillId="7" borderId="58" applyNumberFormat="0" applyAlignment="0" applyProtection="0"/>
    <xf numFmtId="0" fontId="28" fillId="32" borderId="58" applyNumberFormat="0" applyAlignment="0" applyProtection="0"/>
    <xf numFmtId="0" fontId="28" fillId="32" borderId="58" applyNumberFormat="0" applyAlignment="0" applyProtection="0"/>
    <xf numFmtId="0" fontId="41" fillId="7" borderId="58" applyNumberFormat="0" applyAlignment="0" applyProtection="0"/>
    <xf numFmtId="10" fontId="36" fillId="38" borderId="51" applyNumberFormat="0" applyBorder="0" applyAlignment="0" applyProtection="0"/>
    <xf numFmtId="10" fontId="36" fillId="38" borderId="51" applyNumberFormat="0" applyBorder="0" applyAlignment="0" applyProtection="0"/>
    <xf numFmtId="0" fontId="41" fillId="7" borderId="58" applyNumberFormat="0" applyAlignment="0" applyProtection="0"/>
    <xf numFmtId="0" fontId="41" fillId="7" borderId="58" applyNumberFormat="0" applyAlignment="0" applyProtection="0"/>
    <xf numFmtId="0" fontId="11" fillId="40" borderId="59" applyNumberFormat="0" applyFont="0" applyAlignment="0" applyProtection="0"/>
    <xf numFmtId="0" fontId="11" fillId="40" borderId="59" applyNumberFormat="0" applyFont="0" applyAlignment="0" applyProtection="0"/>
    <xf numFmtId="0" fontId="46" fillId="32" borderId="60" applyNumberFormat="0" applyAlignment="0" applyProtection="0"/>
    <xf numFmtId="0" fontId="46" fillId="32" borderId="60" applyNumberFormat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41" fillId="7" borderId="58" applyNumberFormat="0" applyAlignment="0" applyProtection="0"/>
    <xf numFmtId="0" fontId="41" fillId="7" borderId="58" applyNumberFormat="0" applyAlignment="0" applyProtection="0"/>
    <xf numFmtId="0" fontId="46" fillId="32" borderId="60" applyNumberFormat="0" applyAlignment="0" applyProtection="0"/>
    <xf numFmtId="0" fontId="46" fillId="32" borderId="60" applyNumberFormat="0" applyAlignment="0" applyProtection="0"/>
    <xf numFmtId="0" fontId="28" fillId="32" borderId="58" applyNumberFormat="0" applyAlignment="0" applyProtection="0"/>
    <xf numFmtId="0" fontId="28" fillId="32" borderId="58" applyNumberFormat="0" applyAlignment="0" applyProtection="0"/>
    <xf numFmtId="0" fontId="30" fillId="0" borderId="61" applyNumberFormat="0" applyFill="0" applyAlignment="0" applyProtection="0"/>
    <xf numFmtId="0" fontId="30" fillId="0" borderId="61" applyNumberFormat="0" applyFill="0" applyAlignment="0" applyProtection="0"/>
    <xf numFmtId="0" fontId="2" fillId="0" borderId="0"/>
    <xf numFmtId="0" fontId="22" fillId="40" borderId="59" applyNumberFormat="0" applyFont="0" applyAlignment="0" applyProtection="0"/>
    <xf numFmtId="0" fontId="22" fillId="40" borderId="59" applyNumberFormat="0" applyFont="0" applyAlignment="0" applyProtection="0"/>
    <xf numFmtId="0" fontId="28" fillId="32" borderId="90" applyNumberFormat="0" applyAlignment="0" applyProtection="0"/>
    <xf numFmtId="0" fontId="3" fillId="0" borderId="0"/>
    <xf numFmtId="0" fontId="41" fillId="7" borderId="90" applyNumberFormat="0" applyAlignment="0" applyProtection="0"/>
    <xf numFmtId="0" fontId="11" fillId="0" borderId="0"/>
    <xf numFmtId="0" fontId="41" fillId="7" borderId="90" applyNumberFormat="0" applyAlignment="0" applyProtection="0"/>
    <xf numFmtId="0" fontId="41" fillId="7" borderId="90" applyNumberFormat="0" applyAlignment="0" applyProtection="0"/>
    <xf numFmtId="0" fontId="41" fillId="7" borderId="90" applyNumberFormat="0" applyAlignment="0" applyProtection="0"/>
    <xf numFmtId="0" fontId="28" fillId="32" borderId="90" applyNumberFormat="0" applyAlignment="0" applyProtection="0"/>
    <xf numFmtId="0" fontId="28" fillId="32" borderId="90" applyNumberFormat="0" applyAlignment="0" applyProtection="0"/>
    <xf numFmtId="0" fontId="22" fillId="0" borderId="0"/>
    <xf numFmtId="0" fontId="28" fillId="32" borderId="90" applyNumberFormat="0" applyAlignment="0" applyProtection="0"/>
    <xf numFmtId="0" fontId="41" fillId="7" borderId="90" applyNumberFormat="0" applyAlignment="0" applyProtection="0"/>
    <xf numFmtId="0" fontId="28" fillId="32" borderId="90" applyNumberFormat="0" applyAlignment="0" applyProtection="0"/>
    <xf numFmtId="0" fontId="41" fillId="7" borderId="90" applyNumberFormat="0" applyAlignment="0" applyProtection="0"/>
    <xf numFmtId="0" fontId="41" fillId="7" borderId="90" applyNumberFormat="0" applyAlignment="0" applyProtection="0"/>
    <xf numFmtId="0" fontId="22" fillId="0" borderId="0"/>
    <xf numFmtId="0" fontId="28" fillId="32" borderId="90" applyNumberFormat="0" applyAlignment="0" applyProtection="0"/>
    <xf numFmtId="0" fontId="41" fillId="7" borderId="82" applyNumberFormat="0" applyAlignment="0" applyProtection="0"/>
    <xf numFmtId="0" fontId="41" fillId="7" borderId="82" applyNumberFormat="0" applyAlignment="0" applyProtection="0"/>
    <xf numFmtId="0" fontId="41" fillId="7" borderId="72" applyNumberFormat="0" applyAlignment="0" applyProtection="0"/>
    <xf numFmtId="164" fontId="16" fillId="0" borderId="0">
      <protection locked="0"/>
    </xf>
    <xf numFmtId="0" fontId="41" fillId="7" borderId="78" applyNumberFormat="0" applyAlignment="0" applyProtection="0"/>
    <xf numFmtId="0" fontId="41" fillId="7" borderId="82" applyNumberFormat="0" applyAlignment="0" applyProtection="0"/>
    <xf numFmtId="0" fontId="28" fillId="32" borderId="76" applyNumberFormat="0" applyAlignment="0" applyProtection="0"/>
    <xf numFmtId="0" fontId="41" fillId="7" borderId="78" applyNumberFormat="0" applyAlignment="0" applyProtection="0"/>
    <xf numFmtId="0" fontId="41" fillId="7" borderId="76" applyNumberFormat="0" applyAlignment="0" applyProtection="0"/>
    <xf numFmtId="164" fontId="16" fillId="0" borderId="0">
      <protection locked="0"/>
    </xf>
    <xf numFmtId="164" fontId="16" fillId="0" borderId="0">
      <protection locked="0"/>
    </xf>
    <xf numFmtId="164" fontId="33" fillId="0" borderId="0">
      <protection locked="0"/>
    </xf>
    <xf numFmtId="164" fontId="16" fillId="0" borderId="0">
      <protection locked="0"/>
    </xf>
    <xf numFmtId="164" fontId="16" fillId="0" borderId="0">
      <protection locked="0"/>
    </xf>
    <xf numFmtId="164" fontId="16" fillId="0" borderId="0">
      <protection locked="0"/>
    </xf>
    <xf numFmtId="164" fontId="34" fillId="0" borderId="0">
      <protection locked="0"/>
    </xf>
    <xf numFmtId="0" fontId="41" fillId="7" borderId="58" applyNumberFormat="0" applyAlignment="0" applyProtection="0"/>
    <xf numFmtId="0" fontId="41" fillId="7" borderId="76" applyNumberFormat="0" applyAlignment="0" applyProtection="0"/>
    <xf numFmtId="0" fontId="28" fillId="32" borderId="76" applyNumberFormat="0" applyAlignment="0" applyProtection="0"/>
    <xf numFmtId="166" fontId="3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41" fillId="7" borderId="86" applyNumberFormat="0" applyAlignment="0" applyProtection="0"/>
    <xf numFmtId="0" fontId="46" fillId="32" borderId="88" applyNumberFormat="0" applyAlignment="0" applyProtection="0"/>
    <xf numFmtId="0" fontId="46" fillId="32" borderId="88" applyNumberFormat="0" applyAlignment="0" applyProtection="0"/>
    <xf numFmtId="0" fontId="28" fillId="32" borderId="86" applyNumberFormat="0" applyAlignment="0" applyProtection="0"/>
    <xf numFmtId="0" fontId="28" fillId="32" borderId="86" applyNumberFormat="0" applyAlignment="0" applyProtection="0"/>
    <xf numFmtId="0" fontId="30" fillId="0" borderId="89" applyNumberFormat="0" applyFill="0" applyAlignment="0" applyProtection="0"/>
    <xf numFmtId="0" fontId="30" fillId="0" borderId="89" applyNumberFormat="0" applyFill="0" applyAlignment="0" applyProtection="0"/>
    <xf numFmtId="0" fontId="2" fillId="0" borderId="0"/>
    <xf numFmtId="0" fontId="28" fillId="32" borderId="82" applyNumberFormat="0" applyAlignment="0" applyProtection="0"/>
    <xf numFmtId="0" fontId="28" fillId="32" borderId="82" applyNumberFormat="0" applyAlignment="0" applyProtection="0"/>
    <xf numFmtId="0" fontId="30" fillId="0" borderId="85" applyNumberFormat="0" applyFill="0" applyAlignment="0" applyProtection="0"/>
    <xf numFmtId="0" fontId="46" fillId="32" borderId="84" applyNumberFormat="0" applyAlignment="0" applyProtection="0"/>
    <xf numFmtId="0" fontId="28" fillId="32" borderId="82" applyNumberFormat="0" applyAlignment="0" applyProtection="0"/>
    <xf numFmtId="0" fontId="46" fillId="32" borderId="88" applyNumberFormat="0" applyAlignment="0" applyProtection="0"/>
    <xf numFmtId="0" fontId="28" fillId="32" borderId="86" applyNumberFormat="0" applyAlignment="0" applyProtection="0"/>
    <xf numFmtId="0" fontId="11" fillId="40" borderId="87" applyNumberFormat="0" applyFont="0" applyAlignment="0" applyProtection="0"/>
    <xf numFmtId="0" fontId="41" fillId="7" borderId="86" applyNumberFormat="0" applyAlignment="0" applyProtection="0"/>
    <xf numFmtId="0" fontId="2" fillId="0" borderId="0" applyNumberFormat="0" applyFont="0" applyFill="0" applyBorder="0" applyAlignment="0" applyProtection="0"/>
    <xf numFmtId="0" fontId="41" fillId="7" borderId="86" applyNumberFormat="0" applyAlignment="0" applyProtection="0"/>
    <xf numFmtId="0" fontId="2" fillId="0" borderId="0"/>
    <xf numFmtId="0" fontId="41" fillId="7" borderId="86" applyNumberFormat="0" applyAlignment="0" applyProtection="0"/>
    <xf numFmtId="0" fontId="46" fillId="32" borderId="88" applyNumberFormat="0" applyAlignment="0" applyProtection="0"/>
    <xf numFmtId="0" fontId="30" fillId="0" borderId="89" applyNumberFormat="0" applyFill="0" applyAlignment="0" applyProtection="0"/>
    <xf numFmtId="0" fontId="2" fillId="0" borderId="0"/>
    <xf numFmtId="0" fontId="30" fillId="0" borderId="89" applyNumberFormat="0" applyFill="0" applyAlignment="0" applyProtection="0"/>
    <xf numFmtId="0" fontId="41" fillId="7" borderId="86" applyNumberFormat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41" fillId="7" borderId="78" applyNumberFormat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0" fontId="36" fillId="38" borderId="77" applyNumberFormat="0" applyBorder="0" applyAlignment="0" applyProtection="0"/>
    <xf numFmtId="167" fontId="11" fillId="0" borderId="0" applyFont="0" applyFill="0" applyBorder="0" applyAlignment="0" applyProtection="0"/>
    <xf numFmtId="0" fontId="41" fillId="7" borderId="78" applyNumberFormat="0" applyAlignment="0" applyProtection="0"/>
    <xf numFmtId="0" fontId="11" fillId="40" borderId="79" applyNumberFormat="0" applyFont="0" applyAlignment="0" applyProtection="0"/>
    <xf numFmtId="0" fontId="11" fillId="40" borderId="79" applyNumberFormat="0" applyFont="0" applyAlignment="0" applyProtection="0"/>
    <xf numFmtId="0" fontId="46" fillId="32" borderId="80" applyNumberFormat="0" applyAlignment="0" applyProtection="0"/>
    <xf numFmtId="0" fontId="46" fillId="32" borderId="80" applyNumberFormat="0" applyAlignment="0" applyProtection="0"/>
    <xf numFmtId="0" fontId="30" fillId="0" borderId="81" applyNumberFormat="0" applyFill="0" applyAlignment="0" applyProtection="0"/>
    <xf numFmtId="0" fontId="30" fillId="0" borderId="81" applyNumberFormat="0" applyFill="0" applyAlignment="0" applyProtection="0"/>
    <xf numFmtId="0" fontId="41" fillId="7" borderId="78" applyNumberFormat="0" applyAlignment="0" applyProtection="0"/>
    <xf numFmtId="0" fontId="41" fillId="7" borderId="78" applyNumberFormat="0" applyAlignment="0" applyProtection="0"/>
    <xf numFmtId="0" fontId="46" fillId="32" borderId="80" applyNumberFormat="0" applyAlignment="0" applyProtection="0"/>
    <xf numFmtId="0" fontId="46" fillId="32" borderId="80" applyNumberFormat="0" applyAlignment="0" applyProtection="0"/>
    <xf numFmtId="0" fontId="28" fillId="32" borderId="78" applyNumberFormat="0" applyAlignment="0" applyProtection="0"/>
    <xf numFmtId="0" fontId="28" fillId="32" borderId="78" applyNumberFormat="0" applyAlignment="0" applyProtection="0"/>
    <xf numFmtId="0" fontId="30" fillId="0" borderId="81" applyNumberFormat="0" applyFill="0" applyAlignment="0" applyProtection="0"/>
    <xf numFmtId="0" fontId="30" fillId="0" borderId="81" applyNumberFormat="0" applyFill="0" applyAlignment="0" applyProtection="0"/>
    <xf numFmtId="167" fontId="1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0" fillId="0" borderId="85" applyNumberFormat="0" applyFill="0" applyAlignment="0" applyProtection="0"/>
    <xf numFmtId="0" fontId="41" fillId="7" borderId="82" applyNumberFormat="0" applyAlignment="0" applyProtection="0"/>
    <xf numFmtId="0" fontId="30" fillId="0" borderId="85" applyNumberFormat="0" applyFill="0" applyAlignment="0" applyProtection="0"/>
    <xf numFmtId="0" fontId="28" fillId="32" borderId="82" applyNumberFormat="0" applyAlignment="0" applyProtection="0"/>
    <xf numFmtId="0" fontId="11" fillId="40" borderId="87" applyNumberFormat="0" applyFont="0" applyAlignment="0" applyProtection="0"/>
    <xf numFmtId="0" fontId="41" fillId="7" borderId="82" applyNumberFormat="0" applyAlignment="0" applyProtection="0"/>
    <xf numFmtId="0" fontId="41" fillId="7" borderId="82" applyNumberFormat="0" applyAlignment="0" applyProtection="0"/>
    <xf numFmtId="167" fontId="2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41" fillId="7" borderId="90" applyNumberFormat="0" applyAlignment="0" applyProtection="0"/>
    <xf numFmtId="0" fontId="2" fillId="0" borderId="0"/>
    <xf numFmtId="0" fontId="41" fillId="7" borderId="82" applyNumberFormat="0" applyAlignment="0" applyProtection="0"/>
    <xf numFmtId="0" fontId="41" fillId="7" borderId="78" applyNumberFormat="0" applyAlignment="0" applyProtection="0"/>
    <xf numFmtId="167" fontId="2" fillId="0" borderId="0" applyFont="0" applyFill="0" applyBorder="0" applyAlignment="0" applyProtection="0"/>
    <xf numFmtId="0" fontId="41" fillId="7" borderId="82" applyNumberFormat="0" applyAlignment="0" applyProtection="0"/>
    <xf numFmtId="0" fontId="28" fillId="32" borderId="86" applyNumberFormat="0" applyAlignment="0" applyProtection="0"/>
    <xf numFmtId="167" fontId="22" fillId="0" borderId="0" applyFont="0" applyFill="0" applyBorder="0" applyAlignment="0" applyProtection="0"/>
    <xf numFmtId="0" fontId="41" fillId="7" borderId="78" applyNumberFormat="0" applyAlignment="0" applyProtection="0"/>
    <xf numFmtId="0" fontId="41" fillId="7" borderId="82" applyNumberFormat="0" applyAlignment="0" applyProtection="0"/>
    <xf numFmtId="0" fontId="11" fillId="40" borderId="83" applyNumberFormat="0" applyFont="0" applyAlignment="0" applyProtection="0"/>
    <xf numFmtId="0" fontId="46" fillId="32" borderId="84" applyNumberFormat="0" applyAlignment="0" applyProtection="0"/>
    <xf numFmtId="0" fontId="46" fillId="32" borderId="84" applyNumberFormat="0" applyAlignment="0" applyProtection="0"/>
    <xf numFmtId="0" fontId="30" fillId="0" borderId="85" applyNumberFormat="0" applyFill="0" applyAlignment="0" applyProtection="0"/>
    <xf numFmtId="0" fontId="41" fillId="7" borderId="90" applyNumberFormat="0" applyAlignment="0" applyProtection="0"/>
    <xf numFmtId="167" fontId="2" fillId="0" borderId="0" applyFont="0" applyFill="0" applyBorder="0" applyAlignment="0" applyProtection="0"/>
    <xf numFmtId="0" fontId="46" fillId="32" borderId="84" applyNumberFormat="0" applyAlignment="0" applyProtection="0"/>
    <xf numFmtId="0" fontId="22" fillId="40" borderId="83" applyNumberFormat="0" applyFont="0" applyAlignment="0" applyProtection="0"/>
    <xf numFmtId="0" fontId="11" fillId="40" borderId="83" applyNumberFormat="0" applyFont="0" applyAlignment="0" applyProtection="0"/>
    <xf numFmtId="0" fontId="41" fillId="7" borderId="86" applyNumberFormat="0" applyAlignment="0" applyProtection="0"/>
    <xf numFmtId="0" fontId="41" fillId="7" borderId="82" applyNumberFormat="0" applyAlignment="0" applyProtection="0"/>
    <xf numFmtId="0" fontId="41" fillId="7" borderId="86" applyNumberFormat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8" fillId="32" borderId="78" applyNumberFormat="0" applyAlignment="0" applyProtection="0"/>
    <xf numFmtId="0" fontId="28" fillId="32" borderId="78" applyNumberFormat="0" applyAlignment="0" applyProtection="0"/>
    <xf numFmtId="0" fontId="41" fillId="7" borderId="78" applyNumberFormat="0" applyAlignment="0" applyProtection="0"/>
    <xf numFmtId="10" fontId="36" fillId="38" borderId="77" applyNumberFormat="0" applyBorder="0" applyAlignment="0" applyProtection="0"/>
    <xf numFmtId="0" fontId="41" fillId="7" borderId="72" applyNumberFormat="0" applyAlignment="0" applyProtection="0"/>
    <xf numFmtId="0" fontId="41" fillId="7" borderId="72" applyNumberFormat="0" applyAlignment="0" applyProtection="0"/>
    <xf numFmtId="0" fontId="28" fillId="32" borderId="72" applyNumberFormat="0" applyAlignment="0" applyProtection="0"/>
    <xf numFmtId="0" fontId="28" fillId="32" borderId="72" applyNumberFormat="0" applyAlignment="0" applyProtection="0"/>
    <xf numFmtId="0" fontId="41" fillId="7" borderId="72" applyNumberFormat="0" applyAlignment="0" applyProtection="0"/>
    <xf numFmtId="10" fontId="36" fillId="38" borderId="71" applyNumberFormat="0" applyBorder="0" applyAlignment="0" applyProtection="0"/>
    <xf numFmtId="10" fontId="36" fillId="38" borderId="71" applyNumberFormat="0" applyBorder="0" applyAlignment="0" applyProtection="0"/>
    <xf numFmtId="0" fontId="41" fillId="7" borderId="72" applyNumberFormat="0" applyAlignment="0" applyProtection="0"/>
    <xf numFmtId="0" fontId="41" fillId="7" borderId="72" applyNumberFormat="0" applyAlignment="0" applyProtection="0"/>
    <xf numFmtId="0" fontId="11" fillId="40" borderId="73" applyNumberFormat="0" applyFont="0" applyAlignment="0" applyProtection="0"/>
    <xf numFmtId="0" fontId="11" fillId="40" borderId="73" applyNumberFormat="0" applyFont="0" applyAlignment="0" applyProtection="0"/>
    <xf numFmtId="0" fontId="46" fillId="32" borderId="74" applyNumberFormat="0" applyAlignment="0" applyProtection="0"/>
    <xf numFmtId="0" fontId="46" fillId="32" borderId="74" applyNumberFormat="0" applyAlignment="0" applyProtection="0"/>
    <xf numFmtId="0" fontId="30" fillId="0" borderId="75" applyNumberFormat="0" applyFill="0" applyAlignment="0" applyProtection="0"/>
    <xf numFmtId="0" fontId="30" fillId="0" borderId="75" applyNumberFormat="0" applyFill="0" applyAlignment="0" applyProtection="0"/>
    <xf numFmtId="0" fontId="41" fillId="7" borderId="72" applyNumberFormat="0" applyAlignment="0" applyProtection="0"/>
    <xf numFmtId="0" fontId="41" fillId="7" borderId="72" applyNumberFormat="0" applyAlignment="0" applyProtection="0"/>
    <xf numFmtId="0" fontId="46" fillId="32" borderId="74" applyNumberFormat="0" applyAlignment="0" applyProtection="0"/>
    <xf numFmtId="0" fontId="46" fillId="32" borderId="74" applyNumberFormat="0" applyAlignment="0" applyProtection="0"/>
    <xf numFmtId="0" fontId="28" fillId="32" borderId="72" applyNumberFormat="0" applyAlignment="0" applyProtection="0"/>
    <xf numFmtId="0" fontId="28" fillId="32" borderId="72" applyNumberFormat="0" applyAlignment="0" applyProtection="0"/>
    <xf numFmtId="0" fontId="30" fillId="0" borderId="75" applyNumberFormat="0" applyFill="0" applyAlignment="0" applyProtection="0"/>
    <xf numFmtId="0" fontId="30" fillId="0" borderId="75" applyNumberFormat="0" applyFill="0" applyAlignment="0" applyProtection="0"/>
    <xf numFmtId="0" fontId="22" fillId="40" borderId="73" applyNumberFormat="0" applyFont="0" applyAlignment="0" applyProtection="0"/>
    <xf numFmtId="0" fontId="22" fillId="40" borderId="73" applyNumberFormat="0" applyFont="0" applyAlignment="0" applyProtection="0"/>
    <xf numFmtId="0" fontId="11" fillId="0" borderId="0"/>
    <xf numFmtId="0" fontId="41" fillId="7" borderId="58" applyNumberFormat="0" applyAlignment="0" applyProtection="0"/>
    <xf numFmtId="0" fontId="41" fillId="7" borderId="90" applyNumberFormat="0" applyAlignment="0" applyProtection="0"/>
    <xf numFmtId="0" fontId="22" fillId="40" borderId="79" applyNumberFormat="0" applyFont="0" applyAlignment="0" applyProtection="0"/>
    <xf numFmtId="0" fontId="22" fillId="40" borderId="79" applyNumberFormat="0" applyFont="0" applyAlignment="0" applyProtection="0"/>
    <xf numFmtId="0" fontId="22" fillId="40" borderId="83" applyNumberFormat="0" applyFont="0" applyAlignment="0" applyProtection="0"/>
    <xf numFmtId="0" fontId="22" fillId="40" borderId="87" applyNumberFormat="0" applyFont="0" applyAlignment="0" applyProtection="0"/>
    <xf numFmtId="0" fontId="22" fillId="40" borderId="87" applyNumberFormat="0" applyFont="0" applyAlignment="0" applyProtection="0"/>
    <xf numFmtId="0" fontId="41" fillId="7" borderId="82" applyNumberFormat="0" applyAlignment="0" applyProtection="0"/>
    <xf numFmtId="0" fontId="41" fillId="7" borderId="82" applyNumberFormat="0" applyAlignment="0" applyProtection="0"/>
    <xf numFmtId="0" fontId="28" fillId="32" borderId="82" applyNumberFormat="0" applyAlignment="0" applyProtection="0"/>
    <xf numFmtId="0" fontId="28" fillId="32" borderId="82" applyNumberFormat="0" applyAlignment="0" applyProtection="0"/>
    <xf numFmtId="0" fontId="41" fillId="7" borderId="82" applyNumberFormat="0" applyAlignment="0" applyProtection="0"/>
    <xf numFmtId="0" fontId="41" fillId="7" borderId="82" applyNumberFormat="0" applyAlignment="0" applyProtection="0"/>
    <xf numFmtId="0" fontId="41" fillId="7" borderId="82" applyNumberFormat="0" applyAlignment="0" applyProtection="0"/>
    <xf numFmtId="0" fontId="11" fillId="40" borderId="87" applyNumberFormat="0" applyFont="0" applyAlignment="0" applyProtection="0"/>
    <xf numFmtId="0" fontId="11" fillId="40" borderId="87" applyNumberFormat="0" applyFont="0" applyAlignment="0" applyProtection="0"/>
    <xf numFmtId="0" fontId="46" fillId="32" borderId="88" applyNumberFormat="0" applyAlignment="0" applyProtection="0"/>
    <xf numFmtId="0" fontId="46" fillId="32" borderId="88" applyNumberFormat="0" applyAlignment="0" applyProtection="0"/>
    <xf numFmtId="0" fontId="30" fillId="0" borderId="89" applyNumberFormat="0" applyFill="0" applyAlignment="0" applyProtection="0"/>
    <xf numFmtId="0" fontId="30" fillId="0" borderId="89" applyNumberFormat="0" applyFill="0" applyAlignment="0" applyProtection="0"/>
    <xf numFmtId="0" fontId="41" fillId="7" borderId="82" applyNumberFormat="0" applyAlignment="0" applyProtection="0"/>
    <xf numFmtId="0" fontId="41" fillId="7" borderId="82" applyNumberFormat="0" applyAlignment="0" applyProtection="0"/>
    <xf numFmtId="0" fontId="46" fillId="32" borderId="88" applyNumberFormat="0" applyAlignment="0" applyProtection="0"/>
    <xf numFmtId="0" fontId="46" fillId="32" borderId="88" applyNumberFormat="0" applyAlignment="0" applyProtection="0"/>
    <xf numFmtId="0" fontId="28" fillId="32" borderId="82" applyNumberFormat="0" applyAlignment="0" applyProtection="0"/>
    <xf numFmtId="0" fontId="28" fillId="32" borderId="82" applyNumberFormat="0" applyAlignment="0" applyProtection="0"/>
    <xf numFmtId="0" fontId="30" fillId="0" borderId="89" applyNumberFormat="0" applyFill="0" applyAlignment="0" applyProtection="0"/>
    <xf numFmtId="0" fontId="30" fillId="0" borderId="89" applyNumberFormat="0" applyFill="0" applyAlignment="0" applyProtection="0"/>
    <xf numFmtId="0" fontId="22" fillId="40" borderId="87" applyNumberFormat="0" applyFont="0" applyAlignment="0" applyProtection="0"/>
    <xf numFmtId="0" fontId="22" fillId="40" borderId="87" applyNumberFormat="0" applyFont="0" applyAlignment="0" applyProtection="0"/>
    <xf numFmtId="0" fontId="41" fillId="7" borderId="86" applyNumberFormat="0" applyAlignment="0" applyProtection="0"/>
    <xf numFmtId="0" fontId="41" fillId="7" borderId="86" applyNumberFormat="0" applyAlignment="0" applyProtection="0"/>
    <xf numFmtId="0" fontId="41" fillId="7" borderId="86" applyNumberFormat="0" applyAlignment="0" applyProtection="0"/>
    <xf numFmtId="0" fontId="28" fillId="32" borderId="86" applyNumberFormat="0" applyAlignment="0" applyProtection="0"/>
    <xf numFmtId="0" fontId="28" fillId="32" borderId="86" applyNumberFormat="0" applyAlignment="0" applyProtection="0"/>
    <xf numFmtId="0" fontId="41" fillId="7" borderId="86" applyNumberFormat="0" applyAlignment="0" applyProtection="0"/>
    <xf numFmtId="0" fontId="41" fillId="7" borderId="86" applyNumberFormat="0" applyAlignment="0" applyProtection="0"/>
    <xf numFmtId="0" fontId="41" fillId="7" borderId="86" applyNumberFormat="0" applyAlignment="0" applyProtection="0"/>
    <xf numFmtId="0" fontId="11" fillId="40" borderId="87" applyNumberFormat="0" applyFont="0" applyAlignment="0" applyProtection="0"/>
    <xf numFmtId="0" fontId="11" fillId="40" borderId="87" applyNumberFormat="0" applyFont="0" applyAlignment="0" applyProtection="0"/>
    <xf numFmtId="0" fontId="46" fillId="32" borderId="88" applyNumberFormat="0" applyAlignment="0" applyProtection="0"/>
    <xf numFmtId="0" fontId="46" fillId="32" borderId="88" applyNumberFormat="0" applyAlignment="0" applyProtection="0"/>
    <xf numFmtId="0" fontId="30" fillId="0" borderId="89" applyNumberFormat="0" applyFill="0" applyAlignment="0" applyProtection="0"/>
    <xf numFmtId="0" fontId="30" fillId="0" borderId="89" applyNumberFormat="0" applyFill="0" applyAlignment="0" applyProtection="0"/>
    <xf numFmtId="0" fontId="41" fillId="7" borderId="86" applyNumberFormat="0" applyAlignment="0" applyProtection="0"/>
    <xf numFmtId="0" fontId="41" fillId="7" borderId="86" applyNumberFormat="0" applyAlignment="0" applyProtection="0"/>
    <xf numFmtId="0" fontId="46" fillId="32" borderId="88" applyNumberFormat="0" applyAlignment="0" applyProtection="0"/>
    <xf numFmtId="0" fontId="46" fillId="32" borderId="88" applyNumberFormat="0" applyAlignment="0" applyProtection="0"/>
    <xf numFmtId="0" fontId="28" fillId="32" borderId="86" applyNumberFormat="0" applyAlignment="0" applyProtection="0"/>
    <xf numFmtId="0" fontId="28" fillId="32" borderId="86" applyNumberFormat="0" applyAlignment="0" applyProtection="0"/>
    <xf numFmtId="0" fontId="30" fillId="0" borderId="89" applyNumberFormat="0" applyFill="0" applyAlignment="0" applyProtection="0"/>
    <xf numFmtId="0" fontId="30" fillId="0" borderId="89" applyNumberFormat="0" applyFill="0" applyAlignment="0" applyProtection="0"/>
    <xf numFmtId="0" fontId="22" fillId="40" borderId="87" applyNumberFormat="0" applyFont="0" applyAlignment="0" applyProtection="0"/>
    <xf numFmtId="0" fontId="22" fillId="40" borderId="87" applyNumberFormat="0" applyFont="0" applyAlignment="0" applyProtection="0"/>
    <xf numFmtId="0" fontId="41" fillId="7" borderId="78" applyNumberFormat="0" applyAlignment="0" applyProtection="0"/>
    <xf numFmtId="0" fontId="41" fillId="7" borderId="78" applyNumberFormat="0" applyAlignment="0" applyProtection="0"/>
    <xf numFmtId="0" fontId="28" fillId="32" borderId="78" applyNumberFormat="0" applyAlignment="0" applyProtection="0"/>
    <xf numFmtId="0" fontId="28" fillId="32" borderId="78" applyNumberFormat="0" applyAlignment="0" applyProtection="0"/>
    <xf numFmtId="0" fontId="41" fillId="7" borderId="78" applyNumberFormat="0" applyAlignment="0" applyProtection="0"/>
    <xf numFmtId="0" fontId="41" fillId="7" borderId="78" applyNumberFormat="0" applyAlignment="0" applyProtection="0"/>
    <xf numFmtId="0" fontId="41" fillId="7" borderId="78" applyNumberFormat="0" applyAlignment="0" applyProtection="0"/>
    <xf numFmtId="0" fontId="46" fillId="32" borderId="84" applyNumberFormat="0" applyAlignment="0" applyProtection="0"/>
    <xf numFmtId="0" fontId="46" fillId="32" borderId="84" applyNumberFormat="0" applyAlignment="0" applyProtection="0"/>
    <xf numFmtId="0" fontId="30" fillId="0" borderId="85" applyNumberFormat="0" applyFill="0" applyAlignment="0" applyProtection="0"/>
    <xf numFmtId="0" fontId="30" fillId="0" borderId="85" applyNumberFormat="0" applyFill="0" applyAlignment="0" applyProtection="0"/>
    <xf numFmtId="0" fontId="41" fillId="7" borderId="78" applyNumberFormat="0" applyAlignment="0" applyProtection="0"/>
    <xf numFmtId="0" fontId="41" fillId="7" borderId="78" applyNumberFormat="0" applyAlignment="0" applyProtection="0"/>
    <xf numFmtId="0" fontId="46" fillId="32" borderId="84" applyNumberFormat="0" applyAlignment="0" applyProtection="0"/>
    <xf numFmtId="0" fontId="46" fillId="32" borderId="84" applyNumberFormat="0" applyAlignment="0" applyProtection="0"/>
    <xf numFmtId="0" fontId="28" fillId="32" borderId="78" applyNumberFormat="0" applyAlignment="0" applyProtection="0"/>
    <xf numFmtId="0" fontId="28" fillId="32" borderId="78" applyNumberFormat="0" applyAlignment="0" applyProtection="0"/>
    <xf numFmtId="0" fontId="30" fillId="0" borderId="85" applyNumberFormat="0" applyFill="0" applyAlignment="0" applyProtection="0"/>
    <xf numFmtId="0" fontId="30" fillId="0" borderId="85" applyNumberFormat="0" applyFill="0" applyAlignment="0" applyProtection="0"/>
    <xf numFmtId="0" fontId="41" fillId="7" borderId="82" applyNumberFormat="0" applyAlignment="0" applyProtection="0"/>
    <xf numFmtId="0" fontId="41" fillId="7" borderId="82" applyNumberFormat="0" applyAlignment="0" applyProtection="0"/>
    <xf numFmtId="0" fontId="41" fillId="7" borderId="82" applyNumberFormat="0" applyAlignment="0" applyProtection="0"/>
    <xf numFmtId="0" fontId="28" fillId="32" borderId="82" applyNumberFormat="0" applyAlignment="0" applyProtection="0"/>
    <xf numFmtId="0" fontId="28" fillId="32" borderId="82" applyNumberFormat="0" applyAlignment="0" applyProtection="0"/>
    <xf numFmtId="0" fontId="41" fillId="7" borderId="82" applyNumberFormat="0" applyAlignment="0" applyProtection="0"/>
    <xf numFmtId="0" fontId="41" fillId="7" borderId="82" applyNumberFormat="0" applyAlignment="0" applyProtection="0"/>
    <xf numFmtId="0" fontId="41" fillId="7" borderId="82" applyNumberFormat="0" applyAlignment="0" applyProtection="0"/>
    <xf numFmtId="0" fontId="46" fillId="32" borderId="84" applyNumberFormat="0" applyAlignment="0" applyProtection="0"/>
    <xf numFmtId="0" fontId="46" fillId="32" borderId="84" applyNumberFormat="0" applyAlignment="0" applyProtection="0"/>
    <xf numFmtId="0" fontId="30" fillId="0" borderId="85" applyNumberFormat="0" applyFill="0" applyAlignment="0" applyProtection="0"/>
    <xf numFmtId="0" fontId="30" fillId="0" borderId="85" applyNumberFormat="0" applyFill="0" applyAlignment="0" applyProtection="0"/>
    <xf numFmtId="0" fontId="41" fillId="7" borderId="82" applyNumberFormat="0" applyAlignment="0" applyProtection="0"/>
    <xf numFmtId="0" fontId="41" fillId="7" borderId="82" applyNumberFormat="0" applyAlignment="0" applyProtection="0"/>
    <xf numFmtId="0" fontId="46" fillId="32" borderId="84" applyNumberFormat="0" applyAlignment="0" applyProtection="0"/>
    <xf numFmtId="0" fontId="46" fillId="32" borderId="84" applyNumberFormat="0" applyAlignment="0" applyProtection="0"/>
    <xf numFmtId="0" fontId="28" fillId="32" borderId="82" applyNumberFormat="0" applyAlignment="0" applyProtection="0"/>
    <xf numFmtId="0" fontId="28" fillId="32" borderId="82" applyNumberFormat="0" applyAlignment="0" applyProtection="0"/>
    <xf numFmtId="0" fontId="30" fillId="0" borderId="85" applyNumberFormat="0" applyFill="0" applyAlignment="0" applyProtection="0"/>
    <xf numFmtId="0" fontId="30" fillId="0" borderId="85" applyNumberFormat="0" applyFill="0" applyAlignment="0" applyProtection="0"/>
    <xf numFmtId="0" fontId="41" fillId="7" borderId="90" applyNumberFormat="0" applyAlignment="0" applyProtection="0"/>
    <xf numFmtId="0" fontId="41" fillId="7" borderId="90" applyNumberFormat="0" applyAlignment="0" applyProtection="0"/>
    <xf numFmtId="0" fontId="28" fillId="32" borderId="90" applyNumberFormat="0" applyAlignment="0" applyProtection="0"/>
    <xf numFmtId="0" fontId="28" fillId="32" borderId="90" applyNumberFormat="0" applyAlignment="0" applyProtection="0"/>
  </cellStyleXfs>
  <cellXfs count="164">
    <xf numFmtId="0" fontId="0" fillId="0" borderId="0" xfId="0"/>
    <xf numFmtId="0" fontId="63" fillId="0" borderId="0" xfId="0" applyFont="1" applyFill="1" applyProtection="1">
      <protection locked="0"/>
    </xf>
    <xf numFmtId="0" fontId="62" fillId="0" borderId="0" xfId="0" applyFont="1" applyFill="1" applyAlignment="1" applyProtection="1">
      <alignment vertical="center"/>
      <protection locked="0"/>
    </xf>
    <xf numFmtId="0" fontId="63" fillId="0" borderId="0" xfId="0" applyFont="1" applyFill="1" applyAlignment="1" applyProtection="1">
      <alignment vertical="center"/>
      <protection locked="0"/>
    </xf>
    <xf numFmtId="0" fontId="63" fillId="0" borderId="0" xfId="0" applyFont="1" applyFill="1" applyAlignment="1" applyProtection="1">
      <alignment vertical="center" wrapText="1"/>
      <protection locked="0"/>
    </xf>
    <xf numFmtId="0" fontId="62" fillId="0" borderId="0" xfId="0" applyFont="1" applyFill="1" applyAlignment="1" applyProtection="1">
      <alignment horizontal="center" vertical="center" wrapText="1"/>
      <protection locked="0"/>
    </xf>
    <xf numFmtId="3" fontId="63" fillId="0" borderId="0" xfId="0" applyNumberFormat="1" applyFont="1" applyFill="1" applyProtection="1">
      <protection locked="0"/>
    </xf>
    <xf numFmtId="0" fontId="70" fillId="0" borderId="0" xfId="0" applyFont="1" applyFill="1" applyAlignment="1" applyProtection="1">
      <alignment horizontal="center" vertical="center" wrapText="1"/>
    </xf>
    <xf numFmtId="0" fontId="64" fillId="0" borderId="0" xfId="0" applyFont="1" applyFill="1" applyAlignment="1" applyProtection="1">
      <alignment horizontal="center" vertical="center" wrapText="1"/>
    </xf>
    <xf numFmtId="0" fontId="72" fillId="0" borderId="0" xfId="0" applyFont="1" applyFill="1" applyAlignment="1" applyProtection="1">
      <alignment horizontal="center" vertical="center" wrapText="1"/>
    </xf>
    <xf numFmtId="3" fontId="64" fillId="0" borderId="56" xfId="7835" applyNumberFormat="1" applyFont="1" applyBorder="1" applyAlignment="1">
      <alignment horizontal="center" vertical="center" wrapText="1"/>
    </xf>
    <xf numFmtId="3" fontId="64" fillId="0" borderId="57" xfId="7835" applyNumberFormat="1" applyFont="1" applyBorder="1" applyAlignment="1">
      <alignment horizontal="left" vertical="center" wrapText="1"/>
    </xf>
    <xf numFmtId="3" fontId="64" fillId="0" borderId="33" xfId="7835" applyNumberFormat="1" applyFont="1" applyBorder="1" applyAlignment="1">
      <alignment horizontal="center" vertical="center" wrapText="1"/>
    </xf>
    <xf numFmtId="3" fontId="64" fillId="0" borderId="34" xfId="7835" applyNumberFormat="1" applyFont="1" applyBorder="1" applyAlignment="1">
      <alignment horizontal="left" vertical="center" wrapText="1"/>
    </xf>
    <xf numFmtId="3" fontId="64" fillId="0" borderId="52" xfId="7835" applyNumberFormat="1" applyFont="1" applyBorder="1" applyAlignment="1">
      <alignment horizontal="left" vertical="center" wrapText="1"/>
    </xf>
    <xf numFmtId="3" fontId="64" fillId="0" borderId="35" xfId="7835" applyNumberFormat="1" applyFont="1" applyBorder="1" applyAlignment="1">
      <alignment horizontal="center" vertical="center" wrapText="1"/>
    </xf>
    <xf numFmtId="3" fontId="64" fillId="0" borderId="36" xfId="7835" applyNumberFormat="1" applyFont="1" applyBorder="1" applyAlignment="1">
      <alignment horizontal="left" vertical="center" wrapText="1"/>
    </xf>
    <xf numFmtId="0" fontId="68" fillId="0" borderId="0" xfId="0" applyFont="1" applyFill="1" applyBorder="1" applyAlignment="1" applyProtection="1">
      <alignment vertical="center" wrapText="1"/>
      <protection locked="0"/>
    </xf>
    <xf numFmtId="191" fontId="64" fillId="0" borderId="51" xfId="3770" applyNumberFormat="1" applyFont="1" applyFill="1" applyBorder="1" applyAlignment="1" applyProtection="1">
      <alignment horizontal="center" vertical="center" wrapText="1"/>
    </xf>
    <xf numFmtId="192" fontId="64" fillId="0" borderId="51" xfId="3767" applyNumberFormat="1" applyFont="1" applyFill="1" applyBorder="1" applyAlignment="1" applyProtection="1">
      <alignment horizontal="center" vertical="center" wrapText="1"/>
    </xf>
    <xf numFmtId="0" fontId="65" fillId="0" borderId="37" xfId="0" applyFont="1" applyFill="1" applyBorder="1" applyAlignment="1" applyProtection="1">
      <alignment horizontal="center" vertical="center"/>
      <protection locked="0"/>
    </xf>
    <xf numFmtId="0" fontId="65" fillId="0" borderId="38" xfId="0" applyFont="1" applyFill="1" applyBorder="1" applyAlignment="1" applyProtection="1">
      <alignment vertical="center" wrapText="1"/>
      <protection locked="0"/>
    </xf>
    <xf numFmtId="3" fontId="65" fillId="0" borderId="37" xfId="0" applyNumberFormat="1" applyFont="1" applyFill="1" applyBorder="1" applyAlignment="1" applyProtection="1">
      <alignment horizontal="center" vertical="center"/>
      <protection locked="0"/>
    </xf>
    <xf numFmtId="3" fontId="65" fillId="0" borderId="39" xfId="0" applyNumberFormat="1" applyFont="1" applyFill="1" applyBorder="1" applyAlignment="1" applyProtection="1">
      <alignment horizontal="center" vertical="center"/>
      <protection locked="0"/>
    </xf>
    <xf numFmtId="3" fontId="65" fillId="0" borderId="38" xfId="0" applyNumberFormat="1" applyFont="1" applyFill="1" applyBorder="1" applyAlignment="1" applyProtection="1">
      <alignment horizontal="center" vertical="center"/>
      <protection locked="0"/>
    </xf>
    <xf numFmtId="3" fontId="65" fillId="0" borderId="43" xfId="0" applyNumberFormat="1" applyFont="1" applyFill="1" applyBorder="1" applyAlignment="1" applyProtection="1">
      <alignment horizontal="center" vertical="center"/>
      <protection locked="0"/>
    </xf>
    <xf numFmtId="0" fontId="65" fillId="0" borderId="33" xfId="0" applyFont="1" applyFill="1" applyBorder="1" applyAlignment="1" applyProtection="1">
      <alignment horizontal="center" vertical="center"/>
      <protection locked="0"/>
    </xf>
    <xf numFmtId="0" fontId="65" fillId="0" borderId="34" xfId="0" applyFont="1" applyFill="1" applyBorder="1" applyAlignment="1" applyProtection="1">
      <alignment vertical="center" wrapText="1"/>
      <protection locked="0"/>
    </xf>
    <xf numFmtId="3" fontId="65" fillId="0" borderId="33" xfId="0" applyNumberFormat="1" applyFont="1" applyFill="1" applyBorder="1" applyAlignment="1" applyProtection="1">
      <alignment horizontal="center" vertical="center"/>
      <protection locked="0"/>
    </xf>
    <xf numFmtId="3" fontId="65" fillId="0" borderId="51" xfId="0" applyNumberFormat="1" applyFont="1" applyFill="1" applyBorder="1" applyAlignment="1" applyProtection="1">
      <alignment horizontal="center" vertical="center"/>
      <protection locked="0"/>
    </xf>
    <xf numFmtId="3" fontId="65" fillId="0" borderId="34" xfId="0" applyNumberFormat="1" applyFont="1" applyFill="1" applyBorder="1" applyAlignment="1" applyProtection="1">
      <alignment horizontal="center" vertical="center"/>
      <protection locked="0"/>
    </xf>
    <xf numFmtId="3" fontId="65" fillId="0" borderId="42" xfId="0" applyNumberFormat="1" applyFont="1" applyFill="1" applyBorder="1" applyAlignment="1" applyProtection="1">
      <alignment horizontal="center" vertical="center"/>
      <protection locked="0"/>
    </xf>
    <xf numFmtId="3" fontId="64" fillId="0" borderId="33" xfId="0" applyNumberFormat="1" applyFont="1" applyFill="1" applyBorder="1" applyAlignment="1" applyProtection="1">
      <alignment horizontal="center" vertical="center"/>
      <protection locked="0"/>
    </xf>
    <xf numFmtId="3" fontId="64" fillId="0" borderId="51" xfId="0" applyNumberFormat="1" applyFont="1" applyFill="1" applyBorder="1" applyAlignment="1" applyProtection="1">
      <alignment horizontal="center" vertical="center"/>
      <protection locked="0"/>
    </xf>
    <xf numFmtId="3" fontId="64" fillId="0" borderId="34" xfId="0" applyNumberFormat="1" applyFont="1" applyFill="1" applyBorder="1" applyAlignment="1" applyProtection="1">
      <alignment horizontal="center" vertical="center"/>
      <protection locked="0"/>
    </xf>
    <xf numFmtId="0" fontId="65" fillId="0" borderId="35" xfId="0" applyFont="1" applyFill="1" applyBorder="1" applyAlignment="1" applyProtection="1">
      <alignment horizontal="center" vertical="center"/>
      <protection locked="0"/>
    </xf>
    <xf numFmtId="0" fontId="65" fillId="0" borderId="36" xfId="0" applyFont="1" applyFill="1" applyBorder="1" applyAlignment="1" applyProtection="1">
      <alignment vertical="center" wrapText="1"/>
      <protection locked="0"/>
    </xf>
    <xf numFmtId="3" fontId="65" fillId="0" borderId="35" xfId="0" applyNumberFormat="1" applyFont="1" applyFill="1" applyBorder="1" applyAlignment="1" applyProtection="1">
      <alignment horizontal="center" vertical="center"/>
      <protection locked="0"/>
    </xf>
    <xf numFmtId="3" fontId="65" fillId="0" borderId="40" xfId="0" applyNumberFormat="1" applyFont="1" applyFill="1" applyBorder="1" applyAlignment="1" applyProtection="1">
      <alignment horizontal="center" vertical="center"/>
      <protection locked="0"/>
    </xf>
    <xf numFmtId="3" fontId="65" fillId="0" borderId="36" xfId="0" applyNumberFormat="1" applyFont="1" applyFill="1" applyBorder="1" applyAlignment="1" applyProtection="1">
      <alignment horizontal="center" vertical="center"/>
      <protection locked="0"/>
    </xf>
    <xf numFmtId="3" fontId="65" fillId="0" borderId="44" xfId="0" applyNumberFormat="1" applyFont="1" applyFill="1" applyBorder="1" applyAlignment="1" applyProtection="1">
      <alignment horizontal="center" vertical="center"/>
      <protection locked="0"/>
    </xf>
    <xf numFmtId="3" fontId="66" fillId="0" borderId="28" xfId="0" applyNumberFormat="1" applyFont="1" applyFill="1" applyBorder="1" applyAlignment="1" applyProtection="1">
      <alignment horizontal="center" vertical="center"/>
      <protection locked="0"/>
    </xf>
    <xf numFmtId="3" fontId="66" fillId="0" borderId="31" xfId="0" applyNumberFormat="1" applyFont="1" applyFill="1" applyBorder="1" applyAlignment="1" applyProtection="1">
      <alignment horizontal="center" vertical="center"/>
      <protection locked="0"/>
    </xf>
    <xf numFmtId="3" fontId="66" fillId="0" borderId="30" xfId="0" applyNumberFormat="1" applyFont="1" applyFill="1" applyBorder="1" applyAlignment="1" applyProtection="1">
      <alignment horizontal="center" vertical="center"/>
      <protection locked="0"/>
    </xf>
    <xf numFmtId="0" fontId="66" fillId="0" borderId="0" xfId="0" applyFont="1" applyFill="1" applyAlignment="1" applyProtection="1">
      <alignment vertical="center"/>
      <protection locked="0"/>
    </xf>
    <xf numFmtId="0" fontId="67" fillId="0" borderId="30" xfId="0" applyFont="1" applyFill="1" applyBorder="1" applyAlignment="1" applyProtection="1">
      <alignment horizontal="center" vertical="center" wrapText="1"/>
      <protection locked="0"/>
    </xf>
    <xf numFmtId="3" fontId="65" fillId="0" borderId="56" xfId="0" applyNumberFormat="1" applyFont="1" applyFill="1" applyBorder="1" applyAlignment="1" applyProtection="1">
      <alignment horizontal="center" vertical="center"/>
      <protection locked="0"/>
    </xf>
    <xf numFmtId="3" fontId="65" fillId="0" borderId="19" xfId="0" applyNumberFormat="1" applyFont="1" applyFill="1" applyBorder="1" applyAlignment="1" applyProtection="1">
      <alignment horizontal="center" vertical="center"/>
      <protection locked="0"/>
    </xf>
    <xf numFmtId="3" fontId="65" fillId="0" borderId="57" xfId="0" applyNumberFormat="1" applyFont="1" applyFill="1" applyBorder="1" applyAlignment="1" applyProtection="1">
      <alignment horizontal="center" vertical="center"/>
      <protection locked="0"/>
    </xf>
    <xf numFmtId="3" fontId="65" fillId="0" borderId="23" xfId="0" applyNumberFormat="1" applyFont="1" applyFill="1" applyBorder="1" applyAlignment="1" applyProtection="1">
      <alignment horizontal="center" vertical="center"/>
      <protection locked="0"/>
    </xf>
    <xf numFmtId="0" fontId="65" fillId="0" borderId="57" xfId="0" applyFont="1" applyFill="1" applyBorder="1" applyAlignment="1" applyProtection="1">
      <alignment vertical="center" wrapText="1"/>
      <protection locked="0"/>
    </xf>
    <xf numFmtId="0" fontId="76" fillId="0" borderId="33" xfId="0" applyFont="1" applyFill="1" applyBorder="1" applyAlignment="1" applyProtection="1">
      <alignment horizontal="center" vertical="center"/>
      <protection locked="0"/>
    </xf>
    <xf numFmtId="0" fontId="76" fillId="0" borderId="56" xfId="0" applyFont="1" applyFill="1" applyBorder="1" applyAlignment="1" applyProtection="1">
      <alignment horizontal="center" vertical="center"/>
      <protection locked="0"/>
    </xf>
    <xf numFmtId="0" fontId="65" fillId="0" borderId="28" xfId="0" applyFont="1" applyFill="1" applyBorder="1" applyAlignment="1" applyProtection="1">
      <alignment horizontal="center" vertical="center"/>
      <protection locked="0"/>
    </xf>
    <xf numFmtId="0" fontId="65" fillId="0" borderId="29" xfId="0" applyFont="1" applyFill="1" applyBorder="1" applyAlignment="1" applyProtection="1">
      <alignment vertical="center" wrapText="1"/>
      <protection locked="0"/>
    </xf>
    <xf numFmtId="0" fontId="76" fillId="0" borderId="35" xfId="0" applyFont="1" applyFill="1" applyBorder="1" applyAlignment="1" applyProtection="1">
      <alignment horizontal="center" vertical="center"/>
      <protection locked="0"/>
    </xf>
    <xf numFmtId="3" fontId="64" fillId="0" borderId="42" xfId="0" applyNumberFormat="1" applyFont="1" applyFill="1" applyBorder="1" applyAlignment="1" applyProtection="1">
      <alignment horizontal="center" vertical="center"/>
      <protection locked="0"/>
    </xf>
    <xf numFmtId="3" fontId="66" fillId="0" borderId="67" xfId="0" applyNumberFormat="1" applyFont="1" applyFill="1" applyBorder="1" applyAlignment="1" applyProtection="1">
      <alignment horizontal="center" vertical="center"/>
      <protection locked="0"/>
    </xf>
    <xf numFmtId="3" fontId="65" fillId="0" borderId="69" xfId="0" applyNumberFormat="1" applyFont="1" applyFill="1" applyBorder="1" applyAlignment="1" applyProtection="1">
      <alignment horizontal="center" vertical="center"/>
      <protection locked="0"/>
    </xf>
    <xf numFmtId="3" fontId="65" fillId="0" borderId="20" xfId="0" applyNumberFormat="1" applyFont="1" applyFill="1" applyBorder="1" applyAlignment="1" applyProtection="1">
      <alignment horizontal="center" vertical="center"/>
      <protection locked="0"/>
    </xf>
    <xf numFmtId="3" fontId="66" fillId="0" borderId="64" xfId="0" applyNumberFormat="1" applyFont="1" applyFill="1" applyBorder="1" applyAlignment="1" applyProtection="1">
      <alignment horizontal="center" vertical="center"/>
      <protection locked="0"/>
    </xf>
    <xf numFmtId="0" fontId="67" fillId="0" borderId="30" xfId="0" applyFont="1" applyFill="1" applyBorder="1" applyAlignment="1" applyProtection="1">
      <alignment horizontal="center" vertical="center" wrapText="1"/>
      <protection locked="0"/>
    </xf>
    <xf numFmtId="3" fontId="65" fillId="0" borderId="22" xfId="0" applyNumberFormat="1" applyFont="1" applyFill="1" applyBorder="1" applyAlignment="1" applyProtection="1">
      <alignment horizontal="center" vertical="center"/>
      <protection locked="0"/>
    </xf>
    <xf numFmtId="3" fontId="65" fillId="0" borderId="70" xfId="0" applyNumberFormat="1" applyFont="1" applyFill="1" applyBorder="1" applyAlignment="1" applyProtection="1">
      <alignment horizontal="center" vertical="center"/>
      <protection locked="0"/>
    </xf>
    <xf numFmtId="0" fontId="64" fillId="0" borderId="51" xfId="3508" applyFont="1" applyFill="1" applyBorder="1" applyAlignment="1" applyProtection="1">
      <alignment horizontal="center" vertical="center" wrapText="1"/>
    </xf>
    <xf numFmtId="0" fontId="64" fillId="0" borderId="32" xfId="3765" applyNumberFormat="1" applyFont="1" applyFill="1" applyBorder="1" applyAlignment="1" applyProtection="1">
      <alignment horizontal="center" vertical="center" wrapText="1"/>
    </xf>
    <xf numFmtId="0" fontId="64" fillId="0" borderId="51" xfId="3765" applyNumberFormat="1" applyFont="1" applyFill="1" applyBorder="1" applyAlignment="1" applyProtection="1">
      <alignment horizontal="center" vertical="center" wrapText="1"/>
    </xf>
    <xf numFmtId="190" fontId="64" fillId="0" borderId="51" xfId="0" applyNumberFormat="1" applyFont="1" applyFill="1" applyBorder="1" applyAlignment="1">
      <alignment horizontal="center" vertical="center" wrapText="1"/>
    </xf>
    <xf numFmtId="0" fontId="64" fillId="0" borderId="51" xfId="3766" applyFont="1" applyFill="1" applyBorder="1" applyAlignment="1" applyProtection="1">
      <alignment horizontal="center" vertical="center" wrapText="1"/>
    </xf>
    <xf numFmtId="191" fontId="64" fillId="0" borderId="51" xfId="0" applyNumberFormat="1" applyFont="1" applyFill="1" applyBorder="1" applyAlignment="1">
      <alignment horizontal="center" vertical="center" wrapText="1"/>
    </xf>
    <xf numFmtId="168" fontId="64" fillId="0" borderId="51" xfId="0" applyNumberFormat="1" applyFont="1" applyFill="1" applyBorder="1" applyAlignment="1">
      <alignment horizontal="center" vertical="center" wrapText="1"/>
    </xf>
    <xf numFmtId="193" fontId="64" fillId="0" borderId="51" xfId="0" applyNumberFormat="1" applyFont="1" applyFill="1" applyBorder="1" applyAlignment="1">
      <alignment horizontal="center" vertical="center" wrapText="1"/>
    </xf>
    <xf numFmtId="3" fontId="64" fillId="0" borderId="51" xfId="0" applyNumberFormat="1" applyFont="1" applyFill="1" applyBorder="1" applyAlignment="1" applyProtection="1">
      <alignment horizontal="center" vertical="center" wrapText="1"/>
    </xf>
    <xf numFmtId="0" fontId="64" fillId="0" borderId="51" xfId="0" applyFont="1" applyFill="1" applyBorder="1" applyAlignment="1">
      <alignment horizontal="center" vertical="center" wrapText="1"/>
    </xf>
    <xf numFmtId="14" fontId="64" fillId="0" borderId="51" xfId="0" applyNumberFormat="1" applyFont="1" applyFill="1" applyBorder="1" applyAlignment="1">
      <alignment horizontal="center" vertical="center" wrapText="1"/>
    </xf>
    <xf numFmtId="0" fontId="64" fillId="0" borderId="51" xfId="0" applyNumberFormat="1" applyFont="1" applyFill="1" applyBorder="1" applyAlignment="1">
      <alignment horizontal="center" vertical="center" wrapText="1"/>
    </xf>
    <xf numFmtId="0" fontId="64" fillId="0" borderId="0" xfId="0" applyFont="1" applyFill="1" applyAlignment="1">
      <alignment horizontal="center" vertical="center" wrapText="1"/>
    </xf>
    <xf numFmtId="0" fontId="70" fillId="0" borderId="14" xfId="0" applyFont="1" applyFill="1" applyBorder="1" applyAlignment="1" applyProtection="1">
      <alignment horizontal="center" vertical="center" wrapText="1"/>
    </xf>
    <xf numFmtId="3" fontId="70" fillId="0" borderId="12" xfId="0" applyNumberFormat="1" applyFont="1" applyFill="1" applyBorder="1" applyAlignment="1" applyProtection="1">
      <alignment horizontal="center" vertical="center" wrapText="1"/>
    </xf>
    <xf numFmtId="3" fontId="70" fillId="0" borderId="14" xfId="0" applyNumberFormat="1" applyFont="1" applyFill="1" applyBorder="1" applyAlignment="1" applyProtection="1">
      <alignment horizontal="center" vertical="center" wrapText="1"/>
    </xf>
    <xf numFmtId="0" fontId="70" fillId="0" borderId="12" xfId="0" applyFont="1" applyFill="1" applyBorder="1" applyAlignment="1" applyProtection="1">
      <alignment horizontal="center" vertical="center" wrapText="1"/>
    </xf>
    <xf numFmtId="0" fontId="67" fillId="0" borderId="30" xfId="0" applyFont="1" applyFill="1" applyBorder="1" applyAlignment="1" applyProtection="1">
      <alignment horizontal="center" vertical="center" wrapText="1"/>
      <protection locked="0"/>
    </xf>
    <xf numFmtId="0" fontId="64" fillId="0" borderId="51" xfId="0" applyFont="1" applyFill="1" applyBorder="1" applyAlignment="1">
      <alignment horizontal="center" vertical="center" wrapText="1"/>
    </xf>
    <xf numFmtId="0" fontId="67" fillId="0" borderId="30" xfId="0" applyFont="1" applyFill="1" applyBorder="1" applyAlignment="1" applyProtection="1">
      <alignment horizontal="center" vertical="center" wrapText="1"/>
      <protection locked="0"/>
    </xf>
    <xf numFmtId="3" fontId="70" fillId="0" borderId="71" xfId="0" applyNumberFormat="1" applyFont="1" applyFill="1" applyBorder="1" applyAlignment="1" applyProtection="1">
      <alignment horizontal="center" vertical="center" wrapText="1"/>
    </xf>
    <xf numFmtId="0" fontId="64" fillId="0" borderId="71" xfId="0" applyFont="1" applyFill="1" applyBorder="1" applyAlignment="1">
      <alignment horizontal="center" vertical="center" wrapText="1"/>
    </xf>
    <xf numFmtId="3" fontId="65" fillId="0" borderId="71" xfId="0" applyNumberFormat="1" applyFont="1" applyFill="1" applyBorder="1" applyAlignment="1" applyProtection="1">
      <alignment horizontal="center" vertical="center"/>
      <protection locked="0"/>
    </xf>
    <xf numFmtId="0" fontId="65" fillId="0" borderId="69" xfId="0" applyFont="1" applyFill="1" applyBorder="1" applyAlignment="1" applyProtection="1">
      <alignment horizontal="center" vertical="center"/>
      <protection locked="0"/>
    </xf>
    <xf numFmtId="0" fontId="65" fillId="0" borderId="41" xfId="0" applyFont="1" applyFill="1" applyBorder="1" applyAlignment="1" applyProtection="1">
      <alignment vertical="center" wrapText="1"/>
      <protection locked="0"/>
    </xf>
    <xf numFmtId="0" fontId="65" fillId="0" borderId="45" xfId="0" applyFont="1" applyFill="1" applyBorder="1" applyAlignment="1" applyProtection="1">
      <alignment vertical="center" wrapText="1"/>
      <protection locked="0"/>
    </xf>
    <xf numFmtId="3" fontId="64" fillId="0" borderId="71" xfId="0" applyNumberFormat="1" applyFont="1" applyFill="1" applyBorder="1" applyAlignment="1" applyProtection="1">
      <alignment horizontal="center" vertical="center"/>
      <protection locked="0"/>
    </xf>
    <xf numFmtId="0" fontId="65" fillId="0" borderId="21" xfId="0" applyFont="1" applyFill="1" applyBorder="1" applyAlignment="1" applyProtection="1">
      <alignment vertical="center" wrapText="1"/>
      <protection locked="0"/>
    </xf>
    <xf numFmtId="0" fontId="65" fillId="0" borderId="56" xfId="0" applyFont="1" applyFill="1" applyBorder="1" applyAlignment="1" applyProtection="1">
      <alignment horizontal="center" vertical="center"/>
      <protection locked="0"/>
    </xf>
    <xf numFmtId="0" fontId="65" fillId="0" borderId="18" xfId="0" applyFont="1" applyFill="1" applyBorder="1" applyAlignment="1" applyProtection="1">
      <alignment vertical="center" wrapText="1"/>
      <protection locked="0"/>
    </xf>
    <xf numFmtId="1" fontId="64" fillId="0" borderId="51" xfId="0" applyNumberFormat="1" applyFont="1" applyFill="1" applyBorder="1" applyAlignment="1">
      <alignment horizontal="center" vertical="center" wrapText="1"/>
    </xf>
    <xf numFmtId="3" fontId="70" fillId="0" borderId="12" xfId="0" applyNumberFormat="1" applyFont="1" applyFill="1" applyBorder="1" applyAlignment="1" applyProtection="1">
      <alignment horizontal="center" vertical="center" wrapText="1"/>
    </xf>
    <xf numFmtId="0" fontId="70" fillId="0" borderId="12" xfId="0" applyFont="1" applyFill="1" applyBorder="1" applyAlignment="1" applyProtection="1">
      <alignment horizontal="center" vertical="center" wrapText="1"/>
    </xf>
    <xf numFmtId="0" fontId="70" fillId="0" borderId="20" xfId="0" applyFont="1" applyFill="1" applyBorder="1" applyAlignment="1" applyProtection="1">
      <alignment horizontal="center" vertical="center" wrapText="1"/>
    </xf>
    <xf numFmtId="0" fontId="70" fillId="0" borderId="27" xfId="0" applyFont="1" applyFill="1" applyBorder="1" applyAlignment="1" applyProtection="1">
      <alignment horizontal="center" vertical="center" wrapText="1"/>
    </xf>
    <xf numFmtId="0" fontId="70" fillId="0" borderId="19" xfId="0" applyFont="1" applyFill="1" applyBorder="1" applyAlignment="1" applyProtection="1">
      <alignment horizontal="center" vertical="center" wrapText="1"/>
    </xf>
    <xf numFmtId="0" fontId="70" fillId="0" borderId="12" xfId="0" applyFont="1" applyFill="1" applyBorder="1" applyAlignment="1" applyProtection="1">
      <alignment horizontal="center" vertical="center" wrapText="1"/>
    </xf>
    <xf numFmtId="3" fontId="70" fillId="0" borderId="21" xfId="0" applyNumberFormat="1" applyFont="1" applyFill="1" applyBorder="1" applyAlignment="1" applyProtection="1">
      <alignment horizontal="center" vertical="center" wrapText="1"/>
    </xf>
    <xf numFmtId="3" fontId="70" fillId="0" borderId="22" xfId="0" applyNumberFormat="1" applyFont="1" applyFill="1" applyBorder="1" applyAlignment="1" applyProtection="1">
      <alignment horizontal="center" vertical="center" wrapText="1"/>
    </xf>
    <xf numFmtId="3" fontId="70" fillId="0" borderId="18" xfId="0" applyNumberFormat="1" applyFont="1" applyFill="1" applyBorder="1" applyAlignment="1" applyProtection="1">
      <alignment horizontal="center" vertical="center" wrapText="1"/>
    </xf>
    <xf numFmtId="3" fontId="70" fillId="0" borderId="23" xfId="0" applyNumberFormat="1" applyFont="1" applyFill="1" applyBorder="1" applyAlignment="1" applyProtection="1">
      <alignment horizontal="center" vertical="center" wrapText="1"/>
    </xf>
    <xf numFmtId="0" fontId="70" fillId="0" borderId="14" xfId="0" applyFont="1" applyFill="1" applyBorder="1" applyAlignment="1" applyProtection="1">
      <alignment horizontal="center" vertical="center" wrapText="1"/>
    </xf>
    <xf numFmtId="3" fontId="70" fillId="0" borderId="24" xfId="0" applyNumberFormat="1" applyFont="1" applyFill="1" applyBorder="1" applyAlignment="1" applyProtection="1">
      <alignment horizontal="center" vertical="center" wrapText="1"/>
    </xf>
    <xf numFmtId="3" fontId="70" fillId="0" borderId="26" xfId="0" applyNumberFormat="1" applyFont="1" applyFill="1" applyBorder="1" applyAlignment="1" applyProtection="1">
      <alignment horizontal="center" vertical="center" wrapText="1"/>
    </xf>
    <xf numFmtId="3" fontId="70" fillId="0" borderId="25" xfId="0" applyNumberFormat="1" applyFont="1" applyFill="1" applyBorder="1" applyAlignment="1" applyProtection="1">
      <alignment horizontal="center" vertical="center" wrapText="1"/>
    </xf>
    <xf numFmtId="0" fontId="70" fillId="0" borderId="21" xfId="0" applyFont="1" applyFill="1" applyBorder="1" applyAlignment="1" applyProtection="1">
      <alignment horizontal="center" vertical="center" wrapText="1"/>
    </xf>
    <xf numFmtId="0" fontId="70" fillId="0" borderId="22" xfId="0" applyFont="1" applyFill="1" applyBorder="1" applyAlignment="1" applyProtection="1">
      <alignment horizontal="center" vertical="center" wrapText="1"/>
    </xf>
    <xf numFmtId="0" fontId="70" fillId="0" borderId="47" xfId="0" applyFont="1" applyFill="1" applyBorder="1" applyAlignment="1" applyProtection="1">
      <alignment horizontal="center" vertical="center" wrapText="1"/>
    </xf>
    <xf numFmtId="0" fontId="70" fillId="0" borderId="48" xfId="0" applyFont="1" applyFill="1" applyBorder="1" applyAlignment="1" applyProtection="1">
      <alignment horizontal="center" vertical="center" wrapText="1"/>
    </xf>
    <xf numFmtId="0" fontId="70" fillId="0" borderId="18" xfId="0" applyFont="1" applyFill="1" applyBorder="1" applyAlignment="1" applyProtection="1">
      <alignment horizontal="center" vertical="center" wrapText="1"/>
    </xf>
    <xf numFmtId="0" fontId="70" fillId="0" borderId="23" xfId="0" applyFont="1" applyFill="1" applyBorder="1" applyAlignment="1" applyProtection="1">
      <alignment horizontal="center" vertical="center" wrapText="1"/>
    </xf>
    <xf numFmtId="0" fontId="72" fillId="0" borderId="0" xfId="0" applyNumberFormat="1" applyFont="1" applyFill="1" applyAlignment="1" applyProtection="1">
      <alignment horizontal="center" vertical="center" wrapText="1"/>
    </xf>
    <xf numFmtId="14" fontId="70" fillId="0" borderId="14" xfId="0" applyNumberFormat="1" applyFont="1" applyFill="1" applyBorder="1" applyAlignment="1" applyProtection="1">
      <alignment horizontal="center" vertical="center" wrapText="1"/>
    </xf>
    <xf numFmtId="14" fontId="70" fillId="0" borderId="20" xfId="0" applyNumberFormat="1" applyFont="1" applyFill="1" applyBorder="1" applyAlignment="1" applyProtection="1">
      <alignment horizontal="center" vertical="center" wrapText="1"/>
    </xf>
    <xf numFmtId="14" fontId="70" fillId="0" borderId="27" xfId="0" applyNumberFormat="1" applyFont="1" applyFill="1" applyBorder="1" applyAlignment="1" applyProtection="1">
      <alignment horizontal="center" vertical="center" wrapText="1"/>
    </xf>
    <xf numFmtId="14" fontId="70" fillId="0" borderId="19" xfId="0" applyNumberFormat="1" applyFont="1" applyFill="1" applyBorder="1" applyAlignment="1" applyProtection="1">
      <alignment horizontal="center" vertical="center" wrapText="1"/>
    </xf>
    <xf numFmtId="3" fontId="70" fillId="0" borderId="47" xfId="0" applyNumberFormat="1" applyFont="1" applyFill="1" applyBorder="1" applyAlignment="1" applyProtection="1">
      <alignment horizontal="center" vertical="center" wrapText="1"/>
    </xf>
    <xf numFmtId="3" fontId="70" fillId="0" borderId="48" xfId="0" applyNumberFormat="1" applyFont="1" applyFill="1" applyBorder="1" applyAlignment="1" applyProtection="1">
      <alignment horizontal="center" vertical="center" wrapText="1"/>
    </xf>
    <xf numFmtId="0" fontId="67" fillId="0" borderId="67" xfId="0" applyFont="1" applyFill="1" applyBorder="1" applyAlignment="1" applyProtection="1">
      <alignment horizontal="center" vertical="center" wrapText="1"/>
      <protection locked="0"/>
    </xf>
    <xf numFmtId="0" fontId="67" fillId="0" borderId="68" xfId="0" applyFont="1" applyFill="1" applyBorder="1" applyAlignment="1" applyProtection="1">
      <alignment horizontal="center" vertical="center" wrapText="1"/>
      <protection locked="0"/>
    </xf>
    <xf numFmtId="0" fontId="66" fillId="0" borderId="54" xfId="0" applyFont="1" applyFill="1" applyBorder="1" applyAlignment="1" applyProtection="1">
      <alignment horizontal="center" vertical="center"/>
      <protection locked="0"/>
    </xf>
    <xf numFmtId="0" fontId="66" fillId="0" borderId="55" xfId="0" applyFont="1" applyFill="1" applyBorder="1" applyAlignment="1" applyProtection="1">
      <alignment horizontal="center" vertical="center"/>
      <protection locked="0"/>
    </xf>
    <xf numFmtId="0" fontId="66" fillId="0" borderId="31" xfId="0" applyFont="1" applyFill="1" applyBorder="1" applyAlignment="1" applyProtection="1">
      <alignment horizontal="center" vertical="center"/>
      <protection locked="0"/>
    </xf>
    <xf numFmtId="0" fontId="67" fillId="0" borderId="30" xfId="0" applyFont="1" applyFill="1" applyBorder="1" applyAlignment="1" applyProtection="1">
      <alignment horizontal="center" vertical="center" wrapText="1"/>
      <protection locked="0"/>
    </xf>
    <xf numFmtId="0" fontId="67" fillId="0" borderId="62" xfId="0" applyFont="1" applyFill="1" applyBorder="1" applyAlignment="1" applyProtection="1">
      <alignment horizontal="center" vertical="center" wrapText="1"/>
      <protection locked="0"/>
    </xf>
    <xf numFmtId="0" fontId="67" fillId="0" borderId="63" xfId="0" applyFont="1" applyFill="1" applyBorder="1" applyAlignment="1" applyProtection="1">
      <alignment horizontal="center" vertical="center" wrapText="1"/>
      <protection locked="0"/>
    </xf>
    <xf numFmtId="0" fontId="67" fillId="0" borderId="64" xfId="0" applyFont="1" applyFill="1" applyBorder="1" applyAlignment="1" applyProtection="1">
      <alignment horizontal="center" vertical="center" wrapText="1"/>
      <protection locked="0"/>
    </xf>
    <xf numFmtId="0" fontId="67" fillId="0" borderId="65" xfId="0" applyFont="1" applyFill="1" applyBorder="1" applyAlignment="1" applyProtection="1">
      <alignment horizontal="center" vertical="center" wrapText="1"/>
      <protection locked="0"/>
    </xf>
    <xf numFmtId="0" fontId="67" fillId="0" borderId="53" xfId="0" applyFont="1" applyFill="1" applyBorder="1" applyAlignment="1" applyProtection="1">
      <alignment horizontal="center" vertical="center" wrapText="1"/>
      <protection locked="0"/>
    </xf>
    <xf numFmtId="0" fontId="67" fillId="0" borderId="66" xfId="0" applyFont="1" applyFill="1" applyBorder="1" applyAlignment="1" applyProtection="1">
      <alignment horizontal="center" vertical="center" wrapText="1"/>
      <protection locked="0"/>
    </xf>
    <xf numFmtId="0" fontId="77" fillId="0" borderId="30" xfId="0" applyFont="1" applyFill="1" applyBorder="1" applyAlignment="1" applyProtection="1">
      <alignment horizontal="center" vertical="center" wrapText="1"/>
      <protection locked="0"/>
    </xf>
    <xf numFmtId="0" fontId="66" fillId="0" borderId="28" xfId="0" applyFont="1" applyFill="1" applyBorder="1" applyAlignment="1" applyProtection="1">
      <alignment horizontal="center" vertical="center"/>
      <protection locked="0"/>
    </xf>
    <xf numFmtId="0" fontId="66" fillId="0" borderId="29" xfId="0" applyFont="1" applyFill="1" applyBorder="1" applyAlignment="1" applyProtection="1">
      <alignment horizontal="center" vertical="center"/>
      <protection locked="0"/>
    </xf>
    <xf numFmtId="0" fontId="67" fillId="0" borderId="54" xfId="0" applyFont="1" applyFill="1" applyBorder="1" applyAlignment="1" applyProtection="1">
      <alignment horizontal="center" vertical="center" wrapText="1"/>
      <protection locked="0"/>
    </xf>
    <xf numFmtId="0" fontId="67" fillId="0" borderId="55" xfId="0" applyFont="1" applyFill="1" applyBorder="1" applyAlignment="1" applyProtection="1">
      <alignment horizontal="center" vertical="center" wrapText="1"/>
      <protection locked="0"/>
    </xf>
    <xf numFmtId="0" fontId="67" fillId="0" borderId="31" xfId="0" applyFont="1" applyFill="1" applyBorder="1" applyAlignment="1" applyProtection="1">
      <alignment horizontal="center" vertical="center" wrapText="1"/>
      <protection locked="0"/>
    </xf>
    <xf numFmtId="0" fontId="74" fillId="0" borderId="53" xfId="0" applyFont="1" applyFill="1" applyBorder="1" applyAlignment="1" applyProtection="1">
      <alignment horizontal="center" vertical="center" wrapText="1"/>
      <protection locked="0"/>
    </xf>
    <xf numFmtId="0" fontId="77" fillId="0" borderId="54" xfId="0" applyFont="1" applyFill="1" applyBorder="1" applyAlignment="1" applyProtection="1">
      <alignment horizontal="center" vertical="center" wrapText="1"/>
      <protection locked="0"/>
    </xf>
    <xf numFmtId="0" fontId="77" fillId="0" borderId="55" xfId="0" applyFont="1" applyFill="1" applyBorder="1" applyAlignment="1" applyProtection="1">
      <alignment horizontal="center" vertical="center" wrapText="1"/>
      <protection locked="0"/>
    </xf>
    <xf numFmtId="0" fontId="77" fillId="0" borderId="31" xfId="0" applyFont="1" applyFill="1" applyBorder="1" applyAlignment="1" applyProtection="1">
      <alignment horizontal="center" vertical="center" wrapText="1"/>
      <protection locked="0"/>
    </xf>
    <xf numFmtId="0" fontId="77" fillId="42" borderId="30" xfId="0" applyFont="1" applyFill="1" applyBorder="1" applyAlignment="1" applyProtection="1">
      <alignment horizontal="center" vertical="center" wrapText="1"/>
      <protection locked="0"/>
    </xf>
    <xf numFmtId="0" fontId="66" fillId="0" borderId="46" xfId="0" applyFont="1" applyFill="1" applyBorder="1" applyAlignment="1" applyProtection="1">
      <alignment horizontal="center" vertical="center"/>
      <protection locked="0"/>
    </xf>
    <xf numFmtId="0" fontId="66" fillId="0" borderId="91" xfId="0" applyFont="1" applyFill="1" applyBorder="1" applyAlignment="1" applyProtection="1">
      <alignment horizontal="center" vertical="center"/>
      <protection locked="0"/>
    </xf>
    <xf numFmtId="0" fontId="66" fillId="0" borderId="92" xfId="0" applyFont="1" applyFill="1" applyBorder="1" applyAlignment="1" applyProtection="1">
      <alignment horizontal="center" vertical="center"/>
      <protection locked="0"/>
    </xf>
    <xf numFmtId="3" fontId="73" fillId="0" borderId="54" xfId="7835" applyNumberFormat="1" applyFont="1" applyBorder="1" applyAlignment="1">
      <alignment horizontal="center" vertical="center" wrapText="1"/>
    </xf>
    <xf numFmtId="3" fontId="73" fillId="0" borderId="31" xfId="7835" applyNumberFormat="1" applyFont="1" applyBorder="1" applyAlignment="1">
      <alignment horizontal="center" vertical="center" wrapText="1"/>
    </xf>
    <xf numFmtId="0" fontId="70" fillId="0" borderId="41" xfId="0" applyFont="1" applyFill="1" applyBorder="1" applyAlignment="1" applyProtection="1">
      <alignment horizontal="center" vertical="center" wrapText="1"/>
    </xf>
    <xf numFmtId="0" fontId="70" fillId="0" borderId="26" xfId="0" applyFont="1" applyFill="1" applyBorder="1" applyAlignment="1" applyProtection="1">
      <alignment horizontal="center" vertical="center" wrapText="1"/>
    </xf>
    <xf numFmtId="0" fontId="70" fillId="0" borderId="42" xfId="0" applyFont="1" applyFill="1" applyBorder="1" applyAlignment="1" applyProtection="1">
      <alignment horizontal="center" vertical="center" wrapText="1"/>
    </xf>
    <xf numFmtId="0" fontId="70" fillId="0" borderId="51" xfId="0" applyFont="1" applyFill="1" applyBorder="1" applyAlignment="1">
      <alignment horizontal="center" vertical="center" wrapText="1"/>
    </xf>
    <xf numFmtId="0" fontId="70" fillId="0" borderId="49" xfId="0" applyFont="1" applyFill="1" applyBorder="1" applyAlignment="1" applyProtection="1">
      <alignment horizontal="center" vertical="center" wrapText="1"/>
    </xf>
    <xf numFmtId="0" fontId="70" fillId="0" borderId="50" xfId="0" applyFont="1" applyFill="1" applyBorder="1" applyAlignment="1" applyProtection="1">
      <alignment horizontal="center" vertical="center" wrapText="1"/>
    </xf>
    <xf numFmtId="0" fontId="69" fillId="0" borderId="51" xfId="0" applyFont="1" applyFill="1" applyBorder="1" applyAlignment="1">
      <alignment horizontal="center" vertical="center" wrapText="1"/>
    </xf>
    <xf numFmtId="3" fontId="70" fillId="0" borderId="20" xfId="0" applyNumberFormat="1" applyFont="1" applyFill="1" applyBorder="1" applyAlignment="1" applyProtection="1">
      <alignment horizontal="center" vertical="center" wrapText="1"/>
    </xf>
    <xf numFmtId="3" fontId="70" fillId="0" borderId="19" xfId="0" applyNumberFormat="1" applyFont="1" applyFill="1" applyBorder="1" applyAlignment="1" applyProtection="1">
      <alignment horizontal="center" vertical="center" wrapText="1"/>
    </xf>
    <xf numFmtId="3" fontId="70" fillId="0" borderId="41" xfId="0" applyNumberFormat="1" applyFont="1" applyFill="1" applyBorder="1" applyAlignment="1" applyProtection="1">
      <alignment horizontal="center" vertical="center" wrapText="1"/>
    </xf>
    <xf numFmtId="3" fontId="70" fillId="0" borderId="42" xfId="0" applyNumberFormat="1" applyFont="1" applyFill="1" applyBorder="1" applyAlignment="1" applyProtection="1">
      <alignment horizontal="center" vertical="center" wrapText="1"/>
    </xf>
    <xf numFmtId="3" fontId="70" fillId="0" borderId="12" xfId="0" applyNumberFormat="1" applyFont="1" applyFill="1" applyBorder="1" applyAlignment="1" applyProtection="1">
      <alignment horizontal="center" vertical="center" wrapText="1"/>
    </xf>
    <xf numFmtId="3" fontId="70" fillId="0" borderId="14" xfId="0" applyNumberFormat="1" applyFont="1" applyFill="1" applyBorder="1" applyAlignment="1" applyProtection="1">
      <alignment horizontal="center" vertical="center" wrapText="1"/>
    </xf>
    <xf numFmtId="3" fontId="70" fillId="0" borderId="27" xfId="0" applyNumberFormat="1" applyFont="1" applyFill="1" applyBorder="1" applyAlignment="1" applyProtection="1">
      <alignment horizontal="center" vertical="center" wrapText="1"/>
    </xf>
  </cellXfs>
  <cellStyles count="8227">
    <cellStyle name=" 1" xfId="3"/>
    <cellStyle name="???????" xfId="4"/>
    <cellStyle name="??????? 2" xfId="5"/>
    <cellStyle name="??????? 3" xfId="6"/>
    <cellStyle name="????????" xfId="7"/>
    <cellStyle name="???????? [0]" xfId="8"/>
    <cellStyle name="???????? [0] 2" xfId="9"/>
    <cellStyle name="???????? [0] 3" xfId="10"/>
    <cellStyle name="???????? [0]_Бажарилиши (СВОД)" xfId="11"/>
    <cellStyle name="???????? 2" xfId="12"/>
    <cellStyle name="???????? 3" xfId="13"/>
    <cellStyle name="??????????" xfId="14"/>
    <cellStyle name="?????????? [0]" xfId="15"/>
    <cellStyle name="?????????? [0] 2" xfId="16"/>
    <cellStyle name="?????????? [0] 3" xfId="17"/>
    <cellStyle name="?????????? [0]_Бажарилиши (СВОД)" xfId="18"/>
    <cellStyle name="?????????? 2" xfId="19"/>
    <cellStyle name="?????????? 3" xfId="20"/>
    <cellStyle name="???????????" xfId="21"/>
    <cellStyle name="????????????? " xfId="22"/>
    <cellStyle name="????????????? ???????????" xfId="23"/>
    <cellStyle name="???????????_+СВОД  Узбекча Кашкадарё" xfId="24"/>
    <cellStyle name="??????????_05,06,2007 йилга сводка Дустлик 2" xfId="25"/>
    <cellStyle name="????????_ ?? 25 ???" xfId="26"/>
    <cellStyle name="???????_ ????.???" xfId="27"/>
    <cellStyle name="??????_ ?? 25 ???" xfId="28"/>
    <cellStyle name="??_03-01-##_Raw materials for Uz-DongWon" xfId="29"/>
    <cellStyle name="?’ћѓћ‚›‰" xfId="30"/>
    <cellStyle name="_1па" xfId="31"/>
    <cellStyle name="_2.45 таблица ижтимоий" xfId="32"/>
    <cellStyle name="_2.45 таблица ижтимоий_1234 СИРДАРЁ Саноат 2013-2015йй" xfId="33"/>
    <cellStyle name="_2.45 таблица ижтимоий_2013-2015 после замени последний" xfId="34"/>
    <cellStyle name="_2.45 таблица ижтимоий_ДАСТУР 2013-2015 йй охиргиси рус" xfId="35"/>
    <cellStyle name="_2.45 таблица ижтимоий_Енг охирги Жиззахдан 2012 йил 2013-2015" xfId="36"/>
    <cellStyle name="_2.45 таблица ижтимоий_Книга1" xfId="37"/>
    <cellStyle name="_2.46 таблица ижтимоий" xfId="38"/>
    <cellStyle name="_2.46 таблица ижтимоий_1234 СИРДАРЁ Саноат 2013-2015йй" xfId="39"/>
    <cellStyle name="_2.46 таблица ижтимоий_2013-2015 после замени последний" xfId="40"/>
    <cellStyle name="_2.46 таблица ижтимоий_ДАСТУР 2013-2015 йй охиргиси рус" xfId="41"/>
    <cellStyle name="_2.46 таблица ижтимоий_Енг охирги Жиззахдан 2012 йил 2013-2015" xfId="42"/>
    <cellStyle name="_2.46 таблица ижтимоий_Книга1" xfId="43"/>
    <cellStyle name="_2.58 таблица ВЭС" xfId="44"/>
    <cellStyle name="_2.58 таблица ВЭС_1234 СИРДАРЁ Саноат 2013-2015йй" xfId="45"/>
    <cellStyle name="_2.58 таблица ВЭС_2013-2015 после замени последний" xfId="46"/>
    <cellStyle name="_2.58 таблица ВЭС_ДАСТУР 2013-2015 йй охиргиси рус" xfId="47"/>
    <cellStyle name="_2.58 таблица ВЭС_Енг охирги Жиззахдан 2012 йил 2013-2015" xfId="48"/>
    <cellStyle name="_2.58 таблица ВЭС_Книга1" xfId="49"/>
    <cellStyle name="_2.58 узгаргани" xfId="50"/>
    <cellStyle name="_2.58 узгаргани_2013-2015 йй Макет ФИНИШ Навоий киш хуж1" xfId="51"/>
    <cellStyle name="_2.58 узгаргани_Вилоят Дастури ИТОГ" xfId="52"/>
    <cellStyle name="_2.58 узгаргани_МАКЕТ АГРОСАНОАТ" xfId="53"/>
    <cellStyle name="_2.58 узгаргани_Нам дастур 2009-2012 (ўзбек)" xfId="54"/>
    <cellStyle name="_2.58 узгаргани_Нам дастур 2009-2012 (ўзбек)_2013-2015 йй Макет ФИНИШ Навоий киш хуж1" xfId="55"/>
    <cellStyle name="_2.58 узгаргани_Нам дастур 2009-2012 (ўзбек)_Вилоят Дастури ИТОГ" xfId="56"/>
    <cellStyle name="_2.58 узгаргани_Нам дастур 2009-2012 (ўзбек)_МАКЕТ АГРОСАНОАТ" xfId="57"/>
    <cellStyle name="_2.58 узгаргани_Нам дастур 2009-2012 (ўзбек)_Шерзодга (сервис)" xfId="58"/>
    <cellStyle name="_2.58 узгаргани_Шерзодга (сервис)" xfId="59"/>
    <cellStyle name="_2008 КХ ЯНГИ ДАСТУР" xfId="60"/>
    <cellStyle name="_2008 КХ ЯНГИ ДАСТУР_2013-2015 йй Макет ФИНИШ Навоий киш хуж1" xfId="61"/>
    <cellStyle name="_2008 КХ ЯНГИ ДАСТУР_3. Экспорт-импорт" xfId="62"/>
    <cellStyle name="_2008 КХ ЯНГИ ДАСТУР_3. Экспорт-импорт_2013-2015 йй Макет ФИНИШ Навоий киш хуж1" xfId="63"/>
    <cellStyle name="_2008 КХ ЯНГИ ДАСТУР_3. Экспорт-импорт_Шерзодга (сервис)" xfId="64"/>
    <cellStyle name="_2008 КХ ЯНГИ ДАСТУР_3. Экспорт-импорт1" xfId="65"/>
    <cellStyle name="_2008 КХ ЯНГИ ДАСТУР_3. Экспорт-импорт1_2013-2015 йй Макет ФИНИШ Навоий киш хуж1" xfId="66"/>
    <cellStyle name="_2008 КХ ЯНГИ ДАСТУР_3. Экспорт-импорт1_Шерзодга (сервис)" xfId="67"/>
    <cellStyle name="_2008 КХ ЯНГИ ДАСТУР_Вилоят Дастури ИТОГ" xfId="68"/>
    <cellStyle name="_2008 КХ ЯНГИ ДАСТУР_МАКЕТ АГРОСАНОАТ" xfId="69"/>
    <cellStyle name="_2008 КХ ЯНГИ ДАСТУР_Нам дастур 2009-2012 (ўзбек)" xfId="70"/>
    <cellStyle name="_2008 КХ ЯНГИ ДАСТУР_Нам дастур 2009-2012 (ўзбек)_2013-2015 йй Макет ФИНИШ Навоий киш хуж1" xfId="71"/>
    <cellStyle name="_2008 КХ ЯНГИ ДАСТУР_Нам дастур 2009-2012 (ўзбек)_Вилоят Дастури ИТОГ" xfId="72"/>
    <cellStyle name="_2008 КХ ЯНГИ ДАСТУР_Нам дастур 2009-2012 (ўзбек)_МАКЕТ АГРОСАНОАТ" xfId="73"/>
    <cellStyle name="_2008 КХ ЯНГИ ДАСТУР_Нам дастур 2009-2012 (ўзбек)_Шерзодга (сервис)" xfId="74"/>
    <cellStyle name="_2008 КХ ЯНГИ ДАСТУР_Шерзодга (сервис)" xfId="75"/>
    <cellStyle name="_2008_9_ой_якун_маълумот" xfId="76"/>
    <cellStyle name="_2008_9_ой_якун_маълумот_2013-2015 йй Макет ФИНИШ Навоий киш хуж1" xfId="77"/>
    <cellStyle name="_2008_9_ой_якун_маълумот_Шерзодга (сервис)" xfId="78"/>
    <cellStyle name="_2008й прогноз ДАСТУР" xfId="79"/>
    <cellStyle name="_2008й прогноз ДАСТУР_1234 СИРДАРЁ Саноат 2013-2015йй" xfId="80"/>
    <cellStyle name="_2008й прогноз ДАСТУР_2013-2015 после замени последний" xfId="81"/>
    <cellStyle name="_2008й прогноз ДАСТУР_ДАСТУР 2013-2015 йй охиргиси рус" xfId="82"/>
    <cellStyle name="_2008й прогноз ДАСТУР_Енг охирги Жиззахдан 2012 йил 2013-2015" xfId="83"/>
    <cellStyle name="_2008й прогноз ДАСТУР_Книга1" xfId="84"/>
    <cellStyle name="_21а жадваллар" xfId="85"/>
    <cellStyle name="_21а жадваллар 2" xfId="86"/>
    <cellStyle name="_21а жадваллар 3" xfId="87"/>
    <cellStyle name="_21а жадваллар_1234 СИРДАРЁ Саноат 2013-2015йй" xfId="88"/>
    <cellStyle name="_21а жадваллар_1па" xfId="89"/>
    <cellStyle name="_21а жадваллар_2013-2015 после замени последний" xfId="90"/>
    <cellStyle name="_21а жадваллар_232 ижроси" xfId="91"/>
    <cellStyle name="_21а жадваллар_232 ижроси_2013-2015 после замени последний" xfId="92"/>
    <cellStyle name="_21а жадваллар_232 ижроси_ДАСТУР 2013-2015 йй охиргиси рус" xfId="93"/>
    <cellStyle name="_21а жадваллар_232 ижроси_Книга1" xfId="94"/>
    <cellStyle name="_21а жадваллар_Import_Forecast(last)_12.09.11 (Ismailovu)" xfId="95"/>
    <cellStyle name="_21а жадваллар_АХБОРОТ ТАХЛИЛГАга жадваллар (по туманам)" xfId="96"/>
    <cellStyle name="_21а жадваллар_АХБОРОТ ТАХЛИЛГАга жадваллар (по туманам)_2013-2015 после замени последний" xfId="97"/>
    <cellStyle name="_21а жадваллар_АХБОРОТ ТАХЛИЛГАга жадваллар (по туманам)_ДАСТУР 2013-2015 йй охиргиси рус" xfId="98"/>
    <cellStyle name="_21а жадваллар_АХБОРОТ ТАХЛИЛГАга жадваллар (по туманам)_Книга1" xfId="99"/>
    <cellStyle name="_21а жадваллар_Бажарилиши (СВОД)" xfId="100"/>
    <cellStyle name="_21а жадваллар_банк вилоят" xfId="101"/>
    <cellStyle name="_21а жадваллар_банк вилоят 2" xfId="102"/>
    <cellStyle name="_21а жадваллар_банк вилоят_7 илова" xfId="103"/>
    <cellStyle name="_21а жадваллар_банк вилоят_7 илова 2" xfId="104"/>
    <cellStyle name="_21а жадваллар_банк вилоят_Хоразм 2013-2015 саноат дастури 12.11.2012. 19-4812" xfId="105"/>
    <cellStyle name="_21а жадваллар_ДАСТУР 2013-2015 йй охиргиси рус" xfId="106"/>
    <cellStyle name="_21а жадваллар_Енг охирги Жиззахдан 2012 йил 2013-2015" xfId="107"/>
    <cellStyle name="_21а жадваллар_Жадвал саноат 2009 ОХИРИ" xfId="108"/>
    <cellStyle name="_21а жадваллар_Жадвал саноат 2009 ОХИРИ_2013-2015 после замени последний" xfId="109"/>
    <cellStyle name="_21а жадваллар_Жадвал саноат 2009 ОХИРИ_ДАСТУР 2013-2015 йй охиргиси рус" xfId="110"/>
    <cellStyle name="_21а жадваллар_Жадвал саноат 2009 ОХИРИ_Книга1" xfId="111"/>
    <cellStyle name="_21а жадваллар_иктисодга" xfId="112"/>
    <cellStyle name="_21а жадваллар_иктисодга_2013-2015 после замени последний" xfId="113"/>
    <cellStyle name="_21а жадваллар_иктисодга_ДАСТУР 2013-2015 йй охиргиси рус" xfId="114"/>
    <cellStyle name="_21а жадваллар_иктисодга_Книга1" xfId="115"/>
    <cellStyle name="_21а жадваллар_Карор буйича 31 октябр" xfId="116"/>
    <cellStyle name="_21а жадваллар_Карор буйича 31 октябр 2" xfId="117"/>
    <cellStyle name="_21а жадваллар_Карор буйича 31 октябр_7 илова" xfId="118"/>
    <cellStyle name="_21а жадваллар_Карор буйича 31 октябр_7 илова 2" xfId="119"/>
    <cellStyle name="_21а жадваллар_Карор буйича 31 октябр_Хоразм 2013-2015 саноат дастури 12.11.2012. 19-4812" xfId="120"/>
    <cellStyle name="_21а жадваллар_Карор буйича охирги" xfId="121"/>
    <cellStyle name="_21а жадваллар_Книга1" xfId="122"/>
    <cellStyle name="_21а жадваллар_Лист2" xfId="123"/>
    <cellStyle name="_21а жадваллар_ОКИБ" xfId="124"/>
    <cellStyle name="_21а жадваллар_ОКИБ_2013-2015 после замени последний" xfId="125"/>
    <cellStyle name="_21а жадваллар_ОКИБ_ДАСТУР 2013-2015 йй охиргиси рус" xfId="126"/>
    <cellStyle name="_21а жадваллар_ОКИБ_Книга1" xfId="127"/>
    <cellStyle name="_21а жадваллар_парранда ииискхона балик асал" xfId="128"/>
    <cellStyle name="_21а жадваллар_ПРОМ 2010-1чорак-жадваллар 23.03" xfId="129"/>
    <cellStyle name="_21а жадваллар_ПРОМ 2010-1чорак-жадваллар 23.03_2013-2015 после замени последний" xfId="130"/>
    <cellStyle name="_21а жадваллар_ПРОМ 2010-1чорак-жадваллар 23.03_ДАСТУР 2013-2015 йй охиргиси рус" xfId="131"/>
    <cellStyle name="_21а жадваллар_ПРОМ 2010-1чорак-жадваллар 23.03_Книга1" xfId="132"/>
    <cellStyle name="_21а жадваллар_СВОД жадваллар-2009 6 ой" xfId="133"/>
    <cellStyle name="_21а жадваллар_СВОД жадваллар-2009 6 ой_1234 СИРДАРЁ Саноат 2013-2015йй" xfId="134"/>
    <cellStyle name="_21а жадваллар_СВОД жадваллар-2009 6 ой_Енг охирги Жиззахдан 2012 йил 2013-2015" xfId="135"/>
    <cellStyle name="_21а жадваллар_сводная 1 пар (2)" xfId="136"/>
    <cellStyle name="_21а жадваллар_Сводная 1па (2)" xfId="137"/>
    <cellStyle name="_21а жадваллар_сводная 1пр (2)" xfId="138"/>
    <cellStyle name="_21а жадваллар_Сухроб Вилоят свод" xfId="139"/>
    <cellStyle name="_21а жадваллар_Сухроб Вилоят свод_2013-2015 после замени последний" xfId="140"/>
    <cellStyle name="_21а жадваллар_Сухроб Вилоят свод_ДАСТУР 2013-2015 йй охиргиси рус" xfId="141"/>
    <cellStyle name="_21а жадваллар_Сухроб Вилоят свод_Книга1" xfId="142"/>
    <cellStyle name="_21а жадваллар_форма 1" xfId="143"/>
    <cellStyle name="_308 форма" xfId="144"/>
    <cellStyle name="_308 форма 2" xfId="145"/>
    <cellStyle name="_308 форма 3" xfId="146"/>
    <cellStyle name="_308 форма_1234 СИРДАРЁ Саноат 2013-2015йй" xfId="147"/>
    <cellStyle name="_308 форма_1па" xfId="148"/>
    <cellStyle name="_308 форма_2013-2015 после замени последний" xfId="149"/>
    <cellStyle name="_308 форма_232 ижроси" xfId="150"/>
    <cellStyle name="_308 форма_232 ижроси_2013-2015 после замени последний" xfId="151"/>
    <cellStyle name="_308 форма_232 ижроси_ДАСТУР 2013-2015 йй охиргиси рус" xfId="152"/>
    <cellStyle name="_308 форма_232 ижроси_Книга1" xfId="153"/>
    <cellStyle name="_308 форма_Import_Forecast(last)_12.09.11 (Ismailovu)" xfId="154"/>
    <cellStyle name="_308 форма_АХБОРОТ ТАХЛИЛГАга жадваллар (по туманам)" xfId="155"/>
    <cellStyle name="_308 форма_АХБОРОТ ТАХЛИЛГАга жадваллар (по туманам)_2013-2015 после замени последний" xfId="156"/>
    <cellStyle name="_308 форма_АХБОРОТ ТАХЛИЛГАга жадваллар (по туманам)_ДАСТУР 2013-2015 йй охиргиси рус" xfId="157"/>
    <cellStyle name="_308 форма_АХБОРОТ ТАХЛИЛГАга жадваллар (по туманам)_Книга1" xfId="158"/>
    <cellStyle name="_308 форма_Бажарилиши (СВОД)" xfId="159"/>
    <cellStyle name="_308 форма_банк вилоят" xfId="160"/>
    <cellStyle name="_308 форма_банк вилоят 2" xfId="161"/>
    <cellStyle name="_308 форма_банк вилоят_7 илова" xfId="162"/>
    <cellStyle name="_308 форма_банк вилоят_7 илова 2" xfId="163"/>
    <cellStyle name="_308 форма_банк вилоят_Хоразм 2013-2015 саноат дастури 12.11.2012. 19-4812" xfId="164"/>
    <cellStyle name="_308 форма_ДАСТУР 2013-2015 йй охиргиси рус" xfId="165"/>
    <cellStyle name="_308 форма_Енг охирги Жиззахдан 2012 йил 2013-2015" xfId="166"/>
    <cellStyle name="_308 форма_Жадвал саноат 2009 ОХИРИ" xfId="167"/>
    <cellStyle name="_308 форма_Жадвал саноат 2009 ОХИРИ_2013-2015 после замени последний" xfId="168"/>
    <cellStyle name="_308 форма_Жадвал саноат 2009 ОХИРИ_ДАСТУР 2013-2015 йй охиргиси рус" xfId="169"/>
    <cellStyle name="_308 форма_Жадвал саноат 2009 ОХИРИ_Книга1" xfId="170"/>
    <cellStyle name="_308 форма_иктисодга" xfId="171"/>
    <cellStyle name="_308 форма_иктисодга_2013-2015 после замени последний" xfId="172"/>
    <cellStyle name="_308 форма_иктисодга_ДАСТУР 2013-2015 йй охиргиси рус" xfId="173"/>
    <cellStyle name="_308 форма_иктисодга_Книга1" xfId="174"/>
    <cellStyle name="_308 форма_Карор буйича 31 октябр" xfId="175"/>
    <cellStyle name="_308 форма_Карор буйича 31 октябр 2" xfId="176"/>
    <cellStyle name="_308 форма_Карор буйича 31 октябр_7 илова" xfId="177"/>
    <cellStyle name="_308 форма_Карор буйича 31 октябр_7 илова 2" xfId="178"/>
    <cellStyle name="_308 форма_Карор буйича 31 октябр_Хоразм 2013-2015 саноат дастури 12.11.2012. 19-4812" xfId="179"/>
    <cellStyle name="_308 форма_Карор буйича охирги" xfId="180"/>
    <cellStyle name="_308 форма_Книга1" xfId="181"/>
    <cellStyle name="_308 форма_Лист2" xfId="182"/>
    <cellStyle name="_308 форма_ОКИБ" xfId="183"/>
    <cellStyle name="_308 форма_ОКИБ_2013-2015 после замени последний" xfId="184"/>
    <cellStyle name="_308 форма_ОКИБ_ДАСТУР 2013-2015 йй охиргиси рус" xfId="185"/>
    <cellStyle name="_308 форма_ОКИБ_Книга1" xfId="186"/>
    <cellStyle name="_308 форма_парранда ииискхона балик асал" xfId="187"/>
    <cellStyle name="_308 форма_ПРОМ 2010-1чорак-жадваллар 23.03" xfId="188"/>
    <cellStyle name="_308 форма_ПРОМ 2010-1чорак-жадваллар 23.03_2013-2015 после замени последний" xfId="189"/>
    <cellStyle name="_308 форма_ПРОМ 2010-1чорак-жадваллар 23.03_ДАСТУР 2013-2015 йй охиргиси рус" xfId="190"/>
    <cellStyle name="_308 форма_ПРОМ 2010-1чорак-жадваллар 23.03_Книга1" xfId="191"/>
    <cellStyle name="_308 форма_СВОД жадваллар-2009 6 ой" xfId="192"/>
    <cellStyle name="_308 форма_СВОД жадваллар-2009 6 ой_1234 СИРДАРЁ Саноат 2013-2015йй" xfId="193"/>
    <cellStyle name="_308 форма_СВОД жадваллар-2009 6 ой_Енг охирги Жиззахдан 2012 йил 2013-2015" xfId="194"/>
    <cellStyle name="_308 форма_сводная 1 пар (2)" xfId="195"/>
    <cellStyle name="_308 форма_Сводная 1па (2)" xfId="196"/>
    <cellStyle name="_308 форма_сводная 1пр (2)" xfId="197"/>
    <cellStyle name="_308 форма_Сухроб Вилоят свод" xfId="198"/>
    <cellStyle name="_308 форма_Сухроб Вилоят свод_2013-2015 после замени последний" xfId="199"/>
    <cellStyle name="_308 форма_Сухроб Вилоят свод_ДАСТУР 2013-2015 йй охиргиси рус" xfId="200"/>
    <cellStyle name="_308 форма_Сухроб Вилоят свод_Книга1" xfId="201"/>
    <cellStyle name="_308 форма_форма 1" xfId="202"/>
    <cellStyle name="_5-илова кабмин" xfId="203"/>
    <cellStyle name="_7- Банклар буйича Хоразм111" xfId="204"/>
    <cellStyle name="_№5-5а-5б-Озик-овкат-иссикхона-паррандачилик 2010 йил" xfId="205"/>
    <cellStyle name="_№5-5а-5б-Озик-овкат-иссикхона-паррандачилик 2010 йил 2" xfId="206"/>
    <cellStyle name="_№5-5а-5б-Озик-овкат-иссикхона-паррандачилик 2010 йил 3" xfId="207"/>
    <cellStyle name="_№5-5а-5б-Озик-овкат-иссикхона-паррандачилик 2010 йил_2013-2015 после замени последний" xfId="208"/>
    <cellStyle name="_№5-5а-5б-Озик-овкат-иссикхона-паррандачилик 2010 йил_530 та база январ-декабр" xfId="209"/>
    <cellStyle name="_№5-5а-5б-Озик-овкат-иссикхона-паррандачилик 2010 йил_Бажарилиши (СВОД)" xfId="210"/>
    <cellStyle name="_№5-5а-5б-Озик-овкат-иссикхона-паррандачилик 2010 йил_Дастур 2011 йил  1-чорак " xfId="211"/>
    <cellStyle name="_№5-5а-5б-Озик-овкат-иссикхона-паррандачилик 2010 йил_ДАСТУР 2013-2015 йй охиргиси рус" xfId="212"/>
    <cellStyle name="_№5-5а-5б-Озик-овкат-иссикхона-паррандачилик 2010 йил_Книга1" xfId="213"/>
    <cellStyle name="_Акмал акага" xfId="214"/>
    <cellStyle name="_Баланс" xfId="215"/>
    <cellStyle name="_Берилган кредит" xfId="216"/>
    <cellStyle name="_Берилган кредит_2013-2015 йй Макет ФИНИШ Навоий киш хуж1" xfId="217"/>
    <cellStyle name="_Берилган кредит_Шерзодга (сервис)" xfId="218"/>
    <cellStyle name="_Бойсун 2011 йил 3-чорак 18 карор" xfId="219"/>
    <cellStyle name="_Вилоят касана12" xfId="220"/>
    <cellStyle name="_Вилоят касана12_2013-2015 после замени последний" xfId="221"/>
    <cellStyle name="_Вилоят касана12_ДАСТУР 2013-2015 йй охиргиси рус" xfId="222"/>
    <cellStyle name="_Вилоят касана12_Книга1" xfId="223"/>
    <cellStyle name="_вилоят-ОМУХТА" xfId="224"/>
    <cellStyle name="_ДАСТУР макет" xfId="225"/>
    <cellStyle name="_ДАСТУР макет 2" xfId="226"/>
    <cellStyle name="_ДАСТУР макет 3" xfId="227"/>
    <cellStyle name="_ДАСТУР макет_1234 СИРДАРЁ Саноат 2013-2015йй" xfId="228"/>
    <cellStyle name="_ДАСТУР макет_1па" xfId="229"/>
    <cellStyle name="_ДАСТУР макет_2013-2015 после замени последний" xfId="230"/>
    <cellStyle name="_ДАСТУР макет_232 ижроси" xfId="231"/>
    <cellStyle name="_ДАСТУР макет_232 ижроси_2013-2015 после замени последний" xfId="232"/>
    <cellStyle name="_ДАСТУР макет_232 ижроси_ДАСТУР 2013-2015 йй охиргиси рус" xfId="233"/>
    <cellStyle name="_ДАСТУР макет_232 ижроси_Книга1" xfId="234"/>
    <cellStyle name="_ДАСТУР макет_Import_Forecast(last)_12.09.11 (Ismailovu)" xfId="235"/>
    <cellStyle name="_ДАСТУР макет_АХБОРОТ ТАХЛИЛГАга жадваллар (по туманам)" xfId="236"/>
    <cellStyle name="_ДАСТУР макет_АХБОРОТ ТАХЛИЛГАга жадваллар (по туманам)_2013-2015 после замени последний" xfId="237"/>
    <cellStyle name="_ДАСТУР макет_АХБОРОТ ТАХЛИЛГАга жадваллар (по туманам)_ДАСТУР 2013-2015 йй охиргиси рус" xfId="238"/>
    <cellStyle name="_ДАСТУР макет_АХБОРОТ ТАХЛИЛГАга жадваллар (по туманам)_Книга1" xfId="239"/>
    <cellStyle name="_ДАСТУР макет_Бажарилиши (СВОД)" xfId="240"/>
    <cellStyle name="_ДАСТУР макет_банк вилоят" xfId="241"/>
    <cellStyle name="_ДАСТУР макет_банк вилоят 2" xfId="242"/>
    <cellStyle name="_ДАСТУР макет_банк вилоят_7 илова" xfId="243"/>
    <cellStyle name="_ДАСТУР макет_банк вилоят_7 илова 2" xfId="244"/>
    <cellStyle name="_ДАСТУР макет_банк вилоят_Хоразм 2013-2015 саноат дастури 12.11.2012. 19-4812" xfId="245"/>
    <cellStyle name="_ДАСТУР макет_ДАСТУР 2013-2015 йй охиргиси рус" xfId="246"/>
    <cellStyle name="_ДАСТУР макет_Енг охирги Жиззахдан 2012 йил 2013-2015" xfId="247"/>
    <cellStyle name="_ДАСТУР макет_Жадвал саноат 2009 ОХИРИ" xfId="248"/>
    <cellStyle name="_ДАСТУР макет_Жадвал саноат 2009 ОХИРИ_2013-2015 после замени последний" xfId="249"/>
    <cellStyle name="_ДАСТУР макет_Жадвал саноат 2009 ОХИРИ_ДАСТУР 2013-2015 йй охиргиси рус" xfId="250"/>
    <cellStyle name="_ДАСТУР макет_Жадвал саноат 2009 ОХИРИ_Книга1" xfId="251"/>
    <cellStyle name="_ДАСТУР макет_иктисодга" xfId="252"/>
    <cellStyle name="_ДАСТУР макет_иктисодга_2013-2015 после замени последний" xfId="253"/>
    <cellStyle name="_ДАСТУР макет_иктисодга_ДАСТУР 2013-2015 йй охиргиси рус" xfId="254"/>
    <cellStyle name="_ДАСТУР макет_иктисодга_Книга1" xfId="255"/>
    <cellStyle name="_ДАСТУР макет_Карор буйича 31 октябр" xfId="256"/>
    <cellStyle name="_ДАСТУР макет_Карор буйича 31 октябр 2" xfId="257"/>
    <cellStyle name="_ДАСТУР макет_Карор буйича 31 октябр_7 илова" xfId="258"/>
    <cellStyle name="_ДАСТУР макет_Карор буйича 31 октябр_7 илова 2" xfId="259"/>
    <cellStyle name="_ДАСТУР макет_Карор буйича 31 октябр_Хоразм 2013-2015 саноат дастури 12.11.2012. 19-4812" xfId="260"/>
    <cellStyle name="_ДАСТУР макет_Карор буйича охирги" xfId="261"/>
    <cellStyle name="_ДАСТУР макет_Книга1" xfId="262"/>
    <cellStyle name="_ДАСТУР макет_Лист2" xfId="263"/>
    <cellStyle name="_ДАСТУР макет_ОКИБ" xfId="264"/>
    <cellStyle name="_ДАСТУР макет_ОКИБ_2013-2015 после замени последний" xfId="265"/>
    <cellStyle name="_ДАСТУР макет_ОКИБ_ДАСТУР 2013-2015 йй охиргиси рус" xfId="266"/>
    <cellStyle name="_ДАСТУР макет_ОКИБ_Книга1" xfId="267"/>
    <cellStyle name="_ДАСТУР макет_парранда ииискхона балик асал" xfId="268"/>
    <cellStyle name="_ДАСТУР макет_ПРОМ 2010-1чорак-жадваллар 23.03" xfId="269"/>
    <cellStyle name="_ДАСТУР макет_ПРОМ 2010-1чорак-жадваллар 23.03_2013-2015 после замени последний" xfId="270"/>
    <cellStyle name="_ДАСТУР макет_ПРОМ 2010-1чорак-жадваллар 23.03_ДАСТУР 2013-2015 йй охиргиси рус" xfId="271"/>
    <cellStyle name="_ДАСТУР макет_ПРОМ 2010-1чорак-жадваллар 23.03_Книга1" xfId="272"/>
    <cellStyle name="_ДАСТУР макет_СВОД жадваллар-2009 6 ой" xfId="273"/>
    <cellStyle name="_ДАСТУР макет_СВОД жадваллар-2009 6 ой_1234 СИРДАРЁ Саноат 2013-2015йй" xfId="274"/>
    <cellStyle name="_ДАСТУР макет_СВОД жадваллар-2009 6 ой_Енг охирги Жиззахдан 2012 йил 2013-2015" xfId="275"/>
    <cellStyle name="_ДАСТУР макет_сводная 1 пар (2)" xfId="276"/>
    <cellStyle name="_ДАСТУР макет_Сводная 1па (2)" xfId="277"/>
    <cellStyle name="_ДАСТУР макет_сводная 1пр (2)" xfId="278"/>
    <cellStyle name="_ДАСТУР макет_Сухроб Вилоят свод" xfId="279"/>
    <cellStyle name="_ДАСТУР макет_Сухроб Вилоят свод_2013-2015 после замени последний" xfId="280"/>
    <cellStyle name="_ДАСТУР макет_Сухроб Вилоят свод_ДАСТУР 2013-2015 йй охиргиси рус" xfId="281"/>
    <cellStyle name="_ДАСТУР макет_Сухроб Вилоят свод_Книга1" xfId="282"/>
    <cellStyle name="_ДАСТУР макет_форма 1" xfId="283"/>
    <cellStyle name="_ДАСТУР обл план 2007-09" xfId="284"/>
    <cellStyle name="_ДАСТУР обл план 2007-09 2" xfId="285"/>
    <cellStyle name="_ДАСТУР обл план 2007-09 3" xfId="286"/>
    <cellStyle name="_ДАСТУР обл план 2007-09_1234 СИРДАРЁ Саноат 2013-2015йй" xfId="287"/>
    <cellStyle name="_ДАСТУР обл план 2007-09_1па" xfId="288"/>
    <cellStyle name="_ДАСТУР обл план 2007-09_2013-2015 после замени последний" xfId="289"/>
    <cellStyle name="_ДАСТУР обл план 2007-09_232 ижроси" xfId="290"/>
    <cellStyle name="_ДАСТУР обл план 2007-09_232 ижроси_2013-2015 после замени последний" xfId="291"/>
    <cellStyle name="_ДАСТУР обл план 2007-09_232 ижроси_ДАСТУР 2013-2015 йй охиргиси рус" xfId="292"/>
    <cellStyle name="_ДАСТУР обл план 2007-09_232 ижроси_Книга1" xfId="293"/>
    <cellStyle name="_ДАСТУР обл план 2007-09_Import_Forecast(last)_12.09.11 (Ismailovu)" xfId="294"/>
    <cellStyle name="_ДАСТУР обл план 2007-09_АХБОРОТ ТАХЛИЛГАга жадваллар (по туманам)" xfId="295"/>
    <cellStyle name="_ДАСТУР обл план 2007-09_АХБОРОТ ТАХЛИЛГАга жадваллар (по туманам)_2013-2015 после замени последний" xfId="296"/>
    <cellStyle name="_ДАСТУР обл план 2007-09_АХБОРОТ ТАХЛИЛГАга жадваллар (по туманам)_ДАСТУР 2013-2015 йй охиргиси рус" xfId="297"/>
    <cellStyle name="_ДАСТУР обл план 2007-09_АХБОРОТ ТАХЛИЛГАга жадваллар (по туманам)_Книга1" xfId="298"/>
    <cellStyle name="_ДАСТУР обл план 2007-09_Бажарилиши (СВОД)" xfId="299"/>
    <cellStyle name="_ДАСТУР обл план 2007-09_банк вилоят" xfId="300"/>
    <cellStyle name="_ДАСТУР обл план 2007-09_банк вилоят 2" xfId="301"/>
    <cellStyle name="_ДАСТУР обл план 2007-09_банк вилоят_7 илова" xfId="302"/>
    <cellStyle name="_ДАСТУР обл план 2007-09_банк вилоят_7 илова 2" xfId="303"/>
    <cellStyle name="_ДАСТУР обл план 2007-09_банк вилоят_Хоразм 2013-2015 саноат дастури 12.11.2012. 19-4812" xfId="304"/>
    <cellStyle name="_ДАСТУР обл план 2007-09_ДАСТУР 2013-2015 йй охиргиси рус" xfId="305"/>
    <cellStyle name="_ДАСТУР обл план 2007-09_Енг охирги Жиззахдан 2012 йил 2013-2015" xfId="306"/>
    <cellStyle name="_ДАСТУР обл план 2007-09_Жадвал саноат 2009 ОХИРИ" xfId="307"/>
    <cellStyle name="_ДАСТУР обл план 2007-09_Жадвал саноат 2009 ОХИРИ_2013-2015 после замени последний" xfId="308"/>
    <cellStyle name="_ДАСТУР обл план 2007-09_Жадвал саноат 2009 ОХИРИ_ДАСТУР 2013-2015 йй охиргиси рус" xfId="309"/>
    <cellStyle name="_ДАСТУР обл план 2007-09_Жадвал саноат 2009 ОХИРИ_Книга1" xfId="310"/>
    <cellStyle name="_ДАСТУР обл план 2007-09_иктисодга" xfId="311"/>
    <cellStyle name="_ДАСТУР обл план 2007-09_иктисодга_2013-2015 после замени последний" xfId="312"/>
    <cellStyle name="_ДАСТУР обл план 2007-09_иктисодга_ДАСТУР 2013-2015 йй охиргиси рус" xfId="313"/>
    <cellStyle name="_ДАСТУР обл план 2007-09_иктисодга_Книга1" xfId="314"/>
    <cellStyle name="_ДАСТУР обл план 2007-09_Карор буйича 31 октябр" xfId="315"/>
    <cellStyle name="_ДАСТУР обл план 2007-09_Карор буйича 31 октябр 2" xfId="316"/>
    <cellStyle name="_ДАСТУР обл план 2007-09_Карор буйича 31 октябр_7 илова" xfId="317"/>
    <cellStyle name="_ДАСТУР обл план 2007-09_Карор буйича 31 октябр_7 илова 2" xfId="318"/>
    <cellStyle name="_ДАСТУР обл план 2007-09_Карор буйича 31 октябр_Хоразм 2013-2015 саноат дастури 12.11.2012. 19-4812" xfId="319"/>
    <cellStyle name="_ДАСТУР обл план 2007-09_Карор буйича охирги" xfId="320"/>
    <cellStyle name="_ДАСТУР обл план 2007-09_Книга1" xfId="321"/>
    <cellStyle name="_ДАСТУР обл план 2007-09_Лист2" xfId="322"/>
    <cellStyle name="_ДАСТУР обл план 2007-09_ОКИБ" xfId="323"/>
    <cellStyle name="_ДАСТУР обл план 2007-09_ОКИБ_2013-2015 после замени последний" xfId="324"/>
    <cellStyle name="_ДАСТУР обл план 2007-09_ОКИБ_ДАСТУР 2013-2015 йй охиргиси рус" xfId="325"/>
    <cellStyle name="_ДАСТУР обл план 2007-09_ОКИБ_Книга1" xfId="326"/>
    <cellStyle name="_ДАСТУР обл план 2007-09_парранда ииискхона балик асал" xfId="327"/>
    <cellStyle name="_ДАСТУР обл план 2007-09_ПРОМ 2010-1чорак-жадваллар 23.03" xfId="328"/>
    <cellStyle name="_ДАСТУР обл план 2007-09_ПРОМ 2010-1чорак-жадваллар 23.03_2013-2015 после замени последний" xfId="329"/>
    <cellStyle name="_ДАСТУР обл план 2007-09_ПРОМ 2010-1чорак-жадваллар 23.03_ДАСТУР 2013-2015 йй охиргиси рус" xfId="330"/>
    <cellStyle name="_ДАСТУР обл план 2007-09_ПРОМ 2010-1чорак-жадваллар 23.03_Книга1" xfId="331"/>
    <cellStyle name="_ДАСТУР обл план 2007-09_СВОД жадваллар-2009 6 ой" xfId="332"/>
    <cellStyle name="_ДАСТУР обл план 2007-09_СВОД жадваллар-2009 6 ой_1234 СИРДАРЁ Саноат 2013-2015йй" xfId="333"/>
    <cellStyle name="_ДАСТУР обл план 2007-09_СВОД жадваллар-2009 6 ой_Енг охирги Жиззахдан 2012 йил 2013-2015" xfId="334"/>
    <cellStyle name="_ДАСТУР обл план 2007-09_сводная 1 пар (2)" xfId="335"/>
    <cellStyle name="_ДАСТУР обл план 2007-09_Сводная 1па (2)" xfId="336"/>
    <cellStyle name="_ДАСТУР обл план 2007-09_сводная 1пр (2)" xfId="337"/>
    <cellStyle name="_ДАСТУР обл план 2007-09_Сухроб Вилоят свод" xfId="338"/>
    <cellStyle name="_ДАСТУР обл план 2007-09_Сухроб Вилоят свод_2013-2015 после замени последний" xfId="339"/>
    <cellStyle name="_ДАСТУР обл план 2007-09_Сухроб Вилоят свод_ДАСТУР 2013-2015 йй охиргиси рус" xfId="340"/>
    <cellStyle name="_ДАСТУР обл план 2007-09_Сухроб Вилоят свод_Книга1" xfId="341"/>
    <cellStyle name="_ДАСТУР обл план 2007-09_форма 1" xfId="342"/>
    <cellStyle name="_Жиззах" xfId="343"/>
    <cellStyle name="_Жиззах 2" xfId="344"/>
    <cellStyle name="_Жиззах 3" xfId="345"/>
    <cellStyle name="_Жиззах_1234 СИРДАРЁ Саноат 2013-2015йй" xfId="346"/>
    <cellStyle name="_Жиззах_1па" xfId="347"/>
    <cellStyle name="_Жиззах_2011  - 6 жадваллар Иқтисод свод4" xfId="7881"/>
    <cellStyle name="_Жиззах_2013-2015 после замени последний" xfId="348"/>
    <cellStyle name="_Жиззах_232 ижроси" xfId="349"/>
    <cellStyle name="_Жиззах_232 ижроси_2013-2015 после замени последний" xfId="350"/>
    <cellStyle name="_Жиззах_232 ижроси_ДАСТУР 2013-2015 йй охиргиси рус" xfId="351"/>
    <cellStyle name="_Жиззах_232 ижроси_Книга1" xfId="352"/>
    <cellStyle name="_Жиззах_Import_Forecast(last)_12.09.11 (Ismailovu)" xfId="353"/>
    <cellStyle name="_Жиззах_АХБОРОТ ТАХЛИЛГАга жадваллар (по туманам)" xfId="354"/>
    <cellStyle name="_Жиззах_АХБОРОТ ТАХЛИЛГАга жадваллар (по туманам)_2013-2015 после замени последний" xfId="355"/>
    <cellStyle name="_Жиззах_АХБОРОТ ТАХЛИЛГАга жадваллар (по туманам)_ДАСТУР 2013-2015 йй охиргиси рус" xfId="356"/>
    <cellStyle name="_Жиззах_АХБОРОТ ТАХЛИЛГАга жадваллар (по туманам)_Книга1" xfId="357"/>
    <cellStyle name="_Жиззах_Бажарилиши (СВОД)" xfId="358"/>
    <cellStyle name="_Жиззах_банк вилоят" xfId="359"/>
    <cellStyle name="_Жиззах_банк вилоят 2" xfId="360"/>
    <cellStyle name="_Жиззах_банк вилоят_7 илова" xfId="361"/>
    <cellStyle name="_Жиззах_банк вилоят_7 илова 2" xfId="362"/>
    <cellStyle name="_Жиззах_банк вилоят_Хоразм 2013-2015 саноат дастури 12.11.2012. 19-4812" xfId="363"/>
    <cellStyle name="_Жиззах_ДАСТУР 2013-2015 йй охиргиси рус" xfId="364"/>
    <cellStyle name="_Жиззах_Енг охирги Жиззахдан 2012 йил 2013-2015" xfId="365"/>
    <cellStyle name="_Жиззах_Жадвал саноат 2009 ОХИРИ" xfId="366"/>
    <cellStyle name="_Жиззах_Жадвал саноат 2009 ОХИРИ_2013-2015 после замени последний" xfId="367"/>
    <cellStyle name="_Жиззах_Жадвал саноат 2009 ОХИРИ_ДАСТУР 2013-2015 йй охиргиси рус" xfId="368"/>
    <cellStyle name="_Жиззах_Жадвал саноат 2009 ОХИРИ_Книга1" xfId="369"/>
    <cellStyle name="_Жиззах_иктисодга" xfId="370"/>
    <cellStyle name="_Жиззах_иктисодга_2013-2015 после замени последний" xfId="371"/>
    <cellStyle name="_Жиззах_иктисодга_ДАСТУР 2013-2015 йй охиргиси рус" xfId="372"/>
    <cellStyle name="_Жиззах_иктисодга_Книга1" xfId="373"/>
    <cellStyle name="_Жиззах_Карор буйича 31 октябр" xfId="374"/>
    <cellStyle name="_Жиззах_Карор буйича 31 октябр 2" xfId="375"/>
    <cellStyle name="_Жиззах_Карор буйича 31 октябр_7 илова" xfId="376"/>
    <cellStyle name="_Жиззах_Карор буйича 31 октябр_7 илова 2" xfId="377"/>
    <cellStyle name="_Жиззах_Карор буйича 31 октябр_Хоразм 2013-2015 саноат дастури 12.11.2012. 19-4812" xfId="378"/>
    <cellStyle name="_Жиззах_Карор буйича охирги" xfId="379"/>
    <cellStyle name="_Жиззах_Книга1" xfId="380"/>
    <cellStyle name="_Жиззах_Лист2" xfId="381"/>
    <cellStyle name="_Жиззах_ОКИБ" xfId="382"/>
    <cellStyle name="_Жиззах_ОКИБ_2013-2015 после замени последний" xfId="383"/>
    <cellStyle name="_Жиззах_ОКИБ_ДАСТУР 2013-2015 йй охиргиси рус" xfId="384"/>
    <cellStyle name="_Жиззах_ОКИБ_Книга1" xfId="385"/>
    <cellStyle name="_Жиззах_парранда ииискхона балик асал" xfId="386"/>
    <cellStyle name="_Жиззах_ПРОМ 2010-1чорак-жадваллар 23.03" xfId="387"/>
    <cellStyle name="_Жиззах_ПРОМ 2010-1чорак-жадваллар 23.03_2013-2015 после замени последний" xfId="388"/>
    <cellStyle name="_Жиззах_ПРОМ 2010-1чорак-жадваллар 23.03_ДАСТУР 2013-2015 йй охиргиси рус" xfId="389"/>
    <cellStyle name="_Жиззах_ПРОМ 2010-1чорак-жадваллар 23.03_Книга1" xfId="390"/>
    <cellStyle name="_Жиззах_СВОД жадваллар-2009 6 ой" xfId="391"/>
    <cellStyle name="_Жиззах_СВОД жадваллар-2009 6 ой_1234 СИРДАРЁ Саноат 2013-2015йй" xfId="392"/>
    <cellStyle name="_Жиззах_СВОД жадваллар-2009 6 ой_Енг охирги Жиззахдан 2012 йил 2013-2015" xfId="393"/>
    <cellStyle name="_Жиззах_сводная 1 пар (2)" xfId="394"/>
    <cellStyle name="_Жиззах_Сводная 1па (2)" xfId="395"/>
    <cellStyle name="_Жиззах_сводная 1пр (2)" xfId="396"/>
    <cellStyle name="_Жиззах_Сухроб Вилоят свод" xfId="397"/>
    <cellStyle name="_Жиззах_Сухроб Вилоят свод_2013-2015 после замени последний" xfId="398"/>
    <cellStyle name="_Жиззах_Сухроб Вилоят свод_ДАСТУР 2013-2015 йй охиргиси рус" xfId="399"/>
    <cellStyle name="_Жиззах_Сухроб Вилоят свод_Книга1" xfId="400"/>
    <cellStyle name="_Жиззах_форма 1" xfId="401"/>
    <cellStyle name="_иктисодга" xfId="402"/>
    <cellStyle name="_Инвест пр 9м2008" xfId="403"/>
    <cellStyle name="_Инвест.пр" xfId="404"/>
    <cellStyle name="_Инвестиция" xfId="405"/>
    <cellStyle name="_индикатор" xfId="406"/>
    <cellStyle name="_индикатор_1234 СИРДАРЁ Саноат 2013-2015йй" xfId="407"/>
    <cellStyle name="_индикатор_Енг охирги Жиззахдан 2012 йил 2013-2015" xfId="408"/>
    <cellStyle name="_Ишга тушган объектлар Ежемесяч-3чис-2010" xfId="409"/>
    <cellStyle name="_Касаначи 4 ой" xfId="410"/>
    <cellStyle name="_Кашкадарё" xfId="411"/>
    <cellStyle name="_Кашкадарё 2" xfId="412"/>
    <cellStyle name="_Кашкадарё 3" xfId="413"/>
    <cellStyle name="_Кашкадарё_1234 СИРДАРЁ Саноат 2013-2015йй" xfId="414"/>
    <cellStyle name="_Кашкадарё_1па" xfId="415"/>
    <cellStyle name="_Кашкадарё_2013-2015 после замени последний" xfId="416"/>
    <cellStyle name="_Кашкадарё_232 ижроси" xfId="417"/>
    <cellStyle name="_Кашкадарё_232 ижроси_2013-2015 после замени последний" xfId="418"/>
    <cellStyle name="_Кашкадарё_232 ижроси_ДАСТУР 2013-2015 йй охиргиси рус" xfId="419"/>
    <cellStyle name="_Кашкадарё_232 ижроси_Книга1" xfId="420"/>
    <cellStyle name="_Кашкадарё_Import_Forecast(last)_12.09.11 (Ismailovu)" xfId="421"/>
    <cellStyle name="_Кашкадарё_АХБОРОТ ТАХЛИЛГАга жадваллар (по туманам)" xfId="422"/>
    <cellStyle name="_Кашкадарё_АХБОРОТ ТАХЛИЛГАга жадваллар (по туманам)_2013-2015 после замени последний" xfId="423"/>
    <cellStyle name="_Кашкадарё_АХБОРОТ ТАХЛИЛГАга жадваллар (по туманам)_ДАСТУР 2013-2015 йй охиргиси рус" xfId="424"/>
    <cellStyle name="_Кашкадарё_АХБОРОТ ТАХЛИЛГАга жадваллар (по туманам)_Книга1" xfId="425"/>
    <cellStyle name="_Кашкадарё_Бажарилиши (СВОД)" xfId="426"/>
    <cellStyle name="_Кашкадарё_банк вилоят" xfId="427"/>
    <cellStyle name="_Кашкадарё_банк вилоят 2" xfId="428"/>
    <cellStyle name="_Кашкадарё_банк вилоят_7 илова" xfId="429"/>
    <cellStyle name="_Кашкадарё_банк вилоят_7 илова 2" xfId="430"/>
    <cellStyle name="_Кашкадарё_банк вилоят_Хоразм 2013-2015 саноат дастури 12.11.2012. 19-4812" xfId="431"/>
    <cellStyle name="_Кашкадарё_ДАСТУР 2013-2015 йй охиргиси рус" xfId="432"/>
    <cellStyle name="_Кашкадарё_Енг охирги Жиззахдан 2012 йил 2013-2015" xfId="433"/>
    <cellStyle name="_Кашкадарё_Жадвал саноат 2009 ОХИРИ" xfId="434"/>
    <cellStyle name="_Кашкадарё_Жадвал саноат 2009 ОХИРИ_2013-2015 после замени последний" xfId="435"/>
    <cellStyle name="_Кашкадарё_Жадвал саноат 2009 ОХИРИ_ДАСТУР 2013-2015 йй охиргиси рус" xfId="436"/>
    <cellStyle name="_Кашкадарё_Жадвал саноат 2009 ОХИРИ_Книга1" xfId="437"/>
    <cellStyle name="_Кашкадарё_иктисодга" xfId="438"/>
    <cellStyle name="_Кашкадарё_иктисодга_2013-2015 после замени последний" xfId="439"/>
    <cellStyle name="_Кашкадарё_иктисодга_ДАСТУР 2013-2015 йй охиргиси рус" xfId="440"/>
    <cellStyle name="_Кашкадарё_иктисодга_Книга1" xfId="441"/>
    <cellStyle name="_Кашкадарё_Карор буйича 31 октябр" xfId="442"/>
    <cellStyle name="_Кашкадарё_Карор буйича 31 октябр 2" xfId="443"/>
    <cellStyle name="_Кашкадарё_Карор буйича 31 октябр_7 илова" xfId="444"/>
    <cellStyle name="_Кашкадарё_Карор буйича 31 октябр_7 илова 2" xfId="445"/>
    <cellStyle name="_Кашкадарё_Карор буйича 31 октябр_Хоразм 2013-2015 саноат дастури 12.11.2012. 19-4812" xfId="446"/>
    <cellStyle name="_Кашкадарё_Карор буйича охирги" xfId="447"/>
    <cellStyle name="_Кашкадарё_Книга1" xfId="448"/>
    <cellStyle name="_Кашкадарё_Лист2" xfId="449"/>
    <cellStyle name="_Кашкадарё_ОКИБ" xfId="450"/>
    <cellStyle name="_Кашкадарё_ОКИБ_2013-2015 после замени последний" xfId="451"/>
    <cellStyle name="_Кашкадарё_ОКИБ_ДАСТУР 2013-2015 йй охиргиси рус" xfId="452"/>
    <cellStyle name="_Кашкадарё_ОКИБ_Книга1" xfId="453"/>
    <cellStyle name="_Кашкадарё_парранда ииискхона балик асал" xfId="454"/>
    <cellStyle name="_Кашкадарё_ПРОМ 2010-1чорак-жадваллар 23.03" xfId="455"/>
    <cellStyle name="_Кашкадарё_ПРОМ 2010-1чорак-жадваллар 23.03_2013-2015 после замени последний" xfId="456"/>
    <cellStyle name="_Кашкадарё_ПРОМ 2010-1чорак-жадваллар 23.03_ДАСТУР 2013-2015 йй охиргиси рус" xfId="457"/>
    <cellStyle name="_Кашкадарё_ПРОМ 2010-1чорак-жадваллар 23.03_Книга1" xfId="458"/>
    <cellStyle name="_Кашкадарё_СВОД жадваллар-2009 6 ой" xfId="459"/>
    <cellStyle name="_Кашкадарё_СВОД жадваллар-2009 6 ой_1234 СИРДАРЁ Саноат 2013-2015йй" xfId="460"/>
    <cellStyle name="_Кашкадарё_СВОД жадваллар-2009 6 ой_Енг охирги Жиззахдан 2012 йил 2013-2015" xfId="461"/>
    <cellStyle name="_Кашкадарё_сводная 1 пар (2)" xfId="462"/>
    <cellStyle name="_Кашкадарё_Сводная 1па (2)" xfId="463"/>
    <cellStyle name="_Кашкадарё_сводная 1пр (2)" xfId="464"/>
    <cellStyle name="_Кашкадарё_Сухроб Вилоят свод" xfId="465"/>
    <cellStyle name="_Кашкадарё_Сухроб Вилоят свод_2013-2015 после замени последний" xfId="466"/>
    <cellStyle name="_Кашкадарё_Сухроб Вилоят свод_ДАСТУР 2013-2015 йй охиргиси рус" xfId="467"/>
    <cellStyle name="_Кашкадарё_Сухроб Вилоят свод_Книга1" xfId="468"/>
    <cellStyle name="_Кашкадарё_форма 1" xfId="469"/>
    <cellStyle name="_кварталиктисод+" xfId="470"/>
    <cellStyle name="_кишлокка ажратилган кредитлар  NEW" xfId="471"/>
    <cellStyle name="_кишлокка ажратилган кредитлар  NEW_2013-2015 йй Макет ФИНИШ Навоий киш хуж1" xfId="472"/>
    <cellStyle name="_кишлокка ажратилган кредитлар  NEW_Шерзодга (сервис)" xfId="473"/>
    <cellStyle name="_Книга1" xfId="474"/>
    <cellStyle name="_Книга3" xfId="475"/>
    <cellStyle name="_Книга3_2013-2015 йй Макет ФИНИШ Навоий киш хуж1" xfId="476"/>
    <cellStyle name="_Книга3_Вилоят Дастури ИТОГ" xfId="477"/>
    <cellStyle name="_Книга3_МАКЕТ АГРОСАНОАТ" xfId="478"/>
    <cellStyle name="_Книга3_Шерзодга (сервис)" xfId="479"/>
    <cellStyle name="_Комплекс Дастури (24-38)" xfId="480"/>
    <cellStyle name="_Комплекс Дастури (24-38)_Вилоят Дастури ИТОГ" xfId="481"/>
    <cellStyle name="_Комплекс Дастури (24-38)_МАКЕТ АГРОСАНОАТ" xfId="482"/>
    <cellStyle name="_Копия Иктисод формалари о" xfId="483"/>
    <cellStyle name="_Копия Иктисод формалари о_2013-2015 йй Макет ФИНИШ Навоий киш хуж1" xfId="484"/>
    <cellStyle name="_Копия Иктисод формалари о_Вилоят Дастури ИТОГ" xfId="485"/>
    <cellStyle name="_Копия Иктисод формалари о_МАКЕТ АГРОСАНОАТ" xfId="486"/>
    <cellStyle name="_Копия Иктисод формалари о_Нам дастур 2009-2012 (ўзбек)" xfId="487"/>
    <cellStyle name="_Копия Иктисод формалари о_Нам дастур 2009-2012 (ўзбек)_2013-2015 йй Макет ФИНИШ Навоий киш хуж1" xfId="488"/>
    <cellStyle name="_Копия Иктисод формалари о_Нам дастур 2009-2012 (ўзбек)_Вилоят Дастури ИТОГ" xfId="489"/>
    <cellStyle name="_Копия Иктисод формалари о_Нам дастур 2009-2012 (ўзбек)_МАКЕТ АГРОСАНОАТ" xfId="490"/>
    <cellStyle name="_Копия Иктисод формалари о_Нам дастур 2009-2012 (ўзбек)_Шерзодга (сервис)" xfId="491"/>
    <cellStyle name="_Копия Иктисод формалари о_Шерзодга (сервис)" xfId="492"/>
    <cellStyle name="_Лист2" xfId="493"/>
    <cellStyle name="_Лойихалар бўйича маълумот " xfId="494"/>
    <cellStyle name="_МВЭС" xfId="495"/>
    <cellStyle name="_МОЛИЯ даромад-харажат" xfId="496"/>
    <cellStyle name="_МОЛИЯ даромад-харажат_1234 СИРДАРЁ Саноат 2013-2015йй" xfId="497"/>
    <cellStyle name="_МОЛИЯ даромад-харажат_2013-2015 после замени последний" xfId="498"/>
    <cellStyle name="_МОЛИЯ даромад-харажат_ДАСТУР 2013-2015 йй охиргиси рус" xfId="499"/>
    <cellStyle name="_МОЛИЯ даромад-харажат_Енг охирги Жиззахдан 2012 йил 2013-2015" xfId="500"/>
    <cellStyle name="_МОЛИЯ даромад-харажат_Книга1" xfId="501"/>
    <cellStyle name="_Мониторинг 5-число (Образец)" xfId="502"/>
    <cellStyle name="_Наманган_аел_июль" xfId="503"/>
    <cellStyle name="_Наманган_аел_июль 2" xfId="504"/>
    <cellStyle name="_Наманган_аел_июль 3" xfId="505"/>
    <cellStyle name="_Наманган_аел_июль_Бажарилиши (СВОД)" xfId="506"/>
    <cellStyle name="_Наманган-1" xfId="507"/>
    <cellStyle name="_Наманган-1 2" xfId="508"/>
    <cellStyle name="_Наманган-1 3" xfId="509"/>
    <cellStyle name="_Наманган-1_1234 СИРДАРЁ Саноат 2013-2015йй" xfId="510"/>
    <cellStyle name="_Наманган-1_1па" xfId="511"/>
    <cellStyle name="_Наманган-1_2013-2015 после замени последний" xfId="512"/>
    <cellStyle name="_Наманган-1_232 ижроси" xfId="513"/>
    <cellStyle name="_Наманган-1_232 ижроси_2013-2015 после замени последний" xfId="514"/>
    <cellStyle name="_Наманган-1_232 ижроси_ДАСТУР 2013-2015 йй охиргиси рус" xfId="515"/>
    <cellStyle name="_Наманган-1_232 ижроси_Книга1" xfId="516"/>
    <cellStyle name="_Наманган-1_Import_Forecast(last)_12.09.11 (Ismailovu)" xfId="517"/>
    <cellStyle name="_Наманган-1_АХБОРОТ ТАХЛИЛГАга жадваллар (по туманам)" xfId="518"/>
    <cellStyle name="_Наманган-1_АХБОРОТ ТАХЛИЛГАга жадваллар (по туманам)_2013-2015 после замени последний" xfId="519"/>
    <cellStyle name="_Наманган-1_АХБОРОТ ТАХЛИЛГАга жадваллар (по туманам)_ДАСТУР 2013-2015 йй охиргиси рус" xfId="520"/>
    <cellStyle name="_Наманган-1_АХБОРОТ ТАХЛИЛГАга жадваллар (по туманам)_Книга1" xfId="521"/>
    <cellStyle name="_Наманган-1_Бажарилиши (СВОД)" xfId="522"/>
    <cellStyle name="_Наманган-1_банк вилоят" xfId="523"/>
    <cellStyle name="_Наманган-1_банк вилоят 2" xfId="524"/>
    <cellStyle name="_Наманган-1_банк вилоят_7 илова" xfId="525"/>
    <cellStyle name="_Наманган-1_банк вилоят_7 илова 2" xfId="526"/>
    <cellStyle name="_Наманган-1_банк вилоят_Хоразм 2013-2015 саноат дастури 12.11.2012. 19-4812" xfId="527"/>
    <cellStyle name="_Наманган-1_ДАСТУР 2013-2015 йй охиргиси рус" xfId="528"/>
    <cellStyle name="_Наманган-1_Енг охирги Жиззахдан 2012 йил 2013-2015" xfId="529"/>
    <cellStyle name="_Наманган-1_Жадвал саноат 2009 ОХИРИ" xfId="530"/>
    <cellStyle name="_Наманган-1_Жадвал саноат 2009 ОХИРИ_2013-2015 после замени последний" xfId="531"/>
    <cellStyle name="_Наманган-1_Жадвал саноат 2009 ОХИРИ_ДАСТУР 2013-2015 йй охиргиси рус" xfId="532"/>
    <cellStyle name="_Наманган-1_Жадвал саноат 2009 ОХИРИ_Книга1" xfId="533"/>
    <cellStyle name="_Наманган-1_иктисодга" xfId="534"/>
    <cellStyle name="_Наманган-1_иктисодга_2013-2015 после замени последний" xfId="535"/>
    <cellStyle name="_Наманган-1_иктисодга_ДАСТУР 2013-2015 йй охиргиси рус" xfId="536"/>
    <cellStyle name="_Наманган-1_иктисодга_Книга1" xfId="537"/>
    <cellStyle name="_Наманган-1_Карор буйича 31 октябр" xfId="538"/>
    <cellStyle name="_Наманган-1_Карор буйича 31 октябр 2" xfId="539"/>
    <cellStyle name="_Наманган-1_Карор буйича 31 октябр_7 илова" xfId="540"/>
    <cellStyle name="_Наманган-1_Карор буйича 31 октябр_7 илова 2" xfId="541"/>
    <cellStyle name="_Наманган-1_Карор буйича 31 октябр_Хоразм 2013-2015 саноат дастури 12.11.2012. 19-4812" xfId="542"/>
    <cellStyle name="_Наманган-1_Карор буйича охирги" xfId="543"/>
    <cellStyle name="_Наманган-1_Книга1" xfId="544"/>
    <cellStyle name="_Наманган-1_Лист2" xfId="545"/>
    <cellStyle name="_Наманган-1_ОКИБ" xfId="546"/>
    <cellStyle name="_Наманган-1_ОКИБ_2013-2015 после замени последний" xfId="547"/>
    <cellStyle name="_Наманган-1_ОКИБ_ДАСТУР 2013-2015 йй охиргиси рус" xfId="548"/>
    <cellStyle name="_Наманган-1_ОКИБ_Книга1" xfId="549"/>
    <cellStyle name="_Наманган-1_парранда ииискхона балик асал" xfId="550"/>
    <cellStyle name="_Наманган-1_ПРОМ 2010-1чорак-жадваллар 23.03" xfId="551"/>
    <cellStyle name="_Наманган-1_ПРОМ 2010-1чорак-жадваллар 23.03_2013-2015 после замени последний" xfId="552"/>
    <cellStyle name="_Наманган-1_ПРОМ 2010-1чорак-жадваллар 23.03_ДАСТУР 2013-2015 йй охиргиси рус" xfId="553"/>
    <cellStyle name="_Наманган-1_ПРОМ 2010-1чорак-жадваллар 23.03_Книга1" xfId="554"/>
    <cellStyle name="_Наманган-1_СВОД жадваллар-2009 6 ой" xfId="555"/>
    <cellStyle name="_Наманган-1_СВОД жадваллар-2009 6 ой_1234 СИРДАРЁ Саноат 2013-2015йй" xfId="556"/>
    <cellStyle name="_Наманган-1_СВОД жадваллар-2009 6 ой_Енг охирги Жиззахдан 2012 йил 2013-2015" xfId="557"/>
    <cellStyle name="_Наманган-1_сводная 1 пар (2)" xfId="558"/>
    <cellStyle name="_Наманган-1_Сводная 1па (2)" xfId="559"/>
    <cellStyle name="_Наманган-1_сводная 1пр (2)" xfId="560"/>
    <cellStyle name="_Наманган-1_Сухроб Вилоят свод" xfId="561"/>
    <cellStyle name="_Наманган-1_Сухроб Вилоят свод_2013-2015 после замени последний" xfId="562"/>
    <cellStyle name="_Наманган-1_Сухроб Вилоят свод_ДАСТУР 2013-2015 йй охиргиси рус" xfId="563"/>
    <cellStyle name="_Наманган-1_Сухроб Вилоят свод_Книга1" xfId="564"/>
    <cellStyle name="_Наманган-1_форма 1" xfId="565"/>
    <cellStyle name="_ПП-1050 формы" xfId="566"/>
    <cellStyle name="_Прогн-НРМ-2010-2013-макет" xfId="567"/>
    <cellStyle name="_Прогн-НРМ-2010-2013-макет_2013-2015 йй Макет ФИНИШ Навоий киш хуж1" xfId="568"/>
    <cellStyle name="_Прогн-НРМ-2010-2013-макет_3. Экспорт-импорт" xfId="569"/>
    <cellStyle name="_Прогн-НРМ-2010-2013-макет_3. Экспорт-импорт_2013-2015 йй Макет ФИНИШ Навоий киш хуж1" xfId="570"/>
    <cellStyle name="_Прогн-НРМ-2010-2013-макет_3. Экспорт-импорт_Шерзодга (сервис)" xfId="571"/>
    <cellStyle name="_Прогн-НРМ-2010-2013-макет_3. Экспорт-импорт1" xfId="572"/>
    <cellStyle name="_Прогн-НРМ-2010-2013-макет_3. Экспорт-импорт1_2013-2015 йй Макет ФИНИШ Навоий киш хуж1" xfId="573"/>
    <cellStyle name="_Прогн-НРМ-2010-2013-макет_3. Экспорт-импорт1_Шерзодга (сервис)" xfId="574"/>
    <cellStyle name="_Прогн-НРМ-2010-2013-макет_Шерзодга (сервис)" xfId="575"/>
    <cellStyle name="_Прогноз 2009 год 2" xfId="576"/>
    <cellStyle name="_Прогноз 2009 год 2_2013-2015 йй Макет ФИНИШ Навоий киш хуж1" xfId="577"/>
    <cellStyle name="_Прогноз 2009 год 2_Шерзодга (сервис)" xfId="578"/>
    <cellStyle name="_Произ.объект 2009" xfId="579"/>
    <cellStyle name="_ПСБ-ПР~1" xfId="580"/>
    <cellStyle name="_ПСБ-ПР~1_2013-2015 йй Макет ФИНИШ Навоий киш хуж1" xfId="581"/>
    <cellStyle name="_ПСБ-ПР~1_Шерзодга (сервис)" xfId="582"/>
    <cellStyle name="_Саидова Ежемесяч-3чис-2010" xfId="583"/>
    <cellStyle name="_Самар_анд" xfId="584"/>
    <cellStyle name="_Самар_анд 2" xfId="585"/>
    <cellStyle name="_Самар_анд 3" xfId="586"/>
    <cellStyle name="_Самар_анд_1234 СИРДАРЁ Саноат 2013-2015йй" xfId="587"/>
    <cellStyle name="_Самар_анд_1па" xfId="588"/>
    <cellStyle name="_Самар_анд_2013-2015 после замени последний" xfId="589"/>
    <cellStyle name="_Самар_анд_232 ижроси" xfId="590"/>
    <cellStyle name="_Самар_анд_232 ижроси_2013-2015 после замени последний" xfId="591"/>
    <cellStyle name="_Самар_анд_232 ижроси_ДАСТУР 2013-2015 йй охиргиси рус" xfId="592"/>
    <cellStyle name="_Самар_анд_232 ижроси_Книга1" xfId="593"/>
    <cellStyle name="_Самар_анд_Import_Forecast(last)_12.09.11 (Ismailovu)" xfId="594"/>
    <cellStyle name="_Самар_анд_АХБОРОТ ТАХЛИЛГАга жадваллар (по туманам)" xfId="595"/>
    <cellStyle name="_Самар_анд_АХБОРОТ ТАХЛИЛГАга жадваллар (по туманам)_2013-2015 после замени последний" xfId="596"/>
    <cellStyle name="_Самар_анд_АХБОРОТ ТАХЛИЛГАга жадваллар (по туманам)_ДАСТУР 2013-2015 йй охиргиси рус" xfId="597"/>
    <cellStyle name="_Самар_анд_АХБОРОТ ТАХЛИЛГАга жадваллар (по туманам)_Книга1" xfId="598"/>
    <cellStyle name="_Самар_анд_Бажарилиши (СВОД)" xfId="599"/>
    <cellStyle name="_Самар_анд_банк вилоят" xfId="600"/>
    <cellStyle name="_Самар_анд_банк вилоят 2" xfId="601"/>
    <cellStyle name="_Самар_анд_банк вилоят_7 илова" xfId="602"/>
    <cellStyle name="_Самар_анд_банк вилоят_7 илова 2" xfId="603"/>
    <cellStyle name="_Самар_анд_банк вилоят_Хоразм 2013-2015 саноат дастури 12.11.2012. 19-4812" xfId="604"/>
    <cellStyle name="_Самар_анд_ДАСТУР 2013-2015 йй охиргиси рус" xfId="605"/>
    <cellStyle name="_Самар_анд_Енг охирги Жиззахдан 2012 йил 2013-2015" xfId="606"/>
    <cellStyle name="_Самар_анд_Жадвал саноат 2009 ОХИРИ" xfId="607"/>
    <cellStyle name="_Самар_анд_Жадвал саноат 2009 ОХИРИ_2013-2015 после замени последний" xfId="608"/>
    <cellStyle name="_Самар_анд_Жадвал саноат 2009 ОХИРИ_ДАСТУР 2013-2015 йй охиргиси рус" xfId="609"/>
    <cellStyle name="_Самар_анд_Жадвал саноат 2009 ОХИРИ_Книга1" xfId="610"/>
    <cellStyle name="_Самар_анд_иктисодга" xfId="611"/>
    <cellStyle name="_Самар_анд_иктисодга_2013-2015 после замени последний" xfId="612"/>
    <cellStyle name="_Самар_анд_иктисодга_ДАСТУР 2013-2015 йй охиргиси рус" xfId="613"/>
    <cellStyle name="_Самар_анд_иктисодга_Книга1" xfId="614"/>
    <cellStyle name="_Самар_анд_Карор буйича 31 октябр" xfId="615"/>
    <cellStyle name="_Самар_анд_Карор буйича 31 октябр 2" xfId="616"/>
    <cellStyle name="_Самар_анд_Карор буйича 31 октябр_7 илова" xfId="617"/>
    <cellStyle name="_Самар_анд_Карор буйича 31 октябр_7 илова 2" xfId="618"/>
    <cellStyle name="_Самар_анд_Карор буйича 31 октябр_Хоразм 2013-2015 саноат дастури 12.11.2012. 19-4812" xfId="619"/>
    <cellStyle name="_Самар_анд_Карор буйича охирги" xfId="620"/>
    <cellStyle name="_Самар_анд_Книга1" xfId="621"/>
    <cellStyle name="_Самар_анд_Лист2" xfId="622"/>
    <cellStyle name="_Самар_анд_ОКИБ" xfId="623"/>
    <cellStyle name="_Самар_анд_ОКИБ_2013-2015 после замени последний" xfId="624"/>
    <cellStyle name="_Самар_анд_ОКИБ_ДАСТУР 2013-2015 йй охиргиси рус" xfId="625"/>
    <cellStyle name="_Самар_анд_ОКИБ_Книга1" xfId="626"/>
    <cellStyle name="_Самар_анд_парранда ииискхона балик асал" xfId="627"/>
    <cellStyle name="_Самар_анд_ПРОМ 2010-1чорак-жадваллар 23.03" xfId="628"/>
    <cellStyle name="_Самар_анд_ПРОМ 2010-1чорак-жадваллар 23.03_2013-2015 после замени последний" xfId="629"/>
    <cellStyle name="_Самар_анд_ПРОМ 2010-1чорак-жадваллар 23.03_ДАСТУР 2013-2015 йй охиргиси рус" xfId="630"/>
    <cellStyle name="_Самар_анд_ПРОМ 2010-1чорак-жадваллар 23.03_Книга1" xfId="631"/>
    <cellStyle name="_Самар_анд_СВОД жадваллар-2009 6 ой" xfId="632"/>
    <cellStyle name="_Самар_анд_СВОД жадваллар-2009 6 ой_1234 СИРДАРЁ Саноат 2013-2015йй" xfId="633"/>
    <cellStyle name="_Самар_анд_СВОД жадваллар-2009 6 ой_Енг охирги Жиззахдан 2012 йил 2013-2015" xfId="634"/>
    <cellStyle name="_Самар_анд_сводная 1 пар (2)" xfId="635"/>
    <cellStyle name="_Самар_анд_Сводная 1па (2)" xfId="636"/>
    <cellStyle name="_Самар_анд_сводная 1пр (2)" xfId="637"/>
    <cellStyle name="_Самар_анд_Сухроб Вилоят свод" xfId="638"/>
    <cellStyle name="_Самар_анд_Сухроб Вилоят свод_2013-2015 после замени последний" xfId="639"/>
    <cellStyle name="_Самар_анд_Сухроб Вилоят свод_ДАСТУР 2013-2015 йй охиргиси рус" xfId="640"/>
    <cellStyle name="_Самар_анд_Сухроб Вилоят свод_Книга1" xfId="641"/>
    <cellStyle name="_Самар_анд_форма 1" xfId="642"/>
    <cellStyle name="_Свод Част 2" xfId="643"/>
    <cellStyle name="_сводная 1 пар (2)" xfId="644"/>
    <cellStyle name="_Сводная 1па (2)" xfId="645"/>
    <cellStyle name="_сводная 1пр (2)" xfId="646"/>
    <cellStyle name="_Сирдарё" xfId="647"/>
    <cellStyle name="_Сирдарё 2" xfId="648"/>
    <cellStyle name="_Сирдарё 3" xfId="649"/>
    <cellStyle name="_Сирдарё_1234 СИРДАРЁ Саноат 2013-2015йй" xfId="650"/>
    <cellStyle name="_Сирдарё_1па" xfId="651"/>
    <cellStyle name="_Сирдарё_2013-2015 после замени последний" xfId="652"/>
    <cellStyle name="_Сирдарё_232 ижроси" xfId="653"/>
    <cellStyle name="_Сирдарё_232 ижроси_2013-2015 после замени последний" xfId="654"/>
    <cellStyle name="_Сирдарё_232 ижроси_ДАСТУР 2013-2015 йй охиргиси рус" xfId="655"/>
    <cellStyle name="_Сирдарё_232 ижроси_Книга1" xfId="656"/>
    <cellStyle name="_Сирдарё_Import_Forecast(last)_12.09.11 (Ismailovu)" xfId="657"/>
    <cellStyle name="_Сирдарё_АХБОРОТ ТАХЛИЛГАга жадваллар (по туманам)" xfId="658"/>
    <cellStyle name="_Сирдарё_АХБОРОТ ТАХЛИЛГАга жадваллар (по туманам)_2013-2015 после замени последний" xfId="659"/>
    <cellStyle name="_Сирдарё_АХБОРОТ ТАХЛИЛГАга жадваллар (по туманам)_ДАСТУР 2013-2015 йй охиргиси рус" xfId="660"/>
    <cellStyle name="_Сирдарё_АХБОРОТ ТАХЛИЛГАга жадваллар (по туманам)_Книга1" xfId="661"/>
    <cellStyle name="_Сирдарё_Бажарилиши (СВОД)" xfId="662"/>
    <cellStyle name="_Сирдарё_банк вилоят" xfId="663"/>
    <cellStyle name="_Сирдарё_банк вилоят 2" xfId="664"/>
    <cellStyle name="_Сирдарё_банк вилоят_7 илова" xfId="665"/>
    <cellStyle name="_Сирдарё_банк вилоят_7 илова 2" xfId="666"/>
    <cellStyle name="_Сирдарё_банк вилоят_Хоразм 2013-2015 саноат дастури 12.11.2012. 19-4812" xfId="667"/>
    <cellStyle name="_Сирдарё_ДАСТУР 2013-2015 йй охиргиси рус" xfId="668"/>
    <cellStyle name="_Сирдарё_Енг охирги Жиззахдан 2012 йил 2013-2015" xfId="669"/>
    <cellStyle name="_Сирдарё_Жадвал саноат 2009 ОХИРИ" xfId="670"/>
    <cellStyle name="_Сирдарё_Жадвал саноат 2009 ОХИРИ_2013-2015 после замени последний" xfId="671"/>
    <cellStyle name="_Сирдарё_Жадвал саноат 2009 ОХИРИ_ДАСТУР 2013-2015 йй охиргиси рус" xfId="672"/>
    <cellStyle name="_Сирдарё_Жадвал саноат 2009 ОХИРИ_Книга1" xfId="673"/>
    <cellStyle name="_Сирдарё_иктисодга" xfId="674"/>
    <cellStyle name="_Сирдарё_иктисодга_2013-2015 после замени последний" xfId="675"/>
    <cellStyle name="_Сирдарё_иктисодга_ДАСТУР 2013-2015 йй охиргиси рус" xfId="676"/>
    <cellStyle name="_Сирдарё_иктисодга_Книга1" xfId="677"/>
    <cellStyle name="_Сирдарё_Илхомбек 1 - 8 гача жадвали" xfId="7880"/>
    <cellStyle name="_Сирдарё_Карор буйича 31 октябр" xfId="678"/>
    <cellStyle name="_Сирдарё_Карор буйича 31 октябр 2" xfId="679"/>
    <cellStyle name="_Сирдарё_Карор буйича 31 октябр_7 илова" xfId="680"/>
    <cellStyle name="_Сирдарё_Карор буйича 31 октябр_7 илова 2" xfId="681"/>
    <cellStyle name="_Сирдарё_Карор буйича 31 октябр_Хоразм 2013-2015 саноат дастури 12.11.2012. 19-4812" xfId="682"/>
    <cellStyle name="_Сирдарё_Карор буйича охирги" xfId="683"/>
    <cellStyle name="_Сирдарё_Книга1" xfId="684"/>
    <cellStyle name="_Сирдарё_Лист2" xfId="685"/>
    <cellStyle name="_Сирдарё_ОКИБ" xfId="686"/>
    <cellStyle name="_Сирдарё_ОКИБ_2013-2015 после замени последний" xfId="687"/>
    <cellStyle name="_Сирдарё_ОКИБ_ДАСТУР 2013-2015 йй охиргиси рус" xfId="688"/>
    <cellStyle name="_Сирдарё_ОКИБ_Книга1" xfId="689"/>
    <cellStyle name="_Сирдарё_парранда ииискхона балик асал" xfId="690"/>
    <cellStyle name="_Сирдарё_ПРОМ 2010-1чорак-жадваллар 23.03" xfId="691"/>
    <cellStyle name="_Сирдарё_ПРОМ 2010-1чорак-жадваллар 23.03_2013-2015 после замени последний" xfId="692"/>
    <cellStyle name="_Сирдарё_ПРОМ 2010-1чорак-жадваллар 23.03_ДАСТУР 2013-2015 йй охиргиси рус" xfId="693"/>
    <cellStyle name="_Сирдарё_ПРОМ 2010-1чорак-жадваллар 23.03_Книга1" xfId="694"/>
    <cellStyle name="_Сирдарё_СВОД жадваллар-2009 6 ой" xfId="695"/>
    <cellStyle name="_Сирдарё_СВОД жадваллар-2009 6 ой_1234 СИРДАРЁ Саноат 2013-2015йй" xfId="696"/>
    <cellStyle name="_Сирдарё_СВОД жадваллар-2009 6 ой_Енг охирги Жиззахдан 2012 йил 2013-2015" xfId="697"/>
    <cellStyle name="_Сирдарё_сводная 1 пар (2)" xfId="698"/>
    <cellStyle name="_Сирдарё_Сводная 1па (2)" xfId="699"/>
    <cellStyle name="_Сирдарё_сводная 1пр (2)" xfId="700"/>
    <cellStyle name="_Сирдарё_Сухроб Вилоят свод" xfId="701"/>
    <cellStyle name="_Сирдарё_Сухроб Вилоят свод_2013-2015 после замени последний" xfId="702"/>
    <cellStyle name="_Сирдарё_Сухроб Вилоят свод_ДАСТУР 2013-2015 йй охиргиси рус" xfId="703"/>
    <cellStyle name="_Сирдарё_Сухроб Вилоят свод_Книга1" xfId="704"/>
    <cellStyle name="_Сирдарё_форма 1" xfId="705"/>
    <cellStyle name="_соц раз Азиз" xfId="706"/>
    <cellStyle name="_соц раз Азиз_2013-2015 йй Макет ФИНИШ Навоий киш хуж1" xfId="707"/>
    <cellStyle name="_соц раз Азиз_Шерзодга (сервис)" xfId="708"/>
    <cellStyle name="_Сурхондарё " xfId="709"/>
    <cellStyle name="_Сурхондарё  2" xfId="710"/>
    <cellStyle name="_Сурхондарё  3" xfId="711"/>
    <cellStyle name="_Сурхондарё _1234 СИРДАРЁ Саноат 2013-2015йй" xfId="712"/>
    <cellStyle name="_Сурхондарё _1па" xfId="713"/>
    <cellStyle name="_Сурхондарё _2013-2015 после замени последний" xfId="714"/>
    <cellStyle name="_Сурхондарё _232 ижроси" xfId="715"/>
    <cellStyle name="_Сурхондарё _232 ижроси_2013-2015 после замени последний" xfId="716"/>
    <cellStyle name="_Сурхондарё _232 ижроси_ДАСТУР 2013-2015 йй охиргиси рус" xfId="717"/>
    <cellStyle name="_Сурхондарё _232 ижроси_Книга1" xfId="718"/>
    <cellStyle name="_Сурхондарё _Import_Forecast(last)_12.09.11 (Ismailovu)" xfId="719"/>
    <cellStyle name="_Сурхондарё _АХБОРОТ ТАХЛИЛГАга жадваллар (по туманам)" xfId="720"/>
    <cellStyle name="_Сурхондарё _АХБОРОТ ТАХЛИЛГАга жадваллар (по туманам)_2013-2015 после замени последний" xfId="721"/>
    <cellStyle name="_Сурхондарё _АХБОРОТ ТАХЛИЛГАга жадваллар (по туманам)_ДАСТУР 2013-2015 йй охиргиси рус" xfId="722"/>
    <cellStyle name="_Сурхондарё _АХБОРОТ ТАХЛИЛГАга жадваллар (по туманам)_Книга1" xfId="723"/>
    <cellStyle name="_Сурхондарё _Бажарилиши (СВОД)" xfId="724"/>
    <cellStyle name="_Сурхондарё _банк вилоят" xfId="725"/>
    <cellStyle name="_Сурхондарё _банк вилоят 2" xfId="726"/>
    <cellStyle name="_Сурхондарё _банк вилоят_7 илова" xfId="727"/>
    <cellStyle name="_Сурхондарё _банк вилоят_7 илова 2" xfId="728"/>
    <cellStyle name="_Сурхондарё _банк вилоят_Хоразм 2013-2015 саноат дастури 12.11.2012. 19-4812" xfId="729"/>
    <cellStyle name="_Сурхондарё _ДАСТУР 2013-2015 йй охиргиси рус" xfId="730"/>
    <cellStyle name="_Сурхондарё _Енг охирги Жиззахдан 2012 йил 2013-2015" xfId="731"/>
    <cellStyle name="_Сурхондарё _Жадвал саноат 2009 ОХИРИ" xfId="732"/>
    <cellStyle name="_Сурхондарё _Жадвал саноат 2009 ОХИРИ_2013-2015 после замени последний" xfId="733"/>
    <cellStyle name="_Сурхондарё _Жадвал саноат 2009 ОХИРИ_ДАСТУР 2013-2015 йй охиргиси рус" xfId="734"/>
    <cellStyle name="_Сурхондарё _Жадвал саноат 2009 ОХИРИ_Книга1" xfId="735"/>
    <cellStyle name="_Сурхондарё _иктисодга" xfId="736"/>
    <cellStyle name="_Сурхондарё _иктисодга_2013-2015 после замени последний" xfId="737"/>
    <cellStyle name="_Сурхондарё _иктисодга_ДАСТУР 2013-2015 йй охиргиси рус" xfId="738"/>
    <cellStyle name="_Сурхондарё _иктисодга_Книга1" xfId="739"/>
    <cellStyle name="_Сурхондарё _Карор буйича 31 октябр" xfId="740"/>
    <cellStyle name="_Сурхондарё _Карор буйича 31 октябр 2" xfId="741"/>
    <cellStyle name="_Сурхондарё _Карор буйича 31 октябр_7 илова" xfId="742"/>
    <cellStyle name="_Сурхондарё _Карор буйича 31 октябр_7 илова 2" xfId="743"/>
    <cellStyle name="_Сурхондарё _Карор буйича 31 октябр_Хоразм 2013-2015 саноат дастури 12.11.2012. 19-4812" xfId="744"/>
    <cellStyle name="_Сурхондарё _Карор буйича охирги" xfId="745"/>
    <cellStyle name="_Сурхондарё _Книга1" xfId="746"/>
    <cellStyle name="_Сурхондарё _Лист2" xfId="747"/>
    <cellStyle name="_Сурхондарё _ОКИБ" xfId="748"/>
    <cellStyle name="_Сурхондарё _ОКИБ_2013-2015 после замени последний" xfId="749"/>
    <cellStyle name="_Сурхондарё _ОКИБ_ДАСТУР 2013-2015 йй охиргиси рус" xfId="750"/>
    <cellStyle name="_Сурхондарё _ОКИБ_Книга1" xfId="751"/>
    <cellStyle name="_Сурхондарё _парранда ииискхона балик асал" xfId="752"/>
    <cellStyle name="_Сурхондарё _ПРОМ 2010-1чорак-жадваллар 23.03" xfId="753"/>
    <cellStyle name="_Сурхондарё _ПРОМ 2010-1чорак-жадваллар 23.03_2013-2015 после замени последний" xfId="754"/>
    <cellStyle name="_Сурхондарё _ПРОМ 2010-1чорак-жадваллар 23.03_ДАСТУР 2013-2015 йй охиргиси рус" xfId="755"/>
    <cellStyle name="_Сурхондарё _ПРОМ 2010-1чорак-жадваллар 23.03_Книга1" xfId="756"/>
    <cellStyle name="_Сурхондарё _СВОД жадваллар-2009 6 ой" xfId="757"/>
    <cellStyle name="_Сурхондарё _СВОД жадваллар-2009 6 ой_1234 СИРДАРЁ Саноат 2013-2015йй" xfId="758"/>
    <cellStyle name="_Сурхондарё _СВОД жадваллар-2009 6 ой_Енг охирги Жиззахдан 2012 йил 2013-2015" xfId="759"/>
    <cellStyle name="_Сурхондарё _сводная 1 пар (2)" xfId="760"/>
    <cellStyle name="_Сурхондарё _Сводная 1па (2)" xfId="761"/>
    <cellStyle name="_Сурхондарё _сводная 1пр (2)" xfId="762"/>
    <cellStyle name="_Сурхондарё _Сухроб Вилоят свод" xfId="763"/>
    <cellStyle name="_Сурхондарё _Сухроб Вилоят свод_2013-2015 после замени последний" xfId="764"/>
    <cellStyle name="_Сурхондарё _Сухроб Вилоят свод_ДАСТУР 2013-2015 йй охиргиси рус" xfId="765"/>
    <cellStyle name="_Сурхондарё _Сухроб Вилоят свод_Книга1" xfId="766"/>
    <cellStyle name="_Сурхондарё _форма 1" xfId="767"/>
    <cellStyle name="_Сухроб Вилоят свод" xfId="768"/>
    <cellStyle name="_Таблица 6 (Локализация)" xfId="769"/>
    <cellStyle name="_Тошкент в." xfId="770"/>
    <cellStyle name="_Тошкент в._1234 СИРДАРЁ Саноат 2013-2015йй" xfId="771"/>
    <cellStyle name="_Тошкент в._2013-2015 после замени последний" xfId="772"/>
    <cellStyle name="_Тошкент в._ДАСТУР 2013-2015 йй охиргиси рус" xfId="773"/>
    <cellStyle name="_Тошкент в._Енг охирги Жиззахдан 2012 йил 2013-2015" xfId="774"/>
    <cellStyle name="_Тошкент в._Книга1" xfId="775"/>
    <cellStyle name="_учта туман буйича касана" xfId="776"/>
    <cellStyle name="_Факторный анализ" xfId="777"/>
    <cellStyle name="_Факторный анализ_2013-2015 йй Макет ФИНИШ Навоий киш хуж1" xfId="778"/>
    <cellStyle name="_Факторный анализ_Шерзодга (сервис)" xfId="779"/>
    <cellStyle name="_факторы" xfId="780"/>
    <cellStyle name="_факторы_2013-2015 йй Макет ФИНИШ Навоий киш хуж1" xfId="781"/>
    <cellStyle name="_факторы_Шерзодга (сервис)" xfId="782"/>
    <cellStyle name="_Фаолият" xfId="783"/>
    <cellStyle name="_Фаолият 2" xfId="784"/>
    <cellStyle name="_Фаолият 3" xfId="785"/>
    <cellStyle name="_Фаолият_?ишло? тарра?иёти 82 банд тўли?" xfId="786"/>
    <cellStyle name="_Фаолият_1234 СИРДАРЁ Саноат 2013-2015йй" xfId="787"/>
    <cellStyle name="_Фаолият_1па" xfId="788"/>
    <cellStyle name="_Фаолият_2013-2015 после замени последний" xfId="789"/>
    <cellStyle name="_Фаолият_67 та жадвал №2" xfId="790"/>
    <cellStyle name="_Фаолият_67 та жадвал №2_2013-2015 после замени последний" xfId="791"/>
    <cellStyle name="_Фаолият_67 та жадвал №2_ДАСТУР 2013-2015 йй охиргиси рус" xfId="792"/>
    <cellStyle name="_Фаолият_67 та жадвал №2_Книга1" xfId="793"/>
    <cellStyle name="_Фаолият_67 талик жадвал-Иктисод №1" xfId="794"/>
    <cellStyle name="_Фаолият_67 талик жадвал-Иктисод №1_2013-2015 после замени последний" xfId="795"/>
    <cellStyle name="_Фаолият_67 талик жадвал-Иктисод №1_ДАСТУР 2013-2015 йй охиргиси рус" xfId="796"/>
    <cellStyle name="_Фаолият_67 талик жадвал-Иктисод №1_Книга1" xfId="797"/>
    <cellStyle name="_Фаолият_Import_Forecast(last)_12.09.11 (Ismailovu)" xfId="798"/>
    <cellStyle name="_Фаолият_Бажарилиши (СВОД)" xfId="799"/>
    <cellStyle name="_Фаолият_БАЖАРИЛИШИ 1-май" xfId="800"/>
    <cellStyle name="_Фаолият_БАЖАРИЛИШИ 1-май_2013-2015 после замени последний" xfId="801"/>
    <cellStyle name="_Фаолият_БАЖАРИЛИШИ 1-май_ДАСТУР 2013-2015 йй охиргиси рус" xfId="802"/>
    <cellStyle name="_Фаолият_БАЖАРИЛИШИ 1-май_Книга1" xfId="803"/>
    <cellStyle name="_Фаолият_банк вилоят" xfId="804"/>
    <cellStyle name="_Фаолият_банк вилоят 2" xfId="805"/>
    <cellStyle name="_Фаолият_банк вилоят_7 илова" xfId="806"/>
    <cellStyle name="_Фаолият_банк вилоят_7 илова 2" xfId="807"/>
    <cellStyle name="_Фаолият_банк вилоят_Хоразм 2013-2015 саноат дастури 12.11.2012. 19-4812" xfId="808"/>
    <cellStyle name="_Фаолият_Бобир учун 67 талик жадвал-Иктисод" xfId="809"/>
    <cellStyle name="_Фаолият_Бобир учун 67 талик жадвал-Иктисод_2013-2015 после замени последний" xfId="810"/>
    <cellStyle name="_Фаолият_Бобир учун 67 талик жадвал-Иктисод_ДАСТУР 2013-2015 йй охиргиси рус" xfId="811"/>
    <cellStyle name="_Фаолият_Бобир учун 67 талик жадвал-Иктисод_Книга1" xfId="812"/>
    <cellStyle name="_Фаолият_ДАСТУР 2013-2015 йй охиргиси рус" xfId="813"/>
    <cellStyle name="_Фаолият_Енг охирги Жиззахдан 2012 йил 2013-2015" xfId="814"/>
    <cellStyle name="_Фаолият_иктисодга" xfId="815"/>
    <cellStyle name="_Фаолият_иктисодга_2013-2015 после замени последний" xfId="816"/>
    <cellStyle name="_Фаолият_иктисодга_ДАСТУР 2013-2015 йй охиргиси рус" xfId="817"/>
    <cellStyle name="_Фаолият_иктисодга_Книга1" xfId="818"/>
    <cellStyle name="_Фаолият_Карор буйича 31 октябр" xfId="819"/>
    <cellStyle name="_Фаолият_Карор буйича 31 октябр 2" xfId="820"/>
    <cellStyle name="_Фаолият_Карор буйича 31 октябр_7 илова" xfId="821"/>
    <cellStyle name="_Фаолият_Карор буйича 31 октябр_7 илова 2" xfId="822"/>
    <cellStyle name="_Фаолият_Карор буйича 31 октябр_Хоразм 2013-2015 саноат дастури 12.11.2012. 19-4812" xfId="823"/>
    <cellStyle name="_Фаолият_Карор буйича охирги" xfId="824"/>
    <cellStyle name="_Фаолият_Касаначи 4 ой" xfId="825"/>
    <cellStyle name="_Фаолият_Касаначи 4 ой_2013-2015 после замени последний" xfId="826"/>
    <cellStyle name="_Фаолият_Касаначи 4 ой_ДАСТУР 2013-2015 йй охиргиси рус" xfId="827"/>
    <cellStyle name="_Фаолият_Касаначи 4 ой_Книга1" xfId="828"/>
    <cellStyle name="_Фаолият_Книга1" xfId="829"/>
    <cellStyle name="_Фаолият_қишлоқ таррақиёти 82 банд тўлиқ" xfId="830"/>
    <cellStyle name="_Фаолият_қишлоқ таррақиёти 82 банд тўлиқ_2013-2015 после замени последний" xfId="831"/>
    <cellStyle name="_Фаолият_қишлоқ таррақиёти 82 банд тўлиқ_ДАСТУР 2013-2015 йй охиргиси рус" xfId="832"/>
    <cellStyle name="_Фаолият_қишлоқ таррақиёти 82 банд тўлиқ_Книга1" xfId="833"/>
    <cellStyle name="_Фаолият_Лист2" xfId="834"/>
    <cellStyle name="_Фаолият_парранда ииискхона балик асал" xfId="835"/>
    <cellStyle name="_Фаолият_СВОД жадваллар-2009 6 ой" xfId="836"/>
    <cellStyle name="_Фаолият_СВОД жадваллар-2009 6 ой_1234 СИРДАРЁ Саноат 2013-2015йй" xfId="837"/>
    <cellStyle name="_Фаолият_СВОД жадваллар-2009 6 ой_Енг охирги Жиззахдан 2012 йил 2013-2015" xfId="838"/>
    <cellStyle name="_Фаолият_сводная 1 пар (2)" xfId="839"/>
    <cellStyle name="_Фаолият_Сводная 1па (2)" xfId="840"/>
    <cellStyle name="_Фаолият_сводная 1пр (2)" xfId="841"/>
    <cellStyle name="_Фаолият_Сухроб Вилоят свод" xfId="842"/>
    <cellStyle name="_Фаолият_Сухроб Вилоят свод_2013-2015 после замени последний" xfId="843"/>
    <cellStyle name="_Фаолият_Сухроб Вилоят свод_ДАСТУР 2013-2015 йй охиргиси рус" xfId="844"/>
    <cellStyle name="_Фаолият_Сухроб Вилоят свод_Книга1" xfId="845"/>
    <cellStyle name="_Фаолият_учта туман буйича касана" xfId="846"/>
    <cellStyle name="_Фаолият_учта туман буйича касана_2013-2015 после замени последний" xfId="847"/>
    <cellStyle name="_Фаолият_учта туман буйича касана_ДАСТУР 2013-2015 йй охиргиси рус" xfId="848"/>
    <cellStyle name="_Фаолият_учта туман буйича касана_Книга1" xfId="849"/>
    <cellStyle name="_Фаолият_форма 1" xfId="850"/>
    <cellStyle name="_Фаолият_ЯИЎ-сервис" xfId="851"/>
    <cellStyle name="_Фаолият_ЯИЎ-сервис_2013-2015 после замени последний" xfId="852"/>
    <cellStyle name="_Фаолият_ЯИЎ-сервис_ДАСТУР 2013-2015 йй охиргиси рус" xfId="853"/>
    <cellStyle name="_Фаолият_ЯИЎ-сервис_Книга1" xfId="854"/>
    <cellStyle name="_Фар?она" xfId="855"/>
    <cellStyle name="_Фар?она_1234 СИРДАРЁ Саноат 2013-2015йй" xfId="856"/>
    <cellStyle name="_Фар?она_Енг охирги Жиззахдан 2012 йил 2013-2015" xfId="857"/>
    <cellStyle name="_Фарғона" xfId="858"/>
    <cellStyle name="_Фарғона_1234 СИРДАРЁ Саноат 2013-2015йй" xfId="859"/>
    <cellStyle name="_Фарғона_2013-2015 после замени последний" xfId="860"/>
    <cellStyle name="_Фарғона_ДАСТУР 2013-2015 йй охиргиси рус" xfId="861"/>
    <cellStyle name="_Фарғона_Енг охирги Жиззахдан 2012 йил 2013-2015" xfId="862"/>
    <cellStyle name="_Фарғона_Книга1" xfId="863"/>
    <cellStyle name="_Хокимият" xfId="864"/>
    <cellStyle name="_Хокимият_Вилоят Дастури ИТОГ" xfId="865"/>
    <cellStyle name="_Хокимият_МАКЕТ АГРОСАНОАТ" xfId="866"/>
    <cellStyle name="_Хокимиятга 01.03.2009й" xfId="867"/>
    <cellStyle name="_Хоразм" xfId="868"/>
    <cellStyle name="_Хоразм 2" xfId="869"/>
    <cellStyle name="_Хоразм 3" xfId="870"/>
    <cellStyle name="_Хоразм_1234 СИРДАРЁ Саноат 2013-2015йй" xfId="871"/>
    <cellStyle name="_Хоразм_1па" xfId="872"/>
    <cellStyle name="_Хоразм_2013-2015 после замени последний" xfId="873"/>
    <cellStyle name="_Хоразм_232 ижроси" xfId="874"/>
    <cellStyle name="_Хоразм_232 ижроси_2013-2015 после замени последний" xfId="875"/>
    <cellStyle name="_Хоразм_232 ижроси_ДАСТУР 2013-2015 йй охиргиси рус" xfId="876"/>
    <cellStyle name="_Хоразм_232 ижроси_Книга1" xfId="877"/>
    <cellStyle name="_Хоразм_Import_Forecast(last)_12.09.11 (Ismailovu)" xfId="878"/>
    <cellStyle name="_Хоразм_АХБОРОТ ТАХЛИЛГАга жадваллар (по туманам)" xfId="879"/>
    <cellStyle name="_Хоразм_АХБОРОТ ТАХЛИЛГАга жадваллар (по туманам)_2013-2015 после замени последний" xfId="880"/>
    <cellStyle name="_Хоразм_АХБОРОТ ТАХЛИЛГАга жадваллар (по туманам)_ДАСТУР 2013-2015 йй охиргиси рус" xfId="881"/>
    <cellStyle name="_Хоразм_АХБОРОТ ТАХЛИЛГАга жадваллар (по туманам)_Книга1" xfId="882"/>
    <cellStyle name="_Хоразм_Бажарилиши (СВОД)" xfId="883"/>
    <cellStyle name="_Хоразм_банк вилоят" xfId="884"/>
    <cellStyle name="_Хоразм_банк вилоят 2" xfId="885"/>
    <cellStyle name="_Хоразм_банк вилоят_7 илова" xfId="886"/>
    <cellStyle name="_Хоразм_банк вилоят_7 илова 2" xfId="887"/>
    <cellStyle name="_Хоразм_банк вилоят_Хоразм 2013-2015 саноат дастури 12.11.2012. 19-4812" xfId="888"/>
    <cellStyle name="_Хоразм_ДАСТУР 2013-2015 йй охиргиси рус" xfId="889"/>
    <cellStyle name="_Хоразм_Енг охирги Жиззахдан 2012 йил 2013-2015" xfId="890"/>
    <cellStyle name="_Хоразм_Жадвал саноат 2009 ОХИРИ" xfId="891"/>
    <cellStyle name="_Хоразм_Жадвал саноат 2009 ОХИРИ_2013-2015 после замени последний" xfId="892"/>
    <cellStyle name="_Хоразм_Жадвал саноат 2009 ОХИРИ_ДАСТУР 2013-2015 йй охиргиси рус" xfId="893"/>
    <cellStyle name="_Хоразм_Жадвал саноат 2009 ОХИРИ_Книга1" xfId="894"/>
    <cellStyle name="_Хоразм_иктисодга" xfId="895"/>
    <cellStyle name="_Хоразм_иктисодга_2013-2015 после замени последний" xfId="896"/>
    <cellStyle name="_Хоразм_иктисодга_ДАСТУР 2013-2015 йй охиргиси рус" xfId="897"/>
    <cellStyle name="_Хоразм_иктисодга_Книга1" xfId="898"/>
    <cellStyle name="_Хоразм_Карор буйича 31 октябр" xfId="899"/>
    <cellStyle name="_Хоразм_Карор буйича 31 октябр 2" xfId="900"/>
    <cellStyle name="_Хоразм_Карор буйича 31 октябр_7 илова" xfId="901"/>
    <cellStyle name="_Хоразм_Карор буйича 31 октябр_7 илова 2" xfId="902"/>
    <cellStyle name="_Хоразм_Карор буйича 31 октябр_Хоразм 2013-2015 саноат дастури 12.11.2012. 19-4812" xfId="903"/>
    <cellStyle name="_Хоразм_Карор буйича охирги" xfId="904"/>
    <cellStyle name="_Хоразм_Книга1" xfId="905"/>
    <cellStyle name="_Хоразм_Лист2" xfId="906"/>
    <cellStyle name="_Хоразм_ОКИБ" xfId="907"/>
    <cellStyle name="_Хоразм_ОКИБ_2013-2015 после замени последний" xfId="908"/>
    <cellStyle name="_Хоразм_ОКИБ_ДАСТУР 2013-2015 йй охиргиси рус" xfId="909"/>
    <cellStyle name="_Хоразм_ОКИБ_Книга1" xfId="910"/>
    <cellStyle name="_Хоразм_парранда ииискхона балик асал" xfId="911"/>
    <cellStyle name="_Хоразм_ПРОМ 2010-1чорак-жадваллар 23.03" xfId="912"/>
    <cellStyle name="_Хоразм_ПРОМ 2010-1чорак-жадваллар 23.03_2013-2015 после замени последний" xfId="913"/>
    <cellStyle name="_Хоразм_ПРОМ 2010-1чорак-жадваллар 23.03_ДАСТУР 2013-2015 йй охиргиси рус" xfId="914"/>
    <cellStyle name="_Хоразм_ПРОМ 2010-1чорак-жадваллар 23.03_Книга1" xfId="915"/>
    <cellStyle name="_Хоразм_СВОД жадваллар-2009 6 ой" xfId="916"/>
    <cellStyle name="_Хоразм_СВОД жадваллар-2009 6 ой_1234 СИРДАРЁ Саноат 2013-2015йй" xfId="917"/>
    <cellStyle name="_Хоразм_СВОД жадваллар-2009 6 ой_Енг охирги Жиззахдан 2012 йил 2013-2015" xfId="918"/>
    <cellStyle name="_Хоразм_сводная 1 пар (2)" xfId="919"/>
    <cellStyle name="_Хоразм_Сводная 1па (2)" xfId="920"/>
    <cellStyle name="_Хоразм_сводная 1пр (2)" xfId="921"/>
    <cellStyle name="_Хоразм_Сухроб Вилоят свод" xfId="922"/>
    <cellStyle name="_Хоразм_Сухроб Вилоят свод_2013-2015 после замени последний" xfId="923"/>
    <cellStyle name="_Хоразм_Сухроб Вилоят свод_ДАСТУР 2013-2015 йй охиргиси рус" xfId="924"/>
    <cellStyle name="_Хоразм_Сухроб Вилоят свод_Книга1" xfId="925"/>
    <cellStyle name="_Хоразм_форма 1" xfId="926"/>
    <cellStyle name="_чора-тадбир свод" xfId="927"/>
    <cellStyle name="_чора-тадбир свод 2" xfId="928"/>
    <cellStyle name="_чора-тадбир свод 3" xfId="929"/>
    <cellStyle name="_чора-тадбир свод_?ишло? тарра?иёти 82 банд тўли?" xfId="930"/>
    <cellStyle name="_чора-тадбир свод_1234 СИРДАРЁ Саноат 2013-2015йй" xfId="931"/>
    <cellStyle name="_чора-тадбир свод_1па" xfId="932"/>
    <cellStyle name="_чора-тадбир свод_2013-2015 после замени последний" xfId="933"/>
    <cellStyle name="_чора-тадбир свод_67 та жадвал №2" xfId="934"/>
    <cellStyle name="_чора-тадбир свод_67 та жадвал №2_2013-2015 после замени последний" xfId="935"/>
    <cellStyle name="_чора-тадбир свод_67 та жадвал №2_ДАСТУР 2013-2015 йй охиргиси рус" xfId="936"/>
    <cellStyle name="_чора-тадбир свод_67 та жадвал №2_Книга1" xfId="937"/>
    <cellStyle name="_чора-тадбир свод_67 талик жадвал-Иктисод №1" xfId="938"/>
    <cellStyle name="_чора-тадбир свод_67 талик жадвал-Иктисод №1_2013-2015 после замени последний" xfId="939"/>
    <cellStyle name="_чора-тадбир свод_67 талик жадвал-Иктисод №1_ДАСТУР 2013-2015 йй охиргиси рус" xfId="940"/>
    <cellStyle name="_чора-тадбир свод_67 талик жадвал-Иктисод №1_Книга1" xfId="941"/>
    <cellStyle name="_чора-тадбир свод_Import_Forecast(last)_12.09.11 (Ismailovu)" xfId="942"/>
    <cellStyle name="_чора-тадбир свод_Бажарилиши (СВОД)" xfId="943"/>
    <cellStyle name="_чора-тадбир свод_БАЖАРИЛИШИ 1-май" xfId="944"/>
    <cellStyle name="_чора-тадбир свод_БАЖАРИЛИШИ 1-май_2013-2015 после замени последний" xfId="945"/>
    <cellStyle name="_чора-тадбир свод_БАЖАРИЛИШИ 1-май_ДАСТУР 2013-2015 йй охиргиси рус" xfId="946"/>
    <cellStyle name="_чора-тадбир свод_БАЖАРИЛИШИ 1-май_Книга1" xfId="947"/>
    <cellStyle name="_чора-тадбир свод_банк вилоят" xfId="948"/>
    <cellStyle name="_чора-тадбир свод_банк вилоят 2" xfId="949"/>
    <cellStyle name="_чора-тадбир свод_банк вилоят_7 илова" xfId="950"/>
    <cellStyle name="_чора-тадбир свод_банк вилоят_7 илова 2" xfId="951"/>
    <cellStyle name="_чора-тадбир свод_банк вилоят_Хоразм 2013-2015 саноат дастури 12.11.2012. 19-4812" xfId="952"/>
    <cellStyle name="_чора-тадбир свод_Бобир учун 67 талик жадвал-Иктисод" xfId="953"/>
    <cellStyle name="_чора-тадбир свод_Бобир учун 67 талик жадвал-Иктисод_2013-2015 после замени последний" xfId="954"/>
    <cellStyle name="_чора-тадбир свод_Бобир учун 67 талик жадвал-Иктисод_ДАСТУР 2013-2015 йй охиргиси рус" xfId="955"/>
    <cellStyle name="_чора-тадбир свод_Бобир учун 67 талик жадвал-Иктисод_Книга1" xfId="956"/>
    <cellStyle name="_чора-тадбир свод_ДАСТУР 2013-2015 йй охиргиси рус" xfId="957"/>
    <cellStyle name="_чора-тадбир свод_Енг охирги Жиззахдан 2012 йил 2013-2015" xfId="958"/>
    <cellStyle name="_чора-тадбир свод_иктисодга" xfId="959"/>
    <cellStyle name="_чора-тадбир свод_иктисодга_2013-2015 после замени последний" xfId="960"/>
    <cellStyle name="_чора-тадбир свод_иктисодга_ДАСТУР 2013-2015 йй охиргиси рус" xfId="961"/>
    <cellStyle name="_чора-тадбир свод_иктисодга_Книга1" xfId="962"/>
    <cellStyle name="_чора-тадбир свод_Карор буйича 31 октябр" xfId="963"/>
    <cellStyle name="_чора-тадбир свод_Карор буйича 31 октябр 2" xfId="964"/>
    <cellStyle name="_чора-тадбир свод_Карор буйича 31 октябр_7 илова" xfId="965"/>
    <cellStyle name="_чора-тадбир свод_Карор буйича 31 октябр_7 илова 2" xfId="966"/>
    <cellStyle name="_чора-тадбир свод_Карор буйича 31 октябр_Хоразм 2013-2015 саноат дастури 12.11.2012. 19-4812" xfId="967"/>
    <cellStyle name="_чора-тадбир свод_Карор буйича охирги" xfId="968"/>
    <cellStyle name="_чора-тадбир свод_Касаначи 4 ой" xfId="969"/>
    <cellStyle name="_чора-тадбир свод_Касаначи 4 ой_2013-2015 после замени последний" xfId="970"/>
    <cellStyle name="_чора-тадбир свод_Касаначи 4 ой_ДАСТУР 2013-2015 йй охиргиси рус" xfId="971"/>
    <cellStyle name="_чора-тадбир свод_Касаначи 4 ой_Книга1" xfId="972"/>
    <cellStyle name="_чора-тадбир свод_Книга1" xfId="973"/>
    <cellStyle name="_чора-тадбир свод_қишлоқ таррақиёти 82 банд тўлиқ" xfId="974"/>
    <cellStyle name="_чора-тадбир свод_қишлоқ таррақиёти 82 банд тўлиқ_2013-2015 после замени последний" xfId="975"/>
    <cellStyle name="_чора-тадбир свод_қишлоқ таррақиёти 82 банд тўлиқ_ДАСТУР 2013-2015 йй охиргиси рус" xfId="976"/>
    <cellStyle name="_чора-тадбир свод_қишлоқ таррақиёти 82 банд тўлиқ_Книга1" xfId="977"/>
    <cellStyle name="_чора-тадбир свод_Лист2" xfId="978"/>
    <cellStyle name="_чора-тадбир свод_парранда ииискхона балик асал" xfId="979"/>
    <cellStyle name="_чора-тадбир свод_СВОД жадваллар-2009 6 ой" xfId="980"/>
    <cellStyle name="_чора-тадбир свод_СВОД жадваллар-2009 6 ой_1234 СИРДАРЁ Саноат 2013-2015йй" xfId="981"/>
    <cellStyle name="_чора-тадбир свод_СВОД жадваллар-2009 6 ой_Енг охирги Жиззахдан 2012 йил 2013-2015" xfId="982"/>
    <cellStyle name="_чора-тадбир свод_сводная 1 пар (2)" xfId="983"/>
    <cellStyle name="_чора-тадбир свод_Сводная 1па (2)" xfId="984"/>
    <cellStyle name="_чора-тадбир свод_сводная 1пр (2)" xfId="985"/>
    <cellStyle name="_чора-тадбир свод_Сухроб Вилоят свод" xfId="986"/>
    <cellStyle name="_чора-тадбир свод_Сухроб Вилоят свод_2013-2015 после замени последний" xfId="987"/>
    <cellStyle name="_чора-тадбир свод_Сухроб Вилоят свод_ДАСТУР 2013-2015 йй охиргиси рус" xfId="988"/>
    <cellStyle name="_чора-тадбир свод_Сухроб Вилоят свод_Книга1" xfId="989"/>
    <cellStyle name="_чора-тадбир свод_учта туман буйича касана" xfId="990"/>
    <cellStyle name="_чора-тадбир свод_учта туман буйича касана_2013-2015 после замени последний" xfId="991"/>
    <cellStyle name="_чора-тадбир свод_учта туман буйича касана_ДАСТУР 2013-2015 йй охиргиси рус" xfId="992"/>
    <cellStyle name="_чора-тадбир свод_учта туман буйича касана_Книга1" xfId="993"/>
    <cellStyle name="_чора-тадбир свод_форма 1" xfId="994"/>
    <cellStyle name="_чора-тадбир свод_ЯИЎ-сервис" xfId="995"/>
    <cellStyle name="_чора-тадбир свод_ЯИЎ-сервис_2013-2015 после замени последний" xfId="996"/>
    <cellStyle name="_чора-тадбир свод_ЯИЎ-сервис_ДАСТУР 2013-2015 йй охиргиси рус" xfId="997"/>
    <cellStyle name="_чора-тадбир свод_ЯИЎ-сервис_Книга1" xfId="998"/>
    <cellStyle name="”?ќђќ‘ћ‚›‰" xfId="999"/>
    <cellStyle name="”?љ‘?ђћ‚ђќќ›‰" xfId="1000"/>
    <cellStyle name="”€ќђќ‘ћ‚›‰" xfId="1001"/>
    <cellStyle name="”€ќђќ‘ћ‚›‰ 2" xfId="1002"/>
    <cellStyle name="”€ќђќ‘ћ‚›‰ 3" xfId="1003"/>
    <cellStyle name="”€ќђќ‘ћ‚›‰_Бажарилиши (СВОД)" xfId="1004"/>
    <cellStyle name="”€љ‘€ђћ‚ђќќ›‰" xfId="1005"/>
    <cellStyle name="”€љ‘€ђћ‚ђќќ›‰ 2" xfId="1006"/>
    <cellStyle name="”€љ‘€ђћ‚ђќќ›‰ 3" xfId="1007"/>
    <cellStyle name="”€љ‘€ђћ‚ђќќ›‰_Бажарилиши (СВОД)" xfId="1008"/>
    <cellStyle name="”ќђќ‘ћ‚›‰" xfId="1009"/>
    <cellStyle name="”ќђќ‘ћ‚›‰ 2" xfId="1010"/>
    <cellStyle name="”ќђќ‘ћ‚›‰ 3" xfId="1011"/>
    <cellStyle name="”ќђќ‘ћ‚›‰_Бажарилиши (СВОД)" xfId="1012"/>
    <cellStyle name="”љ‘ђћ‚ђќќ›‰" xfId="1013"/>
    <cellStyle name="”љ‘ђћ‚ђќќ›‰ 2" xfId="1014"/>
    <cellStyle name="”љ‘ђћ‚ђќќ›‰ 3" xfId="1015"/>
    <cellStyle name="”љ‘ђћ‚ђќќ›‰_Бажарилиши (СВОД)" xfId="1016"/>
    <cellStyle name="„…ќ…†ќ›‰" xfId="1017"/>
    <cellStyle name="„…ќ…†ќ›‰ 2" xfId="1018"/>
    <cellStyle name="„…ќ…†ќ›‰ 3" xfId="1019"/>
    <cellStyle name="„…ќ…†ќ›‰_Бажарилиши (СВОД)" xfId="1020"/>
    <cellStyle name="„ђ’ђ" xfId="1021"/>
    <cellStyle name="„ђ’ђ 2" xfId="7995"/>
    <cellStyle name="€’ћѓћ‚›‰" xfId="1022"/>
    <cellStyle name="€’ћѓћ‚›‰ 2" xfId="1023"/>
    <cellStyle name="€’ћѓћ‚›‰ 3" xfId="1024"/>
    <cellStyle name="€’ћѓћ‚›‰_Бажарилиши (СВОД)" xfId="1025"/>
    <cellStyle name="‡ђѓћ‹ћ‚ћљ1" xfId="1026"/>
    <cellStyle name="‡ђѓћ‹ћ‚ћљ1 2" xfId="1027"/>
    <cellStyle name="‡ђѓћ‹ћ‚ћљ1 3" xfId="1028"/>
    <cellStyle name="‡ђѓћ‹ћ‚ћљ1_Бажарилиши (СВОД)" xfId="1029"/>
    <cellStyle name="‡ђѓћ‹ћ‚ћљ2" xfId="1030"/>
    <cellStyle name="‡ђѓћ‹ћ‚ћљ2 2" xfId="1031"/>
    <cellStyle name="‡ђѓћ‹ћ‚ћљ2 3" xfId="1032"/>
    <cellStyle name="‡ђѓћ‹ћ‚ћљ2_Бажарилиши (СВОД)" xfId="1033"/>
    <cellStyle name="’ћѓћ‚›‰" xfId="1034"/>
    <cellStyle name="’ћѓћ‚›‰ 2" xfId="1035"/>
    <cellStyle name="’ћѓћ‚›‰ 3" xfId="1036"/>
    <cellStyle name="’ћѓћ‚›‰_Бажарилиши (СВОД)" xfId="1037"/>
    <cellStyle name="" xfId="1038"/>
    <cellStyle name="" xfId="1039"/>
    <cellStyle name="" xfId="1040"/>
    <cellStyle name="" xfId="1041"/>
    <cellStyle name=" 2" xfId="1042"/>
    <cellStyle name=" 2" xfId="1043"/>
    <cellStyle name=" 2" xfId="1044"/>
    <cellStyle name=" 2" xfId="1045"/>
    <cellStyle name=" 3" xfId="1046"/>
    <cellStyle name=" 3" xfId="1047"/>
    <cellStyle name=" 3" xfId="1048"/>
    <cellStyle name=" 3" xfId="1049"/>
    <cellStyle name="_+СВОД  Узбекча Кашкадарё" xfId="1050"/>
    <cellStyle name="_05,06,2007 йилга сводка Дустлик 2" xfId="1051"/>
    <cellStyle name="_05,06,2007 йилга сводка Дустлик 2" xfId="1052"/>
    <cellStyle name="_05,06,2007 йилга сводка Дустлик 2" xfId="1053"/>
    <cellStyle name="_05,06,2007 йилга сводка Дустлик 2 2" xfId="1054"/>
    <cellStyle name="_05,06,2007 йилга сводка Дустлик 2 2" xfId="1055"/>
    <cellStyle name="_05,06,2007 йилга сводка Дустлик 2 2" xfId="1056"/>
    <cellStyle name="_05,06,2007 йилга сводка Дустлик 2 2" xfId="1057"/>
    <cellStyle name="_05,06,2007 йилга сводка Дустлик 2 3" xfId="1058"/>
    <cellStyle name="_05,06,2007 йилга сводка Дустлик 2 3" xfId="1059"/>
    <cellStyle name="_05,06,2007 йилга сводка Дустлик 2 3" xfId="1060"/>
    <cellStyle name="_05,06,2007 йилга сводка Дустлик 2 3" xfId="1061"/>
    <cellStyle name="_1 август 2006 йилдан" xfId="1062"/>
    <cellStyle name="_1 август 2006 йилдан" xfId="1063"/>
    <cellStyle name="_1 август 2006 йилдан" xfId="1064"/>
    <cellStyle name="_1 август 2006 йилдан" xfId="1065"/>
    <cellStyle name="_1 август 2006 йилдан 2" xfId="1066"/>
    <cellStyle name="_1 август 2006 йилдан 2" xfId="1067"/>
    <cellStyle name="_1 август 2006 йилдан 2" xfId="1068"/>
    <cellStyle name="_1 август 2006 йилдан 2" xfId="1069"/>
    <cellStyle name="_1 август 2006 йилдан 3" xfId="1070"/>
    <cellStyle name="_1 август 2006 йилдан 3" xfId="1071"/>
    <cellStyle name="_1 август 2006 йилдан 3" xfId="1072"/>
    <cellStyle name="_1 август 2006 йилдан 3" xfId="1073"/>
    <cellStyle name="_1 август 2006 йилдан_УХКМ ва БИО форма 01. 02. 09" xfId="1074"/>
    <cellStyle name="_1 август 2006 йилдан_УХКМ ва БИО форма 01. 02. 09" xfId="1075"/>
    <cellStyle name="_1 август 2006 йилдан_УХКМ ва БИО форма 01. 02. 09" xfId="1076"/>
    <cellStyle name="_1 август 2006 йилдан_УХКМ ва БИО форма 01. 02. 09" xfId="1077"/>
    <cellStyle name="_1 августга бешта формани бошкатдан тайёрланди" xfId="1078"/>
    <cellStyle name="_1 августга бешта формани бошкатдан тайёрланди" xfId="1079"/>
    <cellStyle name="_1 августга бешта формани бошкатдан тайёрланди" xfId="1080"/>
    <cellStyle name="_1 августга бешта формани бошкатдан тайёрланди" xfId="1081"/>
    <cellStyle name="_1 августга бешта формани бошкатдан тайёрланди 2" xfId="1082"/>
    <cellStyle name="_1 августга бешта формани бошкатдан тайёрланди 2" xfId="1083"/>
    <cellStyle name="_1 августга бешта формани бошкатдан тайёрланди 2" xfId="1084"/>
    <cellStyle name="_1 августга бешта формани бошкатдан тайёрланди 2" xfId="1085"/>
    <cellStyle name="_1 августга бешта формани бошкатдан тайёрланди 3" xfId="1086"/>
    <cellStyle name="_1 августга бешта формани бошкатдан тайёрланди 3" xfId="1087"/>
    <cellStyle name="_1 августга бешта формани бошкатдан тайёрланди 3" xfId="1088"/>
    <cellStyle name="_1 августга бешта формани бошкатдан тайёрланди 3" xfId="1089"/>
    <cellStyle name="_1 августга бешта формани бошкатдан тайёрланди_УХКМ ва БИО форма 01. 02. 09" xfId="1090"/>
    <cellStyle name="_1 августга бешта формани бошкатдан тайёрланди_УХКМ ва БИО форма 01. 02. 09" xfId="1091"/>
    <cellStyle name="_1 августга бешта формани бошкатдан тайёрланди_УХКМ ва БИО форма 01. 02. 09" xfId="1092"/>
    <cellStyle name="_1 августга бешта формани бошкатдан тайёрланди_УХКМ ва БИО форма 01. 02. 09" xfId="1093"/>
    <cellStyle name="_1 кв ФАКТОР" xfId="1094"/>
    <cellStyle name="_1 кв ФАКТОР" xfId="1095"/>
    <cellStyle name="_1 кв ФАКТОР_Import_Forecast(last)_12.09.11 (Ismailovu)" xfId="1096"/>
    <cellStyle name="_1 кв ФАКТОР_Import_Forecast(last)_12.09.11 (Ismailovu)" xfId="1097"/>
    <cellStyle name="_12.05.06" xfId="1098"/>
    <cellStyle name="_12.05.06" xfId="1099"/>
    <cellStyle name="_12.05.06" xfId="1100"/>
    <cellStyle name="_12.05.06" xfId="1101"/>
    <cellStyle name="_12.05.06 2" xfId="1102"/>
    <cellStyle name="_12.05.06 2" xfId="1103"/>
    <cellStyle name="_12.05.06 3" xfId="1104"/>
    <cellStyle name="_12.05.06 3" xfId="1105"/>
    <cellStyle name="_12.05.06_2008 ОКТЯБР ишчи жадвал формула" xfId="1106"/>
    <cellStyle name="_12.05.06_2008 ОКТЯБР ишчи жадвал формула" xfId="1107"/>
    <cellStyle name="_12.05.06_2008 ОКТЯБР ишчи жадвал формула_2008 йил 1-декабр-сводлар-узгарди" xfId="1108"/>
    <cellStyle name="_12.05.06_2008 ОКТЯБР ишчи жадвал формула_2008 йил 1-декабр-сводлар-узгарди" xfId="1109"/>
    <cellStyle name="_12.05.06_2008 ОКТЯБР ишчи жадвал формула_2008 йил 1-ноябр-баланс билан" xfId="1110"/>
    <cellStyle name="_12.05.06_2008 ОКТЯБР ишчи жадвал формула_2008 йил 1-ноябр-баланс билан" xfId="1111"/>
    <cellStyle name="_12.05.06_2008_iil_APREL_ishchi_zhadval_formula2-СВОД" xfId="1112"/>
    <cellStyle name="_12.05.06_2008_iil_APREL_ishchi_zhadval_formula2-СВОД" xfId="1113"/>
    <cellStyle name="_12.05.06_2008_iil_APREL_ishchi_zhadval_formula2-СВОД" xfId="1114"/>
    <cellStyle name="_12.05.06_2008_iil_APREL_ishchi_zhadval_formula2-СВОД" xfId="1115"/>
    <cellStyle name="_12.05.06_Апрел кр такс иш хаки тулик 5.04.08 МБ га" xfId="1116"/>
    <cellStyle name="_12.05.06_Апрел кр такс иш хаки тулик 5.04.08 МБ га" xfId="1117"/>
    <cellStyle name="_12.05.06_Апрел кр такс иш хаки тулик 5.04.08 МБ га" xfId="1118"/>
    <cellStyle name="_12.05.06_Апрел кр такс иш хаки тулик 5.04.08 МБ га" xfId="1119"/>
    <cellStyle name="_12.05.06_ЛИЗИНГ МОНИТОРИНГИ-1.11.08й русумлар буйича" xfId="1120"/>
    <cellStyle name="_12.05.06_ЛИЗИНГ МОНИТОРИНГИ-1.11.08й русумлар буйича" xfId="1121"/>
    <cellStyle name="_12.05.06_ЛИЗИНГ МОНИТОРИНГИ-1.11.08й русумлар буйича" xfId="1122"/>
    <cellStyle name="_12.05.06_ЛИЗИНГ МОНИТОРИНГИ-1.11.08й русумлар буйича" xfId="1123"/>
    <cellStyle name="_12.05.06_УХКМ ва БИО форма 01. 02. 09" xfId="1124"/>
    <cellStyle name="_12.05.06_УХКМ ва БИО форма 01. 02. 09" xfId="1125"/>
    <cellStyle name="_12.05.06_УХКМ ва БИО форма 01. 02. 09" xfId="1126"/>
    <cellStyle name="_12.05.06_УХКМ ва БИО форма 01. 02. 09" xfId="1127"/>
    <cellStyle name="_15-05-07 га форма" xfId="1128"/>
    <cellStyle name="_15-05-07 га форма" xfId="1129"/>
    <cellStyle name="_15-05-07 га форма" xfId="1130"/>
    <cellStyle name="_15-05-07 га форма" xfId="1131"/>
    <cellStyle name="_15-05-07 га форма 2" xfId="1132"/>
    <cellStyle name="_15-05-07 га форма 2" xfId="1133"/>
    <cellStyle name="_15-05-07 га форма 2" xfId="1134"/>
    <cellStyle name="_15-05-07 га форма 2" xfId="1135"/>
    <cellStyle name="_15-05-07 га форма 3" xfId="1136"/>
    <cellStyle name="_15-05-07 га форма 3" xfId="1137"/>
    <cellStyle name="_15-05-07 га форма 3" xfId="1138"/>
    <cellStyle name="_15-05-07 га форма 3" xfId="1139"/>
    <cellStyle name="_15-05-07 га форма_УХКМ ва БИО форма 01. 02. 09" xfId="1140"/>
    <cellStyle name="_15-05-07 га форма_УХКМ ва БИО форма 01. 02. 09" xfId="1141"/>
    <cellStyle name="_15-05-07 га форма_УХКМ ва БИО форма 01. 02. 09" xfId="1142"/>
    <cellStyle name="_15-05-07 га форма_УХКМ ва БИО форма 01. 02. 09" xfId="1143"/>
    <cellStyle name="_17,09,2006" xfId="1144"/>
    <cellStyle name="_17,09,2006" xfId="1145"/>
    <cellStyle name="_17,09,2006" xfId="1146"/>
    <cellStyle name="_17,09,2006" xfId="1147"/>
    <cellStyle name="_17,09,2006 2" xfId="1148"/>
    <cellStyle name="_17,09,2006 2" xfId="1149"/>
    <cellStyle name="_17,09,2006 3" xfId="1150"/>
    <cellStyle name="_17,09,2006 3" xfId="1151"/>
    <cellStyle name="_17,09,2006_УХКМ ва БИО форма 01. 02. 09" xfId="1152"/>
    <cellStyle name="_17,09,2006_УХКМ ва БИО форма 01. 02. 09" xfId="1153"/>
    <cellStyle name="_17,09,2006_УХКМ ва БИО форма 01. 02. 09" xfId="1154"/>
    <cellStyle name="_17,09,2006_УХКМ ва БИО форма 01. 02. 09" xfId="1155"/>
    <cellStyle name="_18 жадвал сан" xfId="1156"/>
    <cellStyle name="_18 жадвал сан" xfId="1157"/>
    <cellStyle name="_18 жадвал сан_10" xfId="1158"/>
    <cellStyle name="_18 жадвал сан_10" xfId="1159"/>
    <cellStyle name="_18 жадвал сан_Карор буйича охирги" xfId="1160"/>
    <cellStyle name="_18 жадвал сан_Карор буйича охирги" xfId="1161"/>
    <cellStyle name="_18 жадвал сан_Кашкадарё 22.11.10." xfId="1162"/>
    <cellStyle name="_18 жадвал сан_Кашкадарё 22.11.10." xfId="1163"/>
    <cellStyle name="_18 жадвал сан_Кашкадарё охиргиси 26.08.10." xfId="1164"/>
    <cellStyle name="_18 жадвал сан_Кашкадарё охиргиси 26.08.10." xfId="1165"/>
    <cellStyle name="_18 жадвал сан_Кашкадарё ЯНГИ" xfId="1166"/>
    <cellStyle name="_18 жадвал сан_Кашкадарё ЯНГИ" xfId="1167"/>
    <cellStyle name="_18 жадвал сан_Кашкадарья экспорт  2011-2015 гг Отабекка" xfId="1168"/>
    <cellStyle name="_18 жадвал сан_Кашкадарья экспорт  2011-2015 гг Отабекка" xfId="1169"/>
    <cellStyle name="_18 жадвал сан_Кашкадарья экспорт  2011-2015 гг Отабекка 2" xfId="1170"/>
    <cellStyle name="_18 жадвал сан_Кашкадарья экспорт  2011-2015 гг Отабекка 2" xfId="1171"/>
    <cellStyle name="_18 жадвал сан_Кашкадарья экспорт  2011-2015 гг Отабекка 3" xfId="1172"/>
    <cellStyle name="_18 жадвал сан_Кашкадарья экспорт  2011-2015 гг Отабекка 3" xfId="1173"/>
    <cellStyle name="_18 жадвал сан_Кашкадарья экспорт  2011-2015 гг Отабекка 4" xfId="1174"/>
    <cellStyle name="_18 жадвал сан_Кашкадарья экспорт  2011-2015 гг Отабекка 4" xfId="1175"/>
    <cellStyle name="_18 жадвал сан_Кашкадарья экспорт  2011-2015 гг Отабекка_7 илова" xfId="1176"/>
    <cellStyle name="_18 жадвал сан_Кашкадарья экспорт  2011-2015 гг Отабекка_7 илова" xfId="1177"/>
    <cellStyle name="_18 жадвал сан_Кашкадарья экспорт  2011-2015 гг Отабекка_7 илова 2" xfId="1178"/>
    <cellStyle name="_18 жадвал сан_Кашкадарья экспорт  2011-2015 гг Отабекка_7 илова 2" xfId="1179"/>
    <cellStyle name="_18 жадвал сан_Кашкадарья экспорт  2011-2015 гг Отабекка_7 илова 3" xfId="1180"/>
    <cellStyle name="_18 жадвал сан_Кашкадарья экспорт  2011-2015 гг Отабекка_7 илова 3" xfId="1181"/>
    <cellStyle name="_18 жадвал сан_Кашкадарья экспорт  2011-2015 гг Отабекка_7 илова 4" xfId="1182"/>
    <cellStyle name="_18 жадвал сан_Кашкадарья экспорт  2011-2015 гг Отабекка_7 илова 4" xfId="1183"/>
    <cellStyle name="_18 жадвал сан_Кашкадарья экспорт  2011-2015 гг Отабекка_Хоразм 2013-2015 саноат дастури 12.11.2012. 19-4812" xfId="1184"/>
    <cellStyle name="_18 жадвал сан_Кашкадарья экспорт  2011-2015 гг Отабекка_Хоразм 2013-2015 саноат дастури 12.11.2012. 19-4812" xfId="1185"/>
    <cellStyle name="_18 жадвал сан_Макет 11-15 Кашкадарё охиргиси 27.08.10." xfId="1186"/>
    <cellStyle name="_18 жадвал сан_Макет 11-15 Кашкадарё охиргиси 27.08.10." xfId="1187"/>
    <cellStyle name="_18 жадвал сан_Макет 11-15 Охиргиси" xfId="1188"/>
    <cellStyle name="_18 жадвал сан_Макет 11-15 Охиргиси" xfId="1189"/>
    <cellStyle name="_18 жадвал сан_Макет 16.08 Кашкадарё..янги" xfId="1190"/>
    <cellStyle name="_18 жадвал сан_Макет 16.08 Кашкадарё..янги" xfId="1191"/>
    <cellStyle name="_18 жадвал сан_Макет 7.08" xfId="1192"/>
    <cellStyle name="_18 жадвал сан_Макет 7.08" xfId="1193"/>
    <cellStyle name="_18 жадвал сан_Макет 7.08 2" xfId="1194"/>
    <cellStyle name="_18 жадвал сан_Макет 7.08 2" xfId="1195"/>
    <cellStyle name="_18 жадвал сан_Макет 7.08 3" xfId="1196"/>
    <cellStyle name="_18 жадвал сан_Макет 7.08 3" xfId="1197"/>
    <cellStyle name="_18 жадвал сан_Макет 7.08 4" xfId="1198"/>
    <cellStyle name="_18 жадвал сан_Макет 7.08 4" xfId="1199"/>
    <cellStyle name="_18 жадвал сан_Макет 7.08_7 илова" xfId="1200"/>
    <cellStyle name="_18 жадвал сан_Макет 7.08_7 илова" xfId="1201"/>
    <cellStyle name="_18 жадвал сан_Макет 7.08_7 илова 2" xfId="1202"/>
    <cellStyle name="_18 жадвал сан_Макет 7.08_7 илова 2" xfId="1203"/>
    <cellStyle name="_18 жадвал сан_Макет 7.08_7 илова 3" xfId="1204"/>
    <cellStyle name="_18 жадвал сан_Макет 7.08_7 илова 3" xfId="1205"/>
    <cellStyle name="_18 жадвал сан_Макет 7.08_7 илова 4" xfId="1206"/>
    <cellStyle name="_18 жадвал сан_Макет 7.08_7 илова 4" xfId="1207"/>
    <cellStyle name="_18 жадвал сан_Макет 7.08_Хоразм 2013-2015 саноат дастури 12.11.2012. 19-4812" xfId="1208"/>
    <cellStyle name="_18 жадвал сан_Макет 7.08_Хоразм 2013-2015 саноат дастури 12.11.2012. 19-4812" xfId="1209"/>
    <cellStyle name="_18 жадвал сан_Наманган 2011-15  САНОАТ ДАСТУРИ" xfId="1210"/>
    <cellStyle name="_18 жадвал сан_Наманган 2011-15  САНОАТ ДАСТУРИ" xfId="1211"/>
    <cellStyle name="_18 жадвал сан_Наманган 2011-15  САНОАТ ДАСТУРИ 2" xfId="1212"/>
    <cellStyle name="_18 жадвал сан_Наманган 2011-15  САНОАТ ДАСТУРИ 2" xfId="1213"/>
    <cellStyle name="_18 жадвал сан_Наманган 2011-15  САНОАТ ДАСТУРИ 3" xfId="1214"/>
    <cellStyle name="_18 жадвал сан_Наманган 2011-15  САНОАТ ДАСТУРИ 3" xfId="1215"/>
    <cellStyle name="_18 жадвал сан_Наманган 2011-15  САНОАТ ДАСТУРИ 4" xfId="1216"/>
    <cellStyle name="_18 жадвал сан_Наманган 2011-15  САНОАТ ДАСТУРИ 4" xfId="1217"/>
    <cellStyle name="_18 жадвал сан_Наманган 2011-15  САНОАТ ДАСТУРИ_7 илова" xfId="1218"/>
    <cellStyle name="_18 жадвал сан_Наманган 2011-15  САНОАТ ДАСТУРИ_7 илова" xfId="1219"/>
    <cellStyle name="_18 жадвал сан_Наманган 2011-15  САНОАТ ДАСТУРИ_7 илова 2" xfId="1220"/>
    <cellStyle name="_18 жадвал сан_Наманган 2011-15  САНОАТ ДАСТУРИ_7 илова 2" xfId="1221"/>
    <cellStyle name="_18 жадвал сан_Наманган 2011-15  САНОАТ ДАСТУРИ_7 илова 3" xfId="1222"/>
    <cellStyle name="_18 жадвал сан_Наманган 2011-15  САНОАТ ДАСТУРИ_7 илова 3" xfId="1223"/>
    <cellStyle name="_18 жадвал сан_Наманган 2011-15  САНОАТ ДАСТУРИ_7 илова 4" xfId="1224"/>
    <cellStyle name="_18 жадвал сан_Наманган 2011-15  САНОАТ ДАСТУРИ_7 илова 4" xfId="1225"/>
    <cellStyle name="_18 жадвал сан_Наманган 2011-15  САНОАТ ДАСТУРИ_Хоразм 2013-2015 саноат дастури 12.11.2012. 19-4812" xfId="1226"/>
    <cellStyle name="_18 жадвал сан_Наманган 2011-15  САНОАТ ДАСТУРИ_Хоразм 2013-2015 саноат дастури 12.11.2012. 19-4812" xfId="1227"/>
    <cellStyle name="_1q2010" xfId="1228"/>
    <cellStyle name="_1q2010" xfId="1229"/>
    <cellStyle name="_1-кисм 1-свод" xfId="1230"/>
    <cellStyle name="_1-кисм 1-свод" xfId="1231"/>
    <cellStyle name="_2006 йил хосили учун чиким Счёт фактура" xfId="1232"/>
    <cellStyle name="_2006 йил хосили учун чиким Счёт фактура" xfId="1233"/>
    <cellStyle name="_2006 йил хосили учун чиким Счёт фактура" xfId="1234"/>
    <cellStyle name="_2006 йил хосили учун чиким Счёт фактура" xfId="1235"/>
    <cellStyle name="_2006 йил хосили учун чиким Счёт фактура 2" xfId="1236"/>
    <cellStyle name="_2006 йил хосили учун чиким Счёт фактура 2" xfId="1237"/>
    <cellStyle name="_2006 йил хосили учун чиким Счёт фактура 2" xfId="1238"/>
    <cellStyle name="_2006 йил хосили учун чиким Счёт фактура 2" xfId="1239"/>
    <cellStyle name="_2006 йил хосили учун чиким Счёт фактура 3" xfId="1240"/>
    <cellStyle name="_2006 йил хосили учун чиким Счёт фактура 3" xfId="1241"/>
    <cellStyle name="_2006 йил хосили учун чиким Счёт фактура 3" xfId="1242"/>
    <cellStyle name="_2006 йил хосили учун чиким Счёт фактура 3" xfId="1243"/>
    <cellStyle name="_2006 йил хосили учун чиким Счёт фактура_2008 ОКТЯБР ишчи жадвал формула" xfId="1244"/>
    <cellStyle name="_2006 йил хосили учун чиким Счёт фактура_2008 ОКТЯБР ишчи жадвал формула" xfId="1245"/>
    <cellStyle name="_2006 йил хосили учун чиким Счёт фактура_2008 ОКТЯБР ишчи жадвал формула" xfId="1246"/>
    <cellStyle name="_2006 йил хосили учун чиким Счёт фактура_2008 ОКТЯБР ишчи жадвал формула" xfId="1247"/>
    <cellStyle name="_2006 йил хосили учун чиким Счёт фактура_2008 ОКТЯБР ишчи жадвал формула_2008 йил 1-декабр-сводлар-узгарди" xfId="1248"/>
    <cellStyle name="_2006 йил хосили учун чиким Счёт фактура_2008 ОКТЯБР ишчи жадвал формула_2008 йил 1-декабр-сводлар-узгарди" xfId="1249"/>
    <cellStyle name="_2006 йил хосили учун чиким Счёт фактура_2008 ОКТЯБР ишчи жадвал формула_2008 йил 1-декабр-сводлар-узгарди" xfId="1250"/>
    <cellStyle name="_2006 йил хосили учун чиким Счёт фактура_2008 ОКТЯБР ишчи жадвал формула_2008 йил 1-декабр-сводлар-узгарди" xfId="1251"/>
    <cellStyle name="_2006 йил хосили учун чиким Счёт фактура_2008 ОКТЯБР ишчи жадвал формула_2008 йил 1-ноябр-баланс билан" xfId="1252"/>
    <cellStyle name="_2006 йил хосили учун чиким Счёт фактура_2008 ОКТЯБР ишчи жадвал формула_2008 йил 1-ноябр-баланс билан" xfId="1253"/>
    <cellStyle name="_2006 йил хосили учун чиким Счёт фактура_2008 ОКТЯБР ишчи жадвал формула_2008 йил 1-ноябр-баланс билан" xfId="1254"/>
    <cellStyle name="_2006 йил хосили учун чиким Счёт фактура_2008 ОКТЯБР ишчи жадвал формула_2008 йил 1-ноябр-баланс билан" xfId="1255"/>
    <cellStyle name="_2006 йил хосили учун чиким Счёт фактура_2008_iil_APREL_ishchi_zhadval_formula2-СВОД" xfId="1256"/>
    <cellStyle name="_2006 йил хосили учун чиким Счёт фактура_2008_iil_APREL_ishchi_zhadval_formula2-СВОД" xfId="1257"/>
    <cellStyle name="_2006 йил хосили учун чиким Счёт фактура_2008_iil_APREL_ishchi_zhadval_formula2-СВОД" xfId="1258"/>
    <cellStyle name="_2006 йил хосили учун чиким Счёт фактура_2008_iil_APREL_ishchi_zhadval_formula2-СВОД" xfId="1259"/>
    <cellStyle name="_2006 йил хосили учун чиким Счёт фактура_Апрел кр такс иш хаки тулик 5.04.08 МБ га" xfId="1260"/>
    <cellStyle name="_2006 йил хосили учун чиким Счёт фактура_Апрел кр такс иш хаки тулик 5.04.08 МБ га" xfId="1261"/>
    <cellStyle name="_2006 йил хосили учун чиким Счёт фактура_Апрел кр такс иш хаки тулик 5.04.08 МБ га" xfId="1262"/>
    <cellStyle name="_2006 йил хосили учун чиким Счёт фактура_Апрел кр такс иш хаки тулик 5.04.08 МБ га" xfId="1263"/>
    <cellStyle name="_2006 йил хосили учун чиким Счёт фактура_ЛИЗИНГ МОНИТОРИНГИ-1.11.08й русумлар буйича" xfId="1264"/>
    <cellStyle name="_2006 йил хосили учун чиким Счёт фактура_ЛИЗИНГ МОНИТОРИНГИ-1.11.08й русумлар буйича" xfId="1265"/>
    <cellStyle name="_2006 йил хосили учун чиким Счёт фактура_ЛИЗИНГ МОНИТОРИНГИ-1.11.08й русумлар буйича" xfId="1266"/>
    <cellStyle name="_2006 йил хосили учун чиким Счёт фактура_ЛИЗИНГ МОНИТОРИНГИ-1.11.08й русумлар буйича" xfId="1267"/>
    <cellStyle name="_2006 йил хосили учун чиким Счёт фактура_УХКМ ва БИО форма 01. 02. 09" xfId="1268"/>
    <cellStyle name="_2006 йил хосили учун чиким Счёт фактура_УХКМ ва БИО форма 01. 02. 09" xfId="1269"/>
    <cellStyle name="_2006 йил хосили учун чиким Счёт фактура_УХКМ ва БИО форма 01. 02. 09" xfId="1270"/>
    <cellStyle name="_2006 йил хосили учун чиким Счёт фактура_УХКМ ва БИО форма 01. 02. 09" xfId="1271"/>
    <cellStyle name="_2007 йил январ чиким котди" xfId="1272"/>
    <cellStyle name="_2007 йил январ чиким котди" xfId="1273"/>
    <cellStyle name="_2007 йил январ чиким котди" xfId="1274"/>
    <cellStyle name="_2007 йил январ чиким котди" xfId="1275"/>
    <cellStyle name="_2007 йил январ чиким котди 2" xfId="1276"/>
    <cellStyle name="_2007 йил январ чиким котди 2" xfId="1277"/>
    <cellStyle name="_2007 йил январ чиким котди 2" xfId="1278"/>
    <cellStyle name="_2007 йил январ чиким котди 2" xfId="1279"/>
    <cellStyle name="_2007 йил январ чиким котди 3" xfId="1280"/>
    <cellStyle name="_2007 йил январ чиким котди 3" xfId="1281"/>
    <cellStyle name="_2007 йил январ чиким котди 3" xfId="1282"/>
    <cellStyle name="_2007 йил январ чиким котди 3" xfId="1283"/>
    <cellStyle name="_2007 йил январ чиким котди_УХКМ ва БИО форма 01. 02. 09" xfId="1284"/>
    <cellStyle name="_2007 йил январ чиким котди_УХКМ ва БИО форма 01. 02. 09" xfId="1285"/>
    <cellStyle name="_2007 йил январ чиким котди_УХКМ ва БИО форма 01. 02. 09" xfId="1286"/>
    <cellStyle name="_2007 йил январ чиким котди_УХКМ ва БИО форма 01. 02. 09" xfId="1287"/>
    <cellStyle name="_2008 ОКТЯБР ишчи жадвал формула" xfId="1288"/>
    <cellStyle name="_2008 ОКТЯБР ишчи жадвал формула" xfId="1289"/>
    <cellStyle name="_2008 ОКТЯБР ишчи жадвал формула" xfId="1290"/>
    <cellStyle name="_2008 ОКТЯБР ишчи жадвал формула" xfId="1291"/>
    <cellStyle name="_2008 ОКТЯБР ишчи жадвал формула_2008 йил 1-декабр-сводлар-узгарди" xfId="1292"/>
    <cellStyle name="_2008 ОКТЯБР ишчи жадвал формула_2008 йил 1-декабр-сводлар-узгарди" xfId="1293"/>
    <cellStyle name="_2008 ОКТЯБР ишчи жадвал формула_2008 йил 1-декабр-сводлар-узгарди" xfId="1294"/>
    <cellStyle name="_2008 ОКТЯБР ишчи жадвал формула_2008 йил 1-декабр-сводлар-узгарди" xfId="1295"/>
    <cellStyle name="_2008 ОКТЯБР ишчи жадвал формула_2008 йил 1-ноябр-баланс билан" xfId="1296"/>
    <cellStyle name="_2008 ОКТЯБР ишчи жадвал формула_2008 йил 1-ноябр-баланс билан" xfId="1297"/>
    <cellStyle name="_2008 ОКТЯБР ишчи жадвал формула_2008 йил 1-ноябр-баланс билан" xfId="1298"/>
    <cellStyle name="_2008 ОКТЯБР ишчи жадвал формула_2008 йил 1-ноябр-баланс билан" xfId="1299"/>
    <cellStyle name="_2008 ФЕВРАЛ ишчи жадвал формула СВОД" xfId="1300"/>
    <cellStyle name="_2008 ФЕВРАЛ ишчи жадвал формула СВОД" xfId="1301"/>
    <cellStyle name="_2008 ФЕВРАЛ ишчи жадвал формула СВОД" xfId="1302"/>
    <cellStyle name="_2008 ФЕВРАЛ ишчи жадвал формула СВОД" xfId="1303"/>
    <cellStyle name="_2008_iil_APREL_ishchi_zhadval_formula2-СВОД" xfId="1304"/>
    <cellStyle name="_2008_iil_APREL_ishchi_zhadval_formula2-СВОД" xfId="1305"/>
    <cellStyle name="_2008_iil_APREL_ishchi_zhadval_formula2-СВОД" xfId="1306"/>
    <cellStyle name="_2008_iil_APREL_ishchi_zhadval_formula2-СВОД" xfId="1307"/>
    <cellStyle name="_2010 йил 1-ярим йиллик лойихалар" xfId="1308"/>
    <cellStyle name="_2010 йил 1-ярим йиллик лойихалар" xfId="1309"/>
    <cellStyle name="_232 ижроси" xfId="1310"/>
    <cellStyle name="_232 ижроси" xfId="1311"/>
    <cellStyle name="_232 ижроси_Салохият 47та 24.07.2012" xfId="1312"/>
    <cellStyle name="_232 ижроси_Салохият 47та 24.07.2012" xfId="1313"/>
    <cellStyle name="_232 ижроси_Саноат Салохият 02.10.2012й ҳолатига" xfId="1314"/>
    <cellStyle name="_232 ижроси_Саноат Салохият 02.10.2012й ҳолатига" xfId="1315"/>
    <cellStyle name="_232 ижроси_Саноат Салохият 03.10.2012й ҳолатига" xfId="1316"/>
    <cellStyle name="_232 ижроси_Саноат Салохият 03.10.2012й ҳолатига" xfId="1317"/>
    <cellStyle name="_232 ижроси_Саноат Салохият 47 та 06.10.2012й ҳолатига" xfId="1318"/>
    <cellStyle name="_232 ижроси_Саноат Салохият 47 та 06.10.2012й ҳолатига" xfId="1319"/>
    <cellStyle name="_232 ижроси_Саноат Салохият 47а та 06.10.2012й ҳолатига" xfId="1320"/>
    <cellStyle name="_232 ижроси_Саноат Салохият 47а та 06.10.2012й ҳолатига" xfId="1321"/>
    <cellStyle name="_232 ижроси_СИРДАРЁ СС 05.07.2012й ҳолатига" xfId="1322"/>
    <cellStyle name="_232 ижроси_СИРДАРЁ СС 05.07.2012й ҳолатига" xfId="1323"/>
    <cellStyle name="_3 Сводка 16,04,07" xfId="1324"/>
    <cellStyle name="_3 Сводка 16,04,07" xfId="1325"/>
    <cellStyle name="_3 Сводка 16,04,07" xfId="1326"/>
    <cellStyle name="_3 Сводка 16,04,07" xfId="1327"/>
    <cellStyle name="_3 Сводка 16,04,07 2" xfId="1328"/>
    <cellStyle name="_3 Сводка 16,04,07 2" xfId="1329"/>
    <cellStyle name="_3 Сводка 16,04,07 2" xfId="1330"/>
    <cellStyle name="_3 Сводка 16,04,07 2" xfId="1331"/>
    <cellStyle name="_3 Сводка 16,04,07 3" xfId="1332"/>
    <cellStyle name="_3 Сводка 16,04,07 3" xfId="1333"/>
    <cellStyle name="_3 Сводка 16,04,07 3" xfId="1334"/>
    <cellStyle name="_3 Сводка 16,04,07 3" xfId="1335"/>
    <cellStyle name="_3 Сводка 16,04,07_2008 ОКТЯБР ишчи жадвал формула" xfId="1336"/>
    <cellStyle name="_3 Сводка 16,04,07_2008 ОКТЯБР ишчи жадвал формула" xfId="1337"/>
    <cellStyle name="_3 Сводка 16,04,07_2008 ОКТЯБР ишчи жадвал формула" xfId="1338"/>
    <cellStyle name="_3 Сводка 16,04,07_2008 ОКТЯБР ишчи жадвал формула" xfId="1339"/>
    <cellStyle name="_3 Сводка 16,04,07_2008 ОКТЯБР ишчи жадвал формула_2008 йил 1-декабр-сводлар-узгарди" xfId="1340"/>
    <cellStyle name="_3 Сводка 16,04,07_2008 ОКТЯБР ишчи жадвал формула_2008 йил 1-декабр-сводлар-узгарди" xfId="1341"/>
    <cellStyle name="_3 Сводка 16,04,07_2008 ОКТЯБР ишчи жадвал формула_2008 йил 1-декабр-сводлар-узгарди" xfId="1342"/>
    <cellStyle name="_3 Сводка 16,04,07_2008 ОКТЯБР ишчи жадвал формула_2008 йил 1-декабр-сводлар-узгарди" xfId="1343"/>
    <cellStyle name="_3 Сводка 16,04,07_2008 ОКТЯБР ишчи жадвал формула_2008 йил 1-ноябр-баланс билан" xfId="1344"/>
    <cellStyle name="_3 Сводка 16,04,07_2008 ОКТЯБР ишчи жадвал формула_2008 йил 1-ноябр-баланс билан" xfId="1345"/>
    <cellStyle name="_3 Сводка 16,04,07_2008 ОКТЯБР ишчи жадвал формула_2008 йил 1-ноябр-баланс билан" xfId="1346"/>
    <cellStyle name="_3 Сводка 16,04,07_2008 ОКТЯБР ишчи жадвал формула_2008 йил 1-ноябр-баланс билан" xfId="1347"/>
    <cellStyle name="_3 Сводка 16,04,07_2008_iil_APREL_ishchi_zhadval_formula2-СВОД" xfId="1348"/>
    <cellStyle name="_3 Сводка 16,04,07_2008_iil_APREL_ishchi_zhadval_formula2-СВОД" xfId="1349"/>
    <cellStyle name="_3 Сводка 16,04,07_2008_iil_APREL_ishchi_zhadval_formula2-СВОД" xfId="1350"/>
    <cellStyle name="_3 Сводка 16,04,07_2008_iil_APREL_ishchi_zhadval_formula2-СВОД" xfId="1351"/>
    <cellStyle name="_3 Сводка 16,04,07_Апрел кр такс иш хаки тулик 5.04.08 МБ га" xfId="1352"/>
    <cellStyle name="_3 Сводка 16,04,07_Апрел кр такс иш хаки тулик 5.04.08 МБ га" xfId="1353"/>
    <cellStyle name="_3 Сводка 16,04,07_Апрел кр такс иш хаки тулик 5.04.08 МБ га" xfId="1354"/>
    <cellStyle name="_3 Сводка 16,04,07_Апрел кр такс иш хаки тулик 5.04.08 МБ га" xfId="1355"/>
    <cellStyle name="_3 Сводка 16,04,07_ЛИЗИНГ МОНИТОРИНГИ-1.11.08й русумлар буйича" xfId="1356"/>
    <cellStyle name="_3 Сводка 16,04,07_ЛИЗИНГ МОНИТОРИНГИ-1.11.08й русумлар буйича" xfId="1357"/>
    <cellStyle name="_3 Сводка 16,04,07_ЛИЗИНГ МОНИТОРИНГИ-1.11.08й русумлар буйича" xfId="1358"/>
    <cellStyle name="_3 Сводка 16,04,07_ЛИЗИНГ МОНИТОРИНГИ-1.11.08й русумлар буйича" xfId="1359"/>
    <cellStyle name="_3 Сводка 16,04,07_УХКМ ва БИО форма 01. 02. 09" xfId="1360"/>
    <cellStyle name="_3 Сводка 16,04,07_УХКМ ва БИО форма 01. 02. 09" xfId="1361"/>
    <cellStyle name="_3 Сводка 16,04,07_УХКМ ва БИО форма 01. 02. 09" xfId="1362"/>
    <cellStyle name="_3 Сводка 16,04,07_УХКМ ва БИО форма 01. 02. 09" xfId="1363"/>
    <cellStyle name="_Import_Forecast(last)_12.09.11 (Ismailovu)" xfId="1364"/>
    <cellStyle name="_Import_Forecast(last)_12.09.11 (Ismailovu)" xfId="1365"/>
    <cellStyle name="_MONITOR 08-05-07 Вилоятга" xfId="1366"/>
    <cellStyle name="_MONITOR 08-05-07 Вилоятга" xfId="1367"/>
    <cellStyle name="_MONITOR 08-05-07 Вилоятга" xfId="1368"/>
    <cellStyle name="_MONITOR 08-05-07 Вилоятга" xfId="1369"/>
    <cellStyle name="_MONITOR 08-05-07 Вилоятга 2" xfId="1370"/>
    <cellStyle name="_MONITOR 08-05-07 Вилоятга 2" xfId="1371"/>
    <cellStyle name="_MONITOR 08-05-07 Вилоятга 2" xfId="1372"/>
    <cellStyle name="_MONITOR 08-05-07 Вилоятга 2" xfId="1373"/>
    <cellStyle name="_MONITOR 08-05-07 Вилоятга 3" xfId="1374"/>
    <cellStyle name="_MONITOR 08-05-07 Вилоятга 3" xfId="1375"/>
    <cellStyle name="_MONITOR 08-05-07 Вилоятга 3" xfId="1376"/>
    <cellStyle name="_MONITOR 08-05-07 Вилоятга 3" xfId="1377"/>
    <cellStyle name="_MONITOR 08-05-07 Вилоятга_УХКМ ва БИО форма 01. 02. 09" xfId="1378"/>
    <cellStyle name="_MONITOR 08-05-07 Вилоятга_УХКМ ва БИО форма 01. 02. 09" xfId="1379"/>
    <cellStyle name="_MONITOR 08-05-07 Вилоятга_УХКМ ва БИО форма 01. 02. 09" xfId="1380"/>
    <cellStyle name="_MONITOR 08-05-07 Вилоятга_УХКМ ва БИО форма 01. 02. 09" xfId="1381"/>
    <cellStyle name="_MONITOR 15-05-07 ВилоятгаААА" xfId="1382"/>
    <cellStyle name="_MONITOR 15-05-07 ВилоятгаААА" xfId="1383"/>
    <cellStyle name="_MONITOR 15-05-07 ВилоятгаААА" xfId="1384"/>
    <cellStyle name="_MONITOR 15-05-07 ВилоятгаААА" xfId="1385"/>
    <cellStyle name="_MONITOR 15-05-07 ВилоятгаААА 2" xfId="1386"/>
    <cellStyle name="_MONITOR 15-05-07 ВилоятгаААА 2" xfId="1387"/>
    <cellStyle name="_MONITOR 15-05-07 ВилоятгаААА 2" xfId="1388"/>
    <cellStyle name="_MONITOR 15-05-07 ВилоятгаААА 2" xfId="1389"/>
    <cellStyle name="_MONITOR 15-05-07 ВилоятгаААА 3" xfId="1390"/>
    <cellStyle name="_MONITOR 15-05-07 ВилоятгаААА 3" xfId="1391"/>
    <cellStyle name="_MONITOR 15-05-07 ВилоятгаААА 3" xfId="1392"/>
    <cellStyle name="_MONITOR 15-05-07 ВилоятгаААА 3" xfId="1393"/>
    <cellStyle name="_MONITOR 15-05-07 ВилоятгаААА_УХКМ ва БИО форма 01. 02. 09" xfId="1394"/>
    <cellStyle name="_MONITOR 15-05-07 ВилоятгаААА_УХКМ ва БИО форма 01. 02. 09" xfId="1395"/>
    <cellStyle name="_MONITOR 15-05-07 ВилоятгаААА_УХКМ ва БИО форма 01. 02. 09" xfId="1396"/>
    <cellStyle name="_MONITOR 15-05-07 ВилоятгаААА_УХКМ ва БИО форма 01. 02. 09" xfId="1397"/>
    <cellStyle name="_MONITOR 17-05-07 Вилоятгааа" xfId="1398"/>
    <cellStyle name="_MONITOR 17-05-07 Вилоятгааа" xfId="1399"/>
    <cellStyle name="_MONITOR 17-05-07 Вилоятгааа" xfId="1400"/>
    <cellStyle name="_MONITOR 17-05-07 Вилоятгааа" xfId="1401"/>
    <cellStyle name="_MONITOR 17-05-07 Вилоятгааа 2" xfId="1402"/>
    <cellStyle name="_MONITOR 17-05-07 Вилоятгааа 2" xfId="1403"/>
    <cellStyle name="_MONITOR 17-05-07 Вилоятгааа 2" xfId="1404"/>
    <cellStyle name="_MONITOR 17-05-07 Вилоятгааа 2" xfId="1405"/>
    <cellStyle name="_MONITOR 17-05-07 Вилоятгааа 3" xfId="1406"/>
    <cellStyle name="_MONITOR 17-05-07 Вилоятгааа 3" xfId="1407"/>
    <cellStyle name="_MONITOR 17-05-07 Вилоятгааа 3" xfId="1408"/>
    <cellStyle name="_MONITOR 17-05-07 Вилоятгааа 3" xfId="1409"/>
    <cellStyle name="_MONITOR 24-02-07 JJJ Охиргиси" xfId="1410"/>
    <cellStyle name="_MONITOR 24-02-07 JJJ Охиргиси" xfId="1411"/>
    <cellStyle name="_MONITOR 24-02-07 JJJ Охиргиси" xfId="1412"/>
    <cellStyle name="_MONITOR 24-02-07 JJJ Охиргиси" xfId="1413"/>
    <cellStyle name="_MONITOR 24-02-07 JJJ Охиргиси 2" xfId="1414"/>
    <cellStyle name="_MONITOR 24-02-07 JJJ Охиргиси 2" xfId="1415"/>
    <cellStyle name="_MONITOR 24-02-07 JJJ Охиргиси 2" xfId="1416"/>
    <cellStyle name="_MONITOR 24-02-07 JJJ Охиргиси 2" xfId="1417"/>
    <cellStyle name="_MONITOR 24-02-07 JJJ Охиргиси 3" xfId="1418"/>
    <cellStyle name="_MONITOR 24-02-07 JJJ Охиргиси 3" xfId="1419"/>
    <cellStyle name="_MONITOR 24-02-07 JJJ Охиргиси 3" xfId="1420"/>
    <cellStyle name="_MONITOR 24-02-07 JJJ Охиргиси 3" xfId="1421"/>
    <cellStyle name="_MONITOR 24-02-07 JJJ Охиргиси_УХКМ ва БИО форма 01. 02. 09" xfId="1422"/>
    <cellStyle name="_MONITOR 24-02-07 JJJ Охиргиси_УХКМ ва БИО форма 01. 02. 09" xfId="1423"/>
    <cellStyle name="_MONITOR 24-02-07 JJJ Охиргиси_УХКМ ва БИО форма 01. 02. 09" xfId="1424"/>
    <cellStyle name="_MONITOR 24-02-07 JJJ Охиргиси_УХКМ ва БИО форма 01. 02. 09" xfId="1425"/>
    <cellStyle name="_SVOD SHINA" xfId="1426"/>
    <cellStyle name="_SVOD SHINA" xfId="1427"/>
    <cellStyle name="_SVOD SHINA" xfId="1428"/>
    <cellStyle name="_SVOD SHINA" xfId="1429"/>
    <cellStyle name="_SVOD SHINA_УХКМ ва БИО форма 01. 02. 09" xfId="1430"/>
    <cellStyle name="_SVOD SHINA_УХКМ ва БИО форма 01. 02. 09" xfId="1431"/>
    <cellStyle name="_SVOD SHINA_УХКМ ва БИО форма 01. 02. 09" xfId="1432"/>
    <cellStyle name="_SVOD SHINA_УХКМ ва БИО форма 01. 02. 09" xfId="1433"/>
    <cellStyle name="_АКЧАБОЙ АКАГА 1-озиклантириш фонд" xfId="1434"/>
    <cellStyle name="_АКЧАБОЙ АКАГА 1-озиклантириш фонд" xfId="1435"/>
    <cellStyle name="_АКЧАБОЙ АКАГА 1-озиклантириш фонд" xfId="1436"/>
    <cellStyle name="_АКЧАБОЙ АКАГА 1-озиклантириш фонд" xfId="1437"/>
    <cellStyle name="_АКЧАБОЙ АКАГА 1-озиклантириш фонд 2" xfId="1438"/>
    <cellStyle name="_АКЧАБОЙ АКАГА 1-озиклантириш фонд 2" xfId="1439"/>
    <cellStyle name="_АКЧАБОЙ АКАГА 1-озиклантириш фонд 2" xfId="1440"/>
    <cellStyle name="_АКЧАБОЙ АКАГА 1-озиклантириш фонд 2" xfId="1441"/>
    <cellStyle name="_АКЧАБОЙ АКАГА 1-озиклантириш фонд 3" xfId="1442"/>
    <cellStyle name="_АКЧАБОЙ АКАГА 1-озиклантириш фонд 3" xfId="1443"/>
    <cellStyle name="_АКЧАБОЙ АКАГА 1-озиклантириш фонд 3" xfId="1444"/>
    <cellStyle name="_АКЧАБОЙ АКАГА 1-озиклантириш фонд 3" xfId="1445"/>
    <cellStyle name="_Апрел кр такс иш хаки тулик 5.04.08 МБ га" xfId="1446"/>
    <cellStyle name="_Апрел кр такс иш хаки тулик 5.04.08 МБ га" xfId="1447"/>
    <cellStyle name="_Апрел кр такс иш хаки тулик 5.04.08 МБ га" xfId="1448"/>
    <cellStyle name="_Апрел кр такс иш хаки тулик 5.04.08 МБ га" xfId="1449"/>
    <cellStyle name="_Апрел кредитдан тушди 19-04" xfId="1450"/>
    <cellStyle name="_Апрел кредитдан тушди 19-04" xfId="1451"/>
    <cellStyle name="_Апрел кредитдан тушди 19-04" xfId="1452"/>
    <cellStyle name="_Апрел кредитдан тушди 19-04" xfId="1453"/>
    <cellStyle name="_Апрел кредитдан тушди 19-04_2008 йил 1-декабр-сводлар-узгарди" xfId="1454"/>
    <cellStyle name="_Апрел кредитдан тушди 19-04_2008 йил 1-декабр-сводлар-узгарди" xfId="1455"/>
    <cellStyle name="_Апрел кредитдан тушди 19-04_2008 йил 1-ноябр-баланс билан" xfId="1456"/>
    <cellStyle name="_Апрел кредитдан тушди 19-04_2008 йил 1-ноябр-баланс билан" xfId="1457"/>
    <cellStyle name="_Апрел кредитдан тушди 19-04_2008 ОКТЯБР ишчи жадвал формула" xfId="1458"/>
    <cellStyle name="_Апрел кредитдан тушди 19-04_2008 ОКТЯБР ишчи жадвал формула" xfId="1459"/>
    <cellStyle name="_Апрел кредитдан тушди 19-04_2008 ОКТЯБР ишчи жадвал формула" xfId="1460"/>
    <cellStyle name="_Апрел кредитдан тушди 19-04_2008 ОКТЯБР ишчи жадвал формула" xfId="1461"/>
    <cellStyle name="_Апрел кредитдан тушди 19-04_2008 ОКТЯБР ишчи жадвал формула_2008 йил 1-декабр-сводлар-узгарди" xfId="1462"/>
    <cellStyle name="_Апрел кредитдан тушди 19-04_2008 ОКТЯБР ишчи жадвал формула_2008 йил 1-декабр-сводлар-узгарди" xfId="1463"/>
    <cellStyle name="_Апрел кредитдан тушди 19-04_2008 ОКТЯБР ишчи жадвал формула_2008 йил 1-декабр-сводлар-узгарди" xfId="1464"/>
    <cellStyle name="_Апрел кредитдан тушди 19-04_2008 ОКТЯБР ишчи жадвал формула_2008 йил 1-декабр-сводлар-узгарди" xfId="1465"/>
    <cellStyle name="_Апрел кредитдан тушди 19-04_2008 ОКТЯБР ишчи жадвал формула_2008 йил 1-ноябр-баланс билан" xfId="1466"/>
    <cellStyle name="_Апрел кредитдан тушди 19-04_2008 ОКТЯБР ишчи жадвал формула_2008 йил 1-ноябр-баланс билан" xfId="1467"/>
    <cellStyle name="_Апрел кредитдан тушди 19-04_2008 ОКТЯБР ишчи жадвал формула_2008 йил 1-ноябр-баланс билан" xfId="1468"/>
    <cellStyle name="_Апрел кредитдан тушди 19-04_2008 ОКТЯБР ишчи жадвал формула_2008 йил 1-ноябр-баланс билан" xfId="1469"/>
    <cellStyle name="_Апрел кредитдан тушди 19-04_2008_iil_APREL_ishchi_zhadval_formula2-СВОД" xfId="1470"/>
    <cellStyle name="_Апрел кредитдан тушди 19-04_2008_iil_APREL_ishchi_zhadval_formula2-СВОД" xfId="1471"/>
    <cellStyle name="_Апрел кредитдан тушди 19-04_2008_iil_APREL_ishchi_zhadval_formula2-СВОД" xfId="1472"/>
    <cellStyle name="_Апрел кредитдан тушди 19-04_2008_iil_APREL_ishchi_zhadval_formula2-СВОД" xfId="1473"/>
    <cellStyle name="_Апрел кредитдан тушди 19-04_Апрел кр такс иш хаки тулик 5.04.08 МБ га" xfId="1474"/>
    <cellStyle name="_Апрел кредитдан тушди 19-04_Апрел кр такс иш хаки тулик 5.04.08 МБ га" xfId="1475"/>
    <cellStyle name="_Апрел-режа-ксхб" xfId="1476"/>
    <cellStyle name="_Апрел-режа-ксхб" xfId="1477"/>
    <cellStyle name="_Апрел-режа-ксхб" xfId="1478"/>
    <cellStyle name="_Апрел-режа-ксхб" xfId="1479"/>
    <cellStyle name="_Апрел-режа-ксхб_2008 йил 1-декабр-сводлар-узгарди" xfId="1480"/>
    <cellStyle name="_Апрел-режа-ксхб_2008 йил 1-декабр-сводлар-узгарди" xfId="1481"/>
    <cellStyle name="_Апрел-режа-ксхб_2008 йил 1-ноябр-баланс билан" xfId="1482"/>
    <cellStyle name="_Апрел-режа-ксхб_2008 йил 1-ноябр-баланс билан" xfId="1483"/>
    <cellStyle name="_Апрел-режа-ксхб_2008 ОКТЯБР ишчи жадвал формула" xfId="1484"/>
    <cellStyle name="_Апрел-режа-ксхб_2008 ОКТЯБР ишчи жадвал формула" xfId="1485"/>
    <cellStyle name="_Апрел-режа-ксхб_2008 ОКТЯБР ишчи жадвал формула" xfId="1486"/>
    <cellStyle name="_Апрел-режа-ксхб_2008 ОКТЯБР ишчи жадвал формула" xfId="1487"/>
    <cellStyle name="_Апрел-режа-ксхб_2008 ОКТЯБР ишчи жадвал формула_2008 йил 1-декабр-сводлар-узгарди" xfId="1488"/>
    <cellStyle name="_Апрел-режа-ксхб_2008 ОКТЯБР ишчи жадвал формула_2008 йил 1-декабр-сводлар-узгарди" xfId="1489"/>
    <cellStyle name="_Апрел-режа-ксхб_2008 ОКТЯБР ишчи жадвал формула_2008 йил 1-декабр-сводлар-узгарди" xfId="1490"/>
    <cellStyle name="_Апрел-режа-ксхб_2008 ОКТЯБР ишчи жадвал формула_2008 йил 1-декабр-сводлар-узгарди" xfId="1491"/>
    <cellStyle name="_Апрел-режа-ксхб_2008 ОКТЯБР ишчи жадвал формула_2008 йил 1-ноябр-баланс билан" xfId="1492"/>
    <cellStyle name="_Апрел-режа-ксхб_2008 ОКТЯБР ишчи жадвал формула_2008 йил 1-ноябр-баланс билан" xfId="1493"/>
    <cellStyle name="_Апрел-режа-ксхб_2008 ОКТЯБР ишчи жадвал формула_2008 йил 1-ноябр-баланс билан" xfId="1494"/>
    <cellStyle name="_Апрел-режа-ксхб_2008 ОКТЯБР ишчи жадвал формула_2008 йил 1-ноябр-баланс билан" xfId="1495"/>
    <cellStyle name="_Апрел-режа-ксхб_2008_iil_APREL_ishchi_zhadval_formula2-СВОД" xfId="1496"/>
    <cellStyle name="_Апрел-режа-ксхб_2008_iil_APREL_ishchi_zhadval_formula2-СВОД" xfId="1497"/>
    <cellStyle name="_Апрел-режа-ксхб_2008_iil_APREL_ishchi_zhadval_formula2-СВОД" xfId="1498"/>
    <cellStyle name="_Апрел-режа-ксхб_2008_iil_APREL_ishchi_zhadval_formula2-СВОД" xfId="1499"/>
    <cellStyle name="_Апрел-режа-ксхб_Апрел кр такс иш хаки тулик 5.04.08 МБ га" xfId="1500"/>
    <cellStyle name="_Апрел-режа-ксхб_Апрел кр такс иш хаки тулик 5.04.08 МБ га" xfId="1501"/>
    <cellStyle name="_АХБОРОТ ТАХЛИЛГАга жадваллар (по туманам)" xfId="1502"/>
    <cellStyle name="_АХБОРОТ ТАХЛИЛГАга жадваллар (по туманам)" xfId="1503"/>
    <cellStyle name="_Бажарилиши (СВОД)" xfId="1504"/>
    <cellStyle name="_Бажарилиши (СВОД)" xfId="1505"/>
    <cellStyle name="_банк вилоят" xfId="1506"/>
    <cellStyle name="_банк вилоят" xfId="1507"/>
    <cellStyle name="_банк вилоят_10" xfId="1508"/>
    <cellStyle name="_банк вилоят_10" xfId="1509"/>
    <cellStyle name="_банк вилоят_Кашкадарё 22.11.10." xfId="1510"/>
    <cellStyle name="_банк вилоят_Кашкадарё 22.11.10." xfId="1511"/>
    <cellStyle name="_банк вилоят_Кашкадарё охиргиси 26.08.10." xfId="1512"/>
    <cellStyle name="_банк вилоят_Кашкадарё охиргиси 26.08.10." xfId="1513"/>
    <cellStyle name="_банк вилоят_Кашкадарё ЯНГИ" xfId="1514"/>
    <cellStyle name="_банк вилоят_Кашкадарё ЯНГИ" xfId="1515"/>
    <cellStyle name="_банк вилоят_Кашкадарья экспорт  2011-2015 гг Отабекка" xfId="1516"/>
    <cellStyle name="_банк вилоят_Кашкадарья экспорт  2011-2015 гг Отабекка" xfId="1517"/>
    <cellStyle name="_банк вилоят_Кашкадарья экспорт  2011-2015 гг Отабекка 2" xfId="1518"/>
    <cellStyle name="_банк вилоят_Кашкадарья экспорт  2011-2015 гг Отабекка 2" xfId="1519"/>
    <cellStyle name="_банк вилоят_Кашкадарья экспорт  2011-2015 гг Отабекка 3" xfId="1520"/>
    <cellStyle name="_банк вилоят_Кашкадарья экспорт  2011-2015 гг Отабекка 3" xfId="1521"/>
    <cellStyle name="_банк вилоят_Кашкадарья экспорт  2011-2015 гг Отабекка 4" xfId="1522"/>
    <cellStyle name="_банк вилоят_Кашкадарья экспорт  2011-2015 гг Отабекка 4" xfId="1523"/>
    <cellStyle name="_банк вилоят_Кашкадарья экспорт  2011-2015 гг Отабекка_7 илова" xfId="1524"/>
    <cellStyle name="_банк вилоят_Кашкадарья экспорт  2011-2015 гг Отабекка_7 илова" xfId="1525"/>
    <cellStyle name="_банк вилоят_Кашкадарья экспорт  2011-2015 гг Отабекка_7 илова 2" xfId="1526"/>
    <cellStyle name="_банк вилоят_Кашкадарья экспорт  2011-2015 гг Отабекка_7 илова 2" xfId="1527"/>
    <cellStyle name="_банк вилоят_Кашкадарья экспорт  2011-2015 гг Отабекка_7 илова 3" xfId="1528"/>
    <cellStyle name="_банк вилоят_Кашкадарья экспорт  2011-2015 гг Отабекка_7 илова 3" xfId="1529"/>
    <cellStyle name="_банк вилоят_Кашкадарья экспорт  2011-2015 гг Отабекка_7 илова 4" xfId="1530"/>
    <cellStyle name="_банк вилоят_Кашкадарья экспорт  2011-2015 гг Отабекка_7 илова 4" xfId="1531"/>
    <cellStyle name="_банк вилоят_Кашкадарья экспорт  2011-2015 гг Отабекка_Хоразм 2013-2015 саноат дастури 12.11.2012. 19-4812" xfId="1532"/>
    <cellStyle name="_банк вилоят_Кашкадарья экспорт  2011-2015 гг Отабекка_Хоразм 2013-2015 саноат дастури 12.11.2012. 19-4812" xfId="1533"/>
    <cellStyle name="_банк вилоят_Макет 11-15 Кашкадарё охиргиси 27.08.10." xfId="1534"/>
    <cellStyle name="_банк вилоят_Макет 11-15 Кашкадарё охиргиси 27.08.10." xfId="1535"/>
    <cellStyle name="_банк вилоят_Макет 11-15 Охиргиси" xfId="1536"/>
    <cellStyle name="_банк вилоят_Макет 11-15 Охиргиси" xfId="1537"/>
    <cellStyle name="_банк вилоят_Макет 16.08 Кашкадарё..янги" xfId="1538"/>
    <cellStyle name="_банк вилоят_Макет 16.08 Кашкадарё..янги" xfId="1539"/>
    <cellStyle name="_банк вилоят_Макет 7.08" xfId="1540"/>
    <cellStyle name="_банк вилоят_Макет 7.08" xfId="1541"/>
    <cellStyle name="_банк вилоят_Макет 7.08 2" xfId="1542"/>
    <cellStyle name="_банк вилоят_Макет 7.08 2" xfId="1543"/>
    <cellStyle name="_банк вилоят_Макет 7.08 3" xfId="1544"/>
    <cellStyle name="_банк вилоят_Макет 7.08 3" xfId="1545"/>
    <cellStyle name="_банк вилоят_Макет 7.08 4" xfId="1546"/>
    <cellStyle name="_банк вилоят_Макет 7.08 4" xfId="1547"/>
    <cellStyle name="_банк вилоят_Макет 7.08_7 илова" xfId="1548"/>
    <cellStyle name="_банк вилоят_Макет 7.08_7 илова" xfId="1549"/>
    <cellStyle name="_банк вилоят_Макет 7.08_7 илова 2" xfId="1550"/>
    <cellStyle name="_банк вилоят_Макет 7.08_7 илова 2" xfId="1551"/>
    <cellStyle name="_банк вилоят_Макет 7.08_7 илова 3" xfId="1552"/>
    <cellStyle name="_банк вилоят_Макет 7.08_7 илова 3" xfId="1553"/>
    <cellStyle name="_банк вилоят_Макет 7.08_7 илова 4" xfId="1554"/>
    <cellStyle name="_банк вилоят_Макет 7.08_7 илова 4" xfId="1555"/>
    <cellStyle name="_банк вилоят_Макет 7.08_Хоразм 2013-2015 саноат дастури 12.11.2012. 19-4812" xfId="1556"/>
    <cellStyle name="_банк вилоят_Макет 7.08_Хоразм 2013-2015 саноат дастури 12.11.2012. 19-4812" xfId="1557"/>
    <cellStyle name="_банк вилоят_Наманган 2011-15  САНОАТ ДАСТУРИ" xfId="1558"/>
    <cellStyle name="_банк вилоят_Наманган 2011-15  САНОАТ ДАСТУРИ" xfId="1559"/>
    <cellStyle name="_банк вилоят_Наманган 2011-15  САНОАТ ДАСТУРИ 2" xfId="1560"/>
    <cellStyle name="_банк вилоят_Наманган 2011-15  САНОАТ ДАСТУРИ 2" xfId="1561"/>
    <cellStyle name="_банк вилоят_Наманган 2011-15  САНОАТ ДАСТУРИ 3" xfId="1562"/>
    <cellStyle name="_банк вилоят_Наманган 2011-15  САНОАТ ДАСТУРИ 3" xfId="1563"/>
    <cellStyle name="_банк вилоят_Наманган 2011-15  САНОАТ ДАСТУРИ 4" xfId="1564"/>
    <cellStyle name="_банк вилоят_Наманган 2011-15  САНОАТ ДАСТУРИ 4" xfId="1565"/>
    <cellStyle name="_банк вилоят_Наманган 2011-15  САНОАТ ДАСТУРИ_7 илова" xfId="1566"/>
    <cellStyle name="_банк вилоят_Наманган 2011-15  САНОАТ ДАСТУРИ_7 илова" xfId="1567"/>
    <cellStyle name="_банк вилоят_Наманган 2011-15  САНОАТ ДАСТУРИ_7 илова 2" xfId="1568"/>
    <cellStyle name="_банк вилоят_Наманган 2011-15  САНОАТ ДАСТУРИ_7 илова 2" xfId="1569"/>
    <cellStyle name="_банк вилоят_Наманган 2011-15  САНОАТ ДАСТУРИ_7 илова 3" xfId="1570"/>
    <cellStyle name="_банк вилоят_Наманган 2011-15  САНОАТ ДАСТУРИ_7 илова 3" xfId="1571"/>
    <cellStyle name="_банк вилоят_Наманган 2011-15  САНОАТ ДАСТУРИ_7 илова 4" xfId="1572"/>
    <cellStyle name="_банк вилоят_Наманган 2011-15  САНОАТ ДАСТУРИ_7 илова 4" xfId="1573"/>
    <cellStyle name="_банк вилоят_Наманган 2011-15  САНОАТ ДАСТУРИ_Хоразм 2013-2015 саноат дастури 12.11.2012. 19-4812" xfId="1574"/>
    <cellStyle name="_банк вилоят_Наманган 2011-15  САНОАТ ДАСТУРИ_Хоразм 2013-2015 саноат дастури 12.11.2012. 19-4812" xfId="1575"/>
    <cellStyle name="_Вахобга галла кредит буйича 30 май" xfId="1576"/>
    <cellStyle name="_Вахобга галла кредит буйича 30 май" xfId="1577"/>
    <cellStyle name="_Вахобга галла кредит буйича 30 май" xfId="1578"/>
    <cellStyle name="_Вахобга галла кредит буйича 30 май" xfId="1579"/>
    <cellStyle name="_Вахобга галла кредит буйича 30 май_2008 йил 1-декабр-сводлар-узгарди" xfId="1580"/>
    <cellStyle name="_Вахобга галла кредит буйича 30 май_2008 йил 1-декабр-сводлар-узгарди" xfId="1581"/>
    <cellStyle name="_Вахобга галла кредит буйича 30 май_2008 йил 1-ноябр-баланс билан" xfId="1582"/>
    <cellStyle name="_Вахобга галла кредит буйича 30 май_2008 йил 1-ноябр-баланс билан" xfId="1583"/>
    <cellStyle name="_Вахобга галла кредит буйича 30 май_2008 ОКТЯБР ишчи жадвал формула" xfId="1584"/>
    <cellStyle name="_Вахобга галла кредит буйича 30 май_2008 ОКТЯБР ишчи жадвал формула" xfId="1585"/>
    <cellStyle name="_Вахобга галла кредит буйича 30 май_2008 ОКТЯБР ишчи жадвал формула" xfId="1586"/>
    <cellStyle name="_Вахобга галла кредит буйича 30 май_2008 ОКТЯБР ишчи жадвал формула" xfId="1587"/>
    <cellStyle name="_Вахобга галла кредит буйича 30 май_2008 ОКТЯБР ишчи жадвал формула_2008 йил 1-декабр-сводлар-узгарди" xfId="1588"/>
    <cellStyle name="_Вахобга галла кредит буйича 30 май_2008 ОКТЯБР ишчи жадвал формула_2008 йил 1-декабр-сводлар-узгарди" xfId="1589"/>
    <cellStyle name="_Вахобга галла кредит буйича 30 май_2008 ОКТЯБР ишчи жадвал формула_2008 йил 1-декабр-сводлар-узгарди" xfId="1590"/>
    <cellStyle name="_Вахобга галла кредит буйича 30 май_2008 ОКТЯБР ишчи жадвал формула_2008 йил 1-декабр-сводлар-узгарди" xfId="1591"/>
    <cellStyle name="_Вахобга галла кредит буйича 30 май_2008 ОКТЯБР ишчи жадвал формула_2008 йил 1-ноябр-баланс билан" xfId="1592"/>
    <cellStyle name="_Вахобга галла кредит буйича 30 май_2008 ОКТЯБР ишчи жадвал формула_2008 йил 1-ноябр-баланс билан" xfId="1593"/>
    <cellStyle name="_Вахобга галла кредит буйича 30 май_2008 ОКТЯБР ишчи жадвал формула_2008 йил 1-ноябр-баланс билан" xfId="1594"/>
    <cellStyle name="_Вахобга галла кредит буйича 30 май_2008 ОКТЯБР ишчи жадвал формула_2008 йил 1-ноябр-баланс билан" xfId="1595"/>
    <cellStyle name="_Вахобга галла кредит буйича 30 май_2008_iil_APREL_ishchi_zhadval_formula2-СВОД" xfId="1596"/>
    <cellStyle name="_Вахобга галла кредит буйича 30 май_2008_iil_APREL_ishchi_zhadval_formula2-СВОД" xfId="1597"/>
    <cellStyle name="_Вахобга галла кредит буйича 30 май_2008_iil_APREL_ishchi_zhadval_formula2-СВОД" xfId="1598"/>
    <cellStyle name="_Вахобга галла кредит буйича 30 май_2008_iil_APREL_ishchi_zhadval_formula2-СВОД" xfId="1599"/>
    <cellStyle name="_Вахобга галла кредит буйича 30 май_Апрел кр такс иш хаки тулик 5.04.08 МБ га" xfId="1600"/>
    <cellStyle name="_Вахобга галла кредит буйича 30 май_Апрел кр такс иш хаки тулик 5.04.08 МБ га" xfId="1601"/>
    <cellStyle name="_Вилоят 2012-Дастури ИТОГ 2-вариант" xfId="1602"/>
    <cellStyle name="_Вилоят буйича 9-форма лизинг" xfId="1603"/>
    <cellStyle name="_Вилоят буйича 9-форма лизинг" xfId="1604"/>
    <cellStyle name="_Вилоят буйича 9-форма лизинг" xfId="1605"/>
    <cellStyle name="_Вилоят буйича март ойи 2.03.08 факт банкка талаб" xfId="1606"/>
    <cellStyle name="_Вилоят буйича март ойи 2.03.08 факт банкка талаб" xfId="1607"/>
    <cellStyle name="_Вилоят буйича март ойи 2.03.08 факт банкка талаб" xfId="1608"/>
    <cellStyle name="_Вилоят буйича март ойи 2.03.08 факт банкка талаб" xfId="1609"/>
    <cellStyle name="_Вилоят буйича март ойи 2.03.08 факт банкка талаб_Апрел кр такс иш хаки тулик 5.04.08 МБ га" xfId="1610"/>
    <cellStyle name="_Вилоят буйича март ойи 2.03.08 факт банкка талаб_Апрел кр такс иш хаки тулик 5.04.08 МБ га" xfId="1611"/>
    <cellStyle name="_Вилоят охирги мониторинг 18-04-07 кейинги" xfId="1612"/>
    <cellStyle name="_Вилоят охирги мониторинг 18-04-07 кейинги" xfId="1613"/>
    <cellStyle name="_Вилоят охирги мониторинг 18-04-07 кейинги" xfId="1614"/>
    <cellStyle name="_Вилоят охирги мониторинг 18-04-07 кейинги" xfId="1615"/>
    <cellStyle name="_Вилоят охирги мониторинг 18-04-07 кейинги 2" xfId="1616"/>
    <cellStyle name="_Вилоят охирги мониторинг 18-04-07 кейинги 2" xfId="1617"/>
    <cellStyle name="_Вилоят охирги мониторинг 18-04-07 кейинги 2" xfId="1618"/>
    <cellStyle name="_Вилоят охирги мониторинг 18-04-07 кейинги 3" xfId="1619"/>
    <cellStyle name="_Вилоят охирги мониторинг 18-04-07 кейинги 3" xfId="1620"/>
    <cellStyle name="_Вилоят охирги мониторинг 18-04-07 кейинги 3" xfId="1621"/>
    <cellStyle name="_Вилоят охирги мониторинг 18-04-07 кейинги_УХКМ ва БИО форма 01. 02. 09" xfId="1622"/>
    <cellStyle name="_Вилоят охирги мониторинг 18-04-07 кейинги_УХКМ ва БИО форма 01. 02. 09" xfId="1623"/>
    <cellStyle name="_Вилоят охирги мониторинг 18-04-07 кейинги_УХКМ ва БИО форма 01. 02. 09" xfId="1624"/>
    <cellStyle name="_Вилоят охирги мониторинг 18-04-07 кейинги_УХКМ ва БИО форма 01. 02. 09" xfId="1625"/>
    <cellStyle name="_Вилоят охирги мониторинг 20-04-07 кейинги" xfId="1626"/>
    <cellStyle name="_Вилоят охирги мониторинг 20-04-07 кейинги" xfId="1627"/>
    <cellStyle name="_Вилоят охирги мониторинг 20-04-07 кейинги" xfId="1628"/>
    <cellStyle name="_Вилоят охирги мониторинг 20-04-07 кейинги" xfId="1629"/>
    <cellStyle name="_Вилоят охирги мониторинг 20-04-07 кейинги 2" xfId="1630"/>
    <cellStyle name="_Вилоят охирги мониторинг 20-04-07 кейинги 2" xfId="1631"/>
    <cellStyle name="_Вилоят охирги мониторинг 20-04-07 кейинги 2" xfId="1632"/>
    <cellStyle name="_Вилоят охирги мониторинг 20-04-07 кейинги 2" xfId="1633"/>
    <cellStyle name="_Вилоят охирги мониторинг 20-04-07 кейинги 3" xfId="1634"/>
    <cellStyle name="_Вилоят охирги мониторинг 20-04-07 кейинги 3" xfId="1635"/>
    <cellStyle name="_Вилоят охирги мониторинг 20-04-07 кейинги 3" xfId="1636"/>
    <cellStyle name="_Вилоят охирги мониторинг 20-04-07 кейинги 3" xfId="1637"/>
    <cellStyle name="_Вилоят охирги мониторинг 20-04-07 кейинги_УХКМ ва БИО форма 01. 02. 09" xfId="1638"/>
    <cellStyle name="_Вилоят охирги мониторинг 20-04-07 кейинги_УХКМ ва БИО форма 01. 02. 09" xfId="1639"/>
    <cellStyle name="_Вилоят охирги мониторинг 20-04-07 кейинги_УХКМ ва БИО форма 01. 02. 09" xfId="1640"/>
    <cellStyle name="_Вилоят охирги мониторинг 20-04-07 кейинги_УХКМ ва БИО форма 01. 02. 09" xfId="1641"/>
    <cellStyle name="_Вилоятга Эканамис маълумотлари" xfId="1642"/>
    <cellStyle name="_Вилоятга Эканамис маълумотлари" xfId="1643"/>
    <cellStyle name="_Вилоятга Эканамис маълумотлари" xfId="1644"/>
    <cellStyle name="_Вилоятга Эканамис маълумотлари" xfId="1645"/>
    <cellStyle name="_Вилоятга Эканамис маълумотлари 2" xfId="1646"/>
    <cellStyle name="_Вилоятга Эканамис маълумотлари 2" xfId="1647"/>
    <cellStyle name="_Вилоятга Эканамис маълумотлари 2" xfId="1648"/>
    <cellStyle name="_Вилоятга Эканамис маълумотлари 2" xfId="1649"/>
    <cellStyle name="_Вилоятга Эканамис маълумотлари 3" xfId="1650"/>
    <cellStyle name="_Вилоятга Эканамис маълумотлари 3" xfId="1651"/>
    <cellStyle name="_Вилоятга Эканамис маълумотлари 3" xfId="1652"/>
    <cellStyle name="_Вилоятга Эканамис маълумотлари 3" xfId="1653"/>
    <cellStyle name="_Вилоятга Эканамис маълумотлари_УХКМ ва БИО форма 01. 02. 09" xfId="1654"/>
    <cellStyle name="_Вилоятга Эканамис маълумотлари_УХКМ ва БИО форма 01. 02. 09" xfId="1655"/>
    <cellStyle name="_Вилоятга Эканамис маълумотлари_УХКМ ва БИО форма 01. 02. 09" xfId="1656"/>
    <cellStyle name="_Вилоятга Эканамис маълумотлари_УХКМ ва БИО форма 01. 02. 09" xfId="1657"/>
    <cellStyle name="_Вилоят-химия-монитор-камай-21-04-07-агп" xfId="1658"/>
    <cellStyle name="_Вилоят-химия-монитор-камай-21-04-07-агп" xfId="1659"/>
    <cellStyle name="_Вилоят-химия-монитор-камай-21-04-07-агп" xfId="1660"/>
    <cellStyle name="_Вилоят-химия-монитор-камай-21-04-07-агп" xfId="1661"/>
    <cellStyle name="_Вилоят-химия-монитор-камай-21-04-07-агп 2" xfId="1662"/>
    <cellStyle name="_Вилоят-химия-монитор-камай-21-04-07-агп 2" xfId="1663"/>
    <cellStyle name="_Вилоят-химия-монитор-камай-21-04-07-агп 2" xfId="1664"/>
    <cellStyle name="_Вилоят-химия-монитор-камай-21-04-07-агп 2" xfId="1665"/>
    <cellStyle name="_Вилоят-химия-монитор-камай-21-04-07-агп 3" xfId="1666"/>
    <cellStyle name="_Вилоят-химия-монитор-камай-21-04-07-агп 3" xfId="1667"/>
    <cellStyle name="_Вилоят-химия-монитор-камай-21-04-07-агп 3" xfId="1668"/>
    <cellStyle name="_Вилоят-химия-монитор-камай-21-04-07-агп 3" xfId="1669"/>
    <cellStyle name="_Вилоят-химия-монитор-камай-21-04-07-агп_УХКМ ва БИО форма 01. 02. 09" xfId="1670"/>
    <cellStyle name="_Вилоят-химия-монитор-камай-21-04-07-агп_УХКМ ва БИО форма 01. 02. 09" xfId="1671"/>
    <cellStyle name="_Вилоят-химия-монитор-камай-21-04-07-агп_УХКМ ва БИО форма 01. 02. 09" xfId="1672"/>
    <cellStyle name="_Вилоят-химия-монитор-камай-21-04-07-агп_УХКМ ва БИО форма 01. 02. 09" xfId="1673"/>
    <cellStyle name="_Галла -2008 (Сентябр,октябр) -00121" xfId="1674"/>
    <cellStyle name="_Галла -2008 (Сентябр,октябр) -00121" xfId="1675"/>
    <cellStyle name="_Галла -2008 (Сентябр,октябр) -00121" xfId="1676"/>
    <cellStyle name="_Галла -2008 (Сентябр,октябр) -00121" xfId="1677"/>
    <cellStyle name="_Галла -2008 (Сентябр,октябр) -00121_2008 йил 1-декабр-сводлар-узгарди" xfId="1678"/>
    <cellStyle name="_Галла -2008 (Сентябр,октябр) -00121_2008 йил 1-декабр-сводлар-узгарди" xfId="1679"/>
    <cellStyle name="_Галла -2008 (Сентябр,октябр) -00121_2008 йил 1-ноябр-баланс билан" xfId="1680"/>
    <cellStyle name="_Галла -2008 (Сентябр,октябр) -00121_2008 йил 1-ноябр-баланс билан" xfId="1681"/>
    <cellStyle name="_Галла -2008 (Сентябр,октябр) -00121_2008 ОКТЯБР ишчи жадвал формула" xfId="1682"/>
    <cellStyle name="_Галла -2008 (Сентябр,октябр) -00121_2008 ОКТЯБР ишчи жадвал формула" xfId="1683"/>
    <cellStyle name="_Галла -2008 (Сентябр,октябр) -00121_2008 ОКТЯБР ишчи жадвал формула" xfId="1684"/>
    <cellStyle name="_Галла -2008 (Сентябр,октябр) -00121_2008 ОКТЯБР ишчи жадвал формула" xfId="1685"/>
    <cellStyle name="_Галла -2008 (Сентябр,октябр) -00121_2008 ОКТЯБР ишчи жадвал формула_2008 йил 1-декабр-сводлар-узгарди" xfId="1686"/>
    <cellStyle name="_Галла -2008 (Сентябр,октябр) -00121_2008 ОКТЯБР ишчи жадвал формула_2008 йил 1-декабр-сводлар-узгарди" xfId="1687"/>
    <cellStyle name="_Галла -2008 (Сентябр,октябр) -00121_2008 ОКТЯБР ишчи жадвал формула_2008 йил 1-декабр-сводлар-узгарди" xfId="1688"/>
    <cellStyle name="_Галла -2008 (Сентябр,октябр) -00121_2008 ОКТЯБР ишчи жадвал формула_2008 йил 1-декабр-сводлар-узгарди" xfId="1689"/>
    <cellStyle name="_Галла -2008 (Сентябр,октябр) -00121_2008 ОКТЯБР ишчи жадвал формула_2008 йил 1-ноябр-баланс билан" xfId="1690"/>
    <cellStyle name="_Галла -2008 (Сентябр,октябр) -00121_2008 ОКТЯБР ишчи жадвал формула_2008 йил 1-ноябр-баланс билан" xfId="1691"/>
    <cellStyle name="_Галла -2008 (Сентябр,октябр) -00121_2008 ОКТЯБР ишчи жадвал формула_2008 йил 1-ноябр-баланс билан" xfId="1692"/>
    <cellStyle name="_Галла -2008 (Сентябр,октябр) -00121_2008 ОКТЯБР ишчи жадвал формула_2008 йил 1-ноябр-баланс билан" xfId="1693"/>
    <cellStyle name="_Галла -2008 (Сентябр,октябр) -00121_2008_iil_APREL_ishchi_zhadval_formula2-СВОД" xfId="1694"/>
    <cellStyle name="_Галла -2008 (Сентябр,октябр) -00121_2008_iil_APREL_ishchi_zhadval_formula2-СВОД" xfId="1695"/>
    <cellStyle name="_Галла -2008 (Сентябр,октябр) -00121_2008_iil_APREL_ishchi_zhadval_formula2-СВОД" xfId="1696"/>
    <cellStyle name="_Галла -2008 (Сентябр,октябр) -00121_2008_iil_APREL_ishchi_zhadval_formula2-СВОД" xfId="1697"/>
    <cellStyle name="_Галла -2008 (Сентябр,октябр) -00121_Апрел кр такс иш хаки тулик 5.04.08 МБ га" xfId="1698"/>
    <cellStyle name="_Галла -2008 (Сентябр,октябр) -00121_Апрел кр такс иш хаки тулик 5.04.08 МБ га" xfId="1699"/>
    <cellStyle name="_Галла -2008 (Сентябр,октябр) -00138" xfId="1700"/>
    <cellStyle name="_Галла -2008 (Сентябр,октябр) -00138" xfId="1701"/>
    <cellStyle name="_Галла -2008 (Сентябр,октябр) -00138" xfId="1702"/>
    <cellStyle name="_Галла -2008 (Сентябр,октябр) -00138" xfId="1703"/>
    <cellStyle name="_Галла -2008 (Сентябр,октябр) -00138_2008 йил 1-декабр-сводлар-узгарди" xfId="1704"/>
    <cellStyle name="_Галла -2008 (Сентябр,октябр) -00138_2008 йил 1-декабр-сводлар-узгарди" xfId="1705"/>
    <cellStyle name="_Галла -2008 (Сентябр,октябр) -00138_2008 йил 1-ноябр-баланс билан" xfId="1706"/>
    <cellStyle name="_Галла -2008 (Сентябр,октябр) -00138_2008 йил 1-ноябр-баланс билан" xfId="1707"/>
    <cellStyle name="_Галла -2008 (Сентябр,октябр) -00138_2008 ОКТЯБР ишчи жадвал формула" xfId="1708"/>
    <cellStyle name="_Галла -2008 (Сентябр,октябр) -00138_2008 ОКТЯБР ишчи жадвал формула" xfId="1709"/>
    <cellStyle name="_Галла -2008 (Сентябр,октябр) -00138_2008 ОКТЯБР ишчи жадвал формула" xfId="1710"/>
    <cellStyle name="_Галла -2008 (Сентябр,октябр) -00138_2008 ОКТЯБР ишчи жадвал формула" xfId="1711"/>
    <cellStyle name="_Галла -2008 (Сентябр,октябр) -00138_2008 ОКТЯБР ишчи жадвал формула_2008 йил 1-декабр-сводлар-узгарди" xfId="1712"/>
    <cellStyle name="_Галла -2008 (Сентябр,октябр) -00138_2008 ОКТЯБР ишчи жадвал формула_2008 йил 1-декабр-сводлар-узгарди" xfId="1713"/>
    <cellStyle name="_Галла -2008 (Сентябр,октябр) -00138_2008 ОКТЯБР ишчи жадвал формула_2008 йил 1-декабр-сводлар-узгарди" xfId="1714"/>
    <cellStyle name="_Галла -2008 (Сентябр,октябр) -00138_2008 ОКТЯБР ишчи жадвал формула_2008 йил 1-декабр-сводлар-узгарди" xfId="1715"/>
    <cellStyle name="_Галла -2008 (Сентябр,октябр) -00138_2008 ОКТЯБР ишчи жадвал формула_2008 йил 1-ноябр-баланс билан" xfId="1716"/>
    <cellStyle name="_Галла -2008 (Сентябр,октябр) -00138_2008 ОКТЯБР ишчи жадвал формула_2008 йил 1-ноябр-баланс билан" xfId="1717"/>
    <cellStyle name="_Галла -2008 (Сентябр,октябр) -00138_2008 ОКТЯБР ишчи жадвал формула_2008 йил 1-ноябр-баланс билан" xfId="1718"/>
    <cellStyle name="_Галла -2008 (Сентябр,октябр) -00138_2008 ОКТЯБР ишчи жадвал формула_2008 йил 1-ноябр-баланс билан" xfId="1719"/>
    <cellStyle name="_Галла -2008 (Сентябр,октябр) -00138_2008_iil_APREL_ishchi_zhadval_formula2-СВОД" xfId="1720"/>
    <cellStyle name="_Галла -2008 (Сентябр,октябр) -00138_2008_iil_APREL_ishchi_zhadval_formula2-СВОД" xfId="1721"/>
    <cellStyle name="_Галла -2008 (Сентябр,октябр) -00138_2008_iil_APREL_ishchi_zhadval_formula2-СВОД" xfId="1722"/>
    <cellStyle name="_Галла -2008 (Сентябр,октябр) -00138_2008_iil_APREL_ishchi_zhadval_formula2-СВОД" xfId="1723"/>
    <cellStyle name="_Галла -2008 (Сентябр,октябр) -00138_Апрел кр такс иш хаки тулик 5.04.08 МБ га" xfId="1724"/>
    <cellStyle name="_Галла -2008 (Сентябр,октябр) -00138_Апрел кр такс иш хаки тулик 5.04.08 МБ га" xfId="1725"/>
    <cellStyle name="_Галла -2008 (Сентябр,октябр)-00140" xfId="1726"/>
    <cellStyle name="_Галла -2008 (Сентябр,октябр)-00140" xfId="1727"/>
    <cellStyle name="_Галла -2008 (Сентябр,октябр)-00140" xfId="1728"/>
    <cellStyle name="_Галла -2008 (Сентябр,октябр)-00140" xfId="1729"/>
    <cellStyle name="_Галла -2008 (Сентябр,октябр)-00140_2008 йил 1-декабр-сводлар-узгарди" xfId="1730"/>
    <cellStyle name="_Галла -2008 (Сентябр,октябр)-00140_2008 йил 1-декабр-сводлар-узгарди" xfId="1731"/>
    <cellStyle name="_Галла -2008 (Сентябр,октябр)-00140_2008 йил 1-ноябр-баланс билан" xfId="1732"/>
    <cellStyle name="_Галла -2008 (Сентябр,октябр)-00140_2008 йил 1-ноябр-баланс билан" xfId="1733"/>
    <cellStyle name="_Галла -2008 (Сентябр,октябр)-00140_2008 ОКТЯБР ишчи жадвал формула" xfId="1734"/>
    <cellStyle name="_Галла -2008 (Сентябр,октябр)-00140_2008 ОКТЯБР ишчи жадвал формула" xfId="1735"/>
    <cellStyle name="_Галла -2008 (Сентябр,октябр)-00140_2008 ОКТЯБР ишчи жадвал формула" xfId="1736"/>
    <cellStyle name="_Галла -2008 (Сентябр,октябр)-00140_2008 ОКТЯБР ишчи жадвал формула" xfId="1737"/>
    <cellStyle name="_Галла -2008 (Сентябр,октябр)-00140_2008 ОКТЯБР ишчи жадвал формула_2008 йил 1-декабр-сводлар-узгарди" xfId="1738"/>
    <cellStyle name="_Галла -2008 (Сентябр,октябр)-00140_2008 ОКТЯБР ишчи жадвал формула_2008 йил 1-декабр-сводлар-узгарди" xfId="1739"/>
    <cellStyle name="_Галла -2008 (Сентябр,октябр)-00140_2008 ОКТЯБР ишчи жадвал формула_2008 йил 1-декабр-сводлар-узгарди" xfId="1740"/>
    <cellStyle name="_Галла -2008 (Сентябр,октябр)-00140_2008 ОКТЯБР ишчи жадвал формула_2008 йил 1-декабр-сводлар-узгарди" xfId="1741"/>
    <cellStyle name="_Галла -2008 (Сентябр,октябр)-00140_2008 ОКТЯБР ишчи жадвал формула_2008 йил 1-ноябр-баланс билан" xfId="1742"/>
    <cellStyle name="_Галла -2008 (Сентябр,октябр)-00140_2008 ОКТЯБР ишчи жадвал формула_2008 йил 1-ноябр-баланс билан" xfId="1743"/>
    <cellStyle name="_Галла -2008 (Сентябр,октябр)-00140_2008 ОКТЯБР ишчи жадвал формула_2008 йил 1-ноябр-баланс билан" xfId="1744"/>
    <cellStyle name="_Галла -2008 (Сентябр,октябр)-00140_2008 ОКТЯБР ишчи жадвал формула_2008 йил 1-ноябр-баланс билан" xfId="1745"/>
    <cellStyle name="_Галла -2008 (Сентябр,октябр)-00140_2008_iil_APREL_ishchi_zhadval_formula2-СВОД" xfId="1746"/>
    <cellStyle name="_Галла -2008 (Сентябр,октябр)-00140_2008_iil_APREL_ishchi_zhadval_formula2-СВОД" xfId="1747"/>
    <cellStyle name="_Галла -2008 (Сентябр,октябр)-00140_2008_iil_APREL_ishchi_zhadval_formula2-СВОД" xfId="1748"/>
    <cellStyle name="_Галла -2008 (Сентябр,октябр)-00140_2008_iil_APREL_ishchi_zhadval_formula2-СВОД" xfId="1749"/>
    <cellStyle name="_Галла -2008 (Сентябр,октябр)-00140_Апрел кр такс иш хаки тулик 5.04.08 МБ га" xfId="1750"/>
    <cellStyle name="_Галла -2008 (Сентябр,октябр)-00140_Апрел кр такс иш хаки тулик 5.04.08 МБ га" xfId="1751"/>
    <cellStyle name="_ГАЛЛА МАРТ (Низом)" xfId="1752"/>
    <cellStyle name="_ГАЛЛА МАРТ (Низом)" xfId="1753"/>
    <cellStyle name="_ГАЛЛА МАРТ (Низом)" xfId="1754"/>
    <cellStyle name="_ГАЛЛА МАРТ (Низом)" xfId="1755"/>
    <cellStyle name="_ГАЛЛА МАРТ (Низом)_УХКМ ва БИО форма 01. 02. 09" xfId="1756"/>
    <cellStyle name="_ГАЛЛА МАРТ (Низом)_УХКМ ва БИО форма 01. 02. 09" xfId="1757"/>
    <cellStyle name="_ГАЛЛА МАРТ (Низом)_УХКМ ва БИО форма 01. 02. 09" xfId="1758"/>
    <cellStyle name="_ГАЛЛА МАРТ (Низом)_УХКМ ва БИО форма 01. 02. 09" xfId="1759"/>
    <cellStyle name="_График буйича сабзавот экиш" xfId="1760"/>
    <cellStyle name="_Дискетга аа" xfId="1761"/>
    <cellStyle name="_Дискетга аа" xfId="1762"/>
    <cellStyle name="_Дискетга аа" xfId="1763"/>
    <cellStyle name="_Дискетга аа 2" xfId="1764"/>
    <cellStyle name="_Дискетга аа 2" xfId="1765"/>
    <cellStyle name="_Дискетга аа 3" xfId="1766"/>
    <cellStyle name="_Дискетга аа 3" xfId="1767"/>
    <cellStyle name="_Дискетга аа_УХКМ ва БИО форма 01. 02. 09" xfId="1768"/>
    <cellStyle name="_Дискетга аа_УХКМ ва БИО форма 01. 02. 09" xfId="1769"/>
    <cellStyle name="_Дискетга аа_УХКМ ва БИО форма 01. 02. 09" xfId="1770"/>
    <cellStyle name="_Дискетга аа_УХКМ ва БИО форма 01. 02. 09" xfId="1771"/>
    <cellStyle name="_доп. табл по Поручению министра - посл." xfId="1772"/>
    <cellStyle name="_доп. табл по Поручению министра - посл." xfId="1773"/>
    <cellStyle name="_доп. табл по Поручению министра - посл._Import_Forecast(last)_12.09.11 (Ismailovu)" xfId="1774"/>
    <cellStyle name="_доп. табл по Поручению министра - посл._Import_Forecast(last)_12.09.11 (Ismailovu)" xfId="1775"/>
    <cellStyle name="_Дустлик 01,10,06" xfId="1776"/>
    <cellStyle name="_Дустлик 01,10,06" xfId="1777"/>
    <cellStyle name="_Дустлик 01,10,06" xfId="1778"/>
    <cellStyle name="_Дустлик 01,10,06" xfId="1779"/>
    <cellStyle name="_Дустлик 01,10,06 2" xfId="1780"/>
    <cellStyle name="_Дустлик 01,10,06 2" xfId="1781"/>
    <cellStyle name="_Дустлик 01,10,06 2" xfId="1782"/>
    <cellStyle name="_Дустлик 01,10,06 2" xfId="1783"/>
    <cellStyle name="_Дустлик 01,10,06 3" xfId="1784"/>
    <cellStyle name="_Дустлик 01,10,06 3" xfId="1785"/>
    <cellStyle name="_Дустлик 01,10,06 3" xfId="1786"/>
    <cellStyle name="_Дустлик 01,10,06 3" xfId="1787"/>
    <cellStyle name="_Дустлик 01,10,06_УХКМ ва БИО форма 01. 02. 09" xfId="1788"/>
    <cellStyle name="_Дустлик 01,10,06_УХКМ ва БИО форма 01. 02. 09" xfId="1789"/>
    <cellStyle name="_Дустлик 01,10,06_УХКМ ва БИО форма 01. 02. 09" xfId="1790"/>
    <cellStyle name="_Дустлик 01,10,06_УХКМ ва БИО форма 01. 02. 09" xfId="1791"/>
    <cellStyle name="_Дустлик 13,10,061 га " xfId="1792"/>
    <cellStyle name="_Дустлик 13,10,061 га " xfId="1793"/>
    <cellStyle name="_Дустлик 13,10,061 га " xfId="1794"/>
    <cellStyle name="_Дустлик 13,10,061 га " xfId="1795"/>
    <cellStyle name="_Дустлик 13,10,061 га  2" xfId="1796"/>
    <cellStyle name="_Дустлик 13,10,061 га  2" xfId="1797"/>
    <cellStyle name="_Дустлик 13,10,061 га  3" xfId="1798"/>
    <cellStyle name="_Дустлик 13,10,061 га  3" xfId="1799"/>
    <cellStyle name="_Дустлик 13,10,061 га _УХКМ ва БИО форма 01. 02. 09" xfId="1800"/>
    <cellStyle name="_Дустлик 13,10,061 га _УХКМ ва БИО форма 01. 02. 09" xfId="1801"/>
    <cellStyle name="_Дустлик 13,10,061 га _УХКМ ва БИО форма 01. 02. 09" xfId="1802"/>
    <cellStyle name="_Дустлик 13,10,061 га _УХКМ ва БИО форма 01. 02. 09" xfId="1803"/>
    <cellStyle name="_Дустлик 15,09,06 мониторинг" xfId="1804"/>
    <cellStyle name="_Дустлик 15,09,06 мониторинг" xfId="1805"/>
    <cellStyle name="_Дустлик 15,09,06 мониторинг" xfId="1806"/>
    <cellStyle name="_Дустлик 15,09,06 мониторинг" xfId="1807"/>
    <cellStyle name="_Дустлик 15,09,06 мониторинг 2" xfId="1808"/>
    <cellStyle name="_Дустлик 15,09,06 мониторинг 2" xfId="1809"/>
    <cellStyle name="_Дустлик 15,09,06 мониторинг 3" xfId="1810"/>
    <cellStyle name="_Дустлик 15,09,06 мониторинг 3" xfId="1811"/>
    <cellStyle name="_Дустлик 15,09,06 мониторинг_УХКМ ва БИО форма 01. 02. 09" xfId="1812"/>
    <cellStyle name="_Дустлик 15,09,06 мониторинг_УХКМ ва БИО форма 01. 02. 09" xfId="1813"/>
    <cellStyle name="_Дустлик 15,09,06 мониторинг_УХКМ ва БИО форма 01. 02. 09" xfId="1814"/>
    <cellStyle name="_Дустлик 15,09,06 мониторинг_УХКМ ва БИО форма 01. 02. 09" xfId="1815"/>
    <cellStyle name="_Дустлик 2-05-07 мониторинг янг" xfId="1816"/>
    <cellStyle name="_Дустлик 2-05-07 мониторинг янг" xfId="1817"/>
    <cellStyle name="_Дустлик 2-05-07 мониторинг янг" xfId="1818"/>
    <cellStyle name="_Дустлик 2-05-07 мониторинг янг" xfId="1819"/>
    <cellStyle name="_Дустлик 2-05-07 мониторинг янг 2" xfId="1820"/>
    <cellStyle name="_Дустлик 2-05-07 мониторинг янг 2" xfId="1821"/>
    <cellStyle name="_Дустлик 2-05-07 мониторинг янг 2" xfId="1822"/>
    <cellStyle name="_Дустлик 2-05-07 мониторинг янг 2" xfId="1823"/>
    <cellStyle name="_Дустлик 2-05-07 мониторинг янг 3" xfId="1824"/>
    <cellStyle name="_Дустлик 2-05-07 мониторинг янг 3" xfId="1825"/>
    <cellStyle name="_Дустлик 2-05-07 мониторинг янг 3" xfId="1826"/>
    <cellStyle name="_Дустлик 2-05-07 мониторинг янг 3" xfId="1827"/>
    <cellStyle name="_Дустлик 31-05-07 Вилоятга" xfId="1828"/>
    <cellStyle name="_Дустлик 31-05-07 Вилоятга" xfId="1829"/>
    <cellStyle name="_Дустлик 31-05-07 Вилоятга" xfId="1830"/>
    <cellStyle name="_Дустлик 31-05-07 Вилоятга" xfId="1831"/>
    <cellStyle name="_Дустлик 31-05-07 Вилоятга 2" xfId="1832"/>
    <cellStyle name="_Дустлик 31-05-07 Вилоятга 2" xfId="1833"/>
    <cellStyle name="_Дустлик 31-05-07 Вилоятга 2" xfId="1834"/>
    <cellStyle name="_Дустлик 31-05-07 Вилоятга 2" xfId="1835"/>
    <cellStyle name="_Дустлик 31-05-07 Вилоятга 3" xfId="1836"/>
    <cellStyle name="_Дустлик 31-05-07 Вилоятга 3" xfId="1837"/>
    <cellStyle name="_Дустлик 31-05-07 Вилоятга 3" xfId="1838"/>
    <cellStyle name="_Дустлик 31-05-07 Вилоятга 3" xfId="1839"/>
    <cellStyle name="_Дустлик 31-05-07 Вилоятга_УХКМ ва БИО форма 01. 02. 09" xfId="1840"/>
    <cellStyle name="_Дустлик 31-05-07 Вилоятга_УХКМ ва БИО форма 01. 02. 09" xfId="1841"/>
    <cellStyle name="_Дустлик 31-05-07 Вилоятга_УХКМ ва БИО форма 01. 02. 09" xfId="1842"/>
    <cellStyle name="_Дустлик 31-05-07 Вилоятга_УХКМ ва БИО форма 01. 02. 09" xfId="1843"/>
    <cellStyle name="_Дустлик анализ 30-07-06" xfId="1844"/>
    <cellStyle name="_Дустлик анализ 30-07-06" xfId="1845"/>
    <cellStyle name="_Дустлик анализ 30-07-06" xfId="1846"/>
    <cellStyle name="_Дустлик анализ 30-07-06" xfId="1847"/>
    <cellStyle name="_Дустлик анализ 30-07-06 2" xfId="1848"/>
    <cellStyle name="_Дустлик анализ 30-07-06 2" xfId="1849"/>
    <cellStyle name="_Дустлик анализ 30-07-06 2" xfId="1850"/>
    <cellStyle name="_Дустлик анализ 30-07-06 2" xfId="1851"/>
    <cellStyle name="_Дустлик анализ 30-07-06 3" xfId="1852"/>
    <cellStyle name="_Дустлик анализ 30-07-06 3" xfId="1853"/>
    <cellStyle name="_Дустлик анализ 30-07-06 3" xfId="1854"/>
    <cellStyle name="_Дустлик анализ 30-07-06 3" xfId="1855"/>
    <cellStyle name="_Дустлик анализ 30-07-06_УХКМ ва БИО форма 01. 02. 09" xfId="1856"/>
    <cellStyle name="_Дустлик анализ 30-07-06_УХКМ ва БИО форма 01. 02. 09" xfId="1857"/>
    <cellStyle name="_Дустлик анализ 30-07-06_УХКМ ва БИО форма 01. 02. 09" xfId="1858"/>
    <cellStyle name="_Дустлик анализ 30-07-06_УХКМ ва БИО форма 01. 02. 09" xfId="1859"/>
    <cellStyle name="_Дустлик пахта 04-06-07" xfId="1860"/>
    <cellStyle name="_Дустлик пахта 04-06-07" xfId="1861"/>
    <cellStyle name="_Дустлик пахта 04-06-07" xfId="1862"/>
    <cellStyle name="_Дустлик пахта 04-06-07" xfId="1863"/>
    <cellStyle name="_Дустлик пахта 16-06-07" xfId="1864"/>
    <cellStyle name="_Дустлик пахта 16-06-07" xfId="1865"/>
    <cellStyle name="_Дустлик пахта 16-06-07" xfId="1866"/>
    <cellStyle name="_Дустлик пахта 16-06-07" xfId="1867"/>
    <cellStyle name="_Дустлик пахта 16-06-07 2" xfId="1868"/>
    <cellStyle name="_Дустлик пахта 16-06-07 2" xfId="1869"/>
    <cellStyle name="_Дустлик пахта 16-06-07 2" xfId="1870"/>
    <cellStyle name="_Дустлик пахта 16-06-07 2" xfId="1871"/>
    <cellStyle name="_Дустлик пахта 16-06-07 3" xfId="1872"/>
    <cellStyle name="_Дустлик пахта 16-06-07 3" xfId="1873"/>
    <cellStyle name="_Дустлик пахта 16-06-07 3" xfId="1874"/>
    <cellStyle name="_Дустлик пахта 16-06-07 3" xfId="1875"/>
    <cellStyle name="_Дустлик сводка 08-06-07 й Вилоятга" xfId="1876"/>
    <cellStyle name="_Дустлик сводка 08-06-07 й Вилоятга" xfId="1877"/>
    <cellStyle name="_Дустлик сводка 08-06-07 й Вилоятга" xfId="1878"/>
    <cellStyle name="_Дустлик сводка 08-06-07 й Вилоятга" xfId="1879"/>
    <cellStyle name="_Дустлик сводка 08-06-07 й Вилоятга 2" xfId="1880"/>
    <cellStyle name="_Дустлик сводка 08-06-07 й Вилоятга 2" xfId="1881"/>
    <cellStyle name="_Дустлик сводка 08-06-07 й Вилоятга 2" xfId="1882"/>
    <cellStyle name="_Дустлик сводка 08-06-07 й Вилоятга 2" xfId="1883"/>
    <cellStyle name="_Дустлик сводка 08-06-07 й Вилоятга 3" xfId="1884"/>
    <cellStyle name="_Дустлик сводка 08-06-07 й Вилоятга 3" xfId="1885"/>
    <cellStyle name="_Дустлик сводка 08-06-07 й Вилоятга 3" xfId="1886"/>
    <cellStyle name="_Дустлик сводка 08-06-07 й Вилоятга 3" xfId="1887"/>
    <cellStyle name="_Дустлик сводка 09-06-07 й Вилоятга" xfId="1888"/>
    <cellStyle name="_Дустлик сводка 09-06-07 й Вилоятга" xfId="1889"/>
    <cellStyle name="_Дустлик сводка 09-06-07 й Вилоятга" xfId="1890"/>
    <cellStyle name="_Дустлик сводка 09-06-07 й Вилоятга" xfId="1891"/>
    <cellStyle name="_Дустлик сводка 09-06-07 й Вилоятга 2" xfId="1892"/>
    <cellStyle name="_Дустлик сводка 09-06-07 й Вилоятга 2" xfId="1893"/>
    <cellStyle name="_Дустлик сводка 09-06-07 й Вилоятга 2" xfId="1894"/>
    <cellStyle name="_Дустлик сводка 09-06-07 й Вилоятга 2" xfId="1895"/>
    <cellStyle name="_Дустлик сводка 09-06-07 й Вилоятга 3" xfId="1896"/>
    <cellStyle name="_Дустлик сводка 09-06-07 й Вилоятга 3" xfId="1897"/>
    <cellStyle name="_Дустлик сводка 09-06-07 й Вилоятга 3" xfId="1898"/>
    <cellStyle name="_Дустлик сводка 09-06-07 й Вилоятга 3" xfId="1899"/>
    <cellStyle name="_Дустлик сводка 10-06-07 й Вилоятга" xfId="1900"/>
    <cellStyle name="_Дустлик сводка 10-06-07 й Вилоятга" xfId="1901"/>
    <cellStyle name="_Дустлик сводка 10-06-07 й Вилоятга" xfId="1902"/>
    <cellStyle name="_Дустлик сводка 10-06-07 й Вилоятга" xfId="1903"/>
    <cellStyle name="_Дустлик сводка 10-06-07 й Вилоятга 2" xfId="1904"/>
    <cellStyle name="_Дустлик сводка 10-06-07 й Вилоятга 2" xfId="1905"/>
    <cellStyle name="_Дустлик сводка 10-06-07 й Вилоятга 2" xfId="1906"/>
    <cellStyle name="_Дустлик сводка 10-06-07 й Вилоятга 2" xfId="1907"/>
    <cellStyle name="_Дустлик сводка 10-06-07 й Вилоятга 3" xfId="1908"/>
    <cellStyle name="_Дустлик сводка 10-06-07 й Вилоятга 3" xfId="1909"/>
    <cellStyle name="_Дустлик сводка 10-06-07 й Вилоятга 3" xfId="1910"/>
    <cellStyle name="_Дустлик сводка 10-06-07 й Вилоятга 3" xfId="1911"/>
    <cellStyle name="_Дустлик сводка 1-06-07" xfId="1912"/>
    <cellStyle name="_Дустлик сводка 1-06-07" xfId="1913"/>
    <cellStyle name="_Дустлик сводка 1-06-07" xfId="1914"/>
    <cellStyle name="_Дустлик сводка 1-06-07" xfId="1915"/>
    <cellStyle name="_Дустлик сводка 1-06-07 2" xfId="1916"/>
    <cellStyle name="_Дустлик сводка 1-06-07 2" xfId="1917"/>
    <cellStyle name="_Дустлик сводка 1-06-07 2" xfId="1918"/>
    <cellStyle name="_Дустлик сводка 1-06-07 2" xfId="1919"/>
    <cellStyle name="_Дустлик сводка 1-06-07 3" xfId="1920"/>
    <cellStyle name="_Дустлик сводка 1-06-07 3" xfId="1921"/>
    <cellStyle name="_Дустлик сводка 1-06-07 3" xfId="1922"/>
    <cellStyle name="_Дустлик сводка 1-06-07 3" xfId="1923"/>
    <cellStyle name="_Дустлик сводка 1-06-07_УХКМ ва БИО форма 01. 02. 09" xfId="1924"/>
    <cellStyle name="_Дустлик сводка 1-06-07_УХКМ ва БИО форма 01. 02. 09" xfId="1925"/>
    <cellStyle name="_Дустлик сводка 1-06-07_УХКМ ва БИО форма 01. 02. 09" xfId="1926"/>
    <cellStyle name="_Дустлик сводка 1-06-07_УХКМ ва БИО форма 01. 02. 09" xfId="1927"/>
    <cellStyle name="_Дустлик сводка 11-06-07 й Вилоятга" xfId="1928"/>
    <cellStyle name="_Дустлик сводка 11-06-07 й Вилоятга" xfId="1929"/>
    <cellStyle name="_Дустлик сводка 11-06-07 й Вилоятга" xfId="1930"/>
    <cellStyle name="_Дустлик сводка 11-06-07 й Вилоятга" xfId="1931"/>
    <cellStyle name="_Дустлик сводка 11-06-07 й Вилоятга 2" xfId="1932"/>
    <cellStyle name="_Дустлик сводка 11-06-07 й Вилоятга 2" xfId="1933"/>
    <cellStyle name="_Дустлик сводка 11-06-07 й Вилоятга 2" xfId="1934"/>
    <cellStyle name="_Дустлик сводка 11-06-07 й Вилоятга 2" xfId="1935"/>
    <cellStyle name="_Дустлик сводка 11-06-07 й Вилоятга 3" xfId="1936"/>
    <cellStyle name="_Дустлик сводка 11-06-07 й Вилоятга 3" xfId="1937"/>
    <cellStyle name="_Дустлик сводка 11-06-07 й Вилоятга 3" xfId="1938"/>
    <cellStyle name="_Дустлик сводка 11-06-07 й Вилоятга 3" xfId="1939"/>
    <cellStyle name="_Дустлик сводка 13-06-07 й Вилоятга" xfId="1940"/>
    <cellStyle name="_Дустлик сводка 13-06-07 й Вилоятга" xfId="1941"/>
    <cellStyle name="_Дустлик сводка 13-06-07 й Вилоятга" xfId="1942"/>
    <cellStyle name="_Дустлик сводка 13-06-07 й Вилоятга" xfId="1943"/>
    <cellStyle name="_Дустлик сводка 13-06-07 й Вилоятга 2" xfId="1944"/>
    <cellStyle name="_Дустлик сводка 13-06-07 й Вилоятга 2" xfId="1945"/>
    <cellStyle name="_Дустлик сводка 13-06-07 й Вилоятга 2" xfId="1946"/>
    <cellStyle name="_Дустлик сводка 13-06-07 й Вилоятга 2" xfId="1947"/>
    <cellStyle name="_Дустлик сводка 13-06-07 й Вилоятга 3" xfId="1948"/>
    <cellStyle name="_Дустлик сводка 13-06-07 й Вилоятга 3" xfId="1949"/>
    <cellStyle name="_Дустлик сводка 13-06-07 й Вилоятга 3" xfId="1950"/>
    <cellStyle name="_Дустлик сводка 13-06-07 й Вилоятга 3" xfId="1951"/>
    <cellStyle name="_Ёпилган форма туланган 13-03-07" xfId="1952"/>
    <cellStyle name="_Ёпилган форма туланган 13-03-07" xfId="1953"/>
    <cellStyle name="_Ёпилган форма туланган 13-03-07" xfId="1954"/>
    <cellStyle name="_Ёпилган форма туланган 13-03-07" xfId="1955"/>
    <cellStyle name="_Ёпилган форма туланган 13-03-07 2" xfId="1956"/>
    <cellStyle name="_Ёпилган форма туланган 13-03-07 2" xfId="1957"/>
    <cellStyle name="_Ёпилган форма туланган 13-03-07 2" xfId="1958"/>
    <cellStyle name="_Ёпилган форма туланган 13-03-07 2" xfId="1959"/>
    <cellStyle name="_Ёпилган форма туланган 13-03-07 3" xfId="1960"/>
    <cellStyle name="_Ёпилган форма туланган 13-03-07 3" xfId="1961"/>
    <cellStyle name="_Ёпилган форма туланган 13-03-07 3" xfId="1962"/>
    <cellStyle name="_Ёпилган форма туланган 13-03-07 3" xfId="1963"/>
    <cellStyle name="_Ёпилган форма туланган 13-03-07_УХКМ ва БИО форма 01. 02. 09" xfId="1964"/>
    <cellStyle name="_Ёпилган форма туланган 13-03-07_УХКМ ва БИО форма 01. 02. 09" xfId="1965"/>
    <cellStyle name="_Ёпилган форма туланган 13-03-07_УХКМ ва БИО форма 01. 02. 09" xfId="1966"/>
    <cellStyle name="_Ёпилган форма туланган 13-03-07_УХКМ ва БИО форма 01. 02. 09" xfId="1967"/>
    <cellStyle name="_Жадвал" xfId="1968"/>
    <cellStyle name="_Жадвал" xfId="1969"/>
    <cellStyle name="_Жадвал" xfId="1970"/>
    <cellStyle name="_Жадвал" xfId="1971"/>
    <cellStyle name="_Жадвал саноат 2009 ОХИРИ" xfId="1972"/>
    <cellStyle name="_Жадвал саноат 2009 ОХИРИ" xfId="1973"/>
    <cellStyle name="_Жадвал_2008 ОКТЯБР ишчи жадвал формула" xfId="1974"/>
    <cellStyle name="_Жадвал_2008 ОКТЯБР ишчи жадвал формула" xfId="1975"/>
    <cellStyle name="_Жадвал_2008 ОКТЯБР ишчи жадвал формула" xfId="1976"/>
    <cellStyle name="_Жадвал_2008 ОКТЯБР ишчи жадвал формула" xfId="1977"/>
    <cellStyle name="_Жадвал_2008 ОКТЯБР ишчи жадвал формула_2008 йил 1-декабр-сводлар-узгарди" xfId="1978"/>
    <cellStyle name="_Жадвал_2008 ОКТЯБР ишчи жадвал формула_2008 йил 1-декабр-сводлар-узгарди" xfId="1979"/>
    <cellStyle name="_Жадвал_2008 ОКТЯБР ишчи жадвал формула_2008 йил 1-декабр-сводлар-узгарди" xfId="1980"/>
    <cellStyle name="_Жадвал_2008 ОКТЯБР ишчи жадвал формула_2008 йил 1-декабр-сводлар-узгарди" xfId="1981"/>
    <cellStyle name="_Жадвал_2008 ОКТЯБР ишчи жадвал формула_2008 йил 1-ноябр-баланс билан" xfId="1982"/>
    <cellStyle name="_Жадвал_2008 ОКТЯБР ишчи жадвал формула_2008 йил 1-ноябр-баланс билан" xfId="1983"/>
    <cellStyle name="_Жадвал_2008 ОКТЯБР ишчи жадвал формула_2008 йил 1-ноябр-баланс билан" xfId="1984"/>
    <cellStyle name="_Жадвал_2008 ОКТЯБР ишчи жадвал формула_2008 йил 1-ноябр-баланс билан" xfId="1985"/>
    <cellStyle name="_Жадвал_2008_iil_APREL_ishchi_zhadval_formula2-СВОД" xfId="1986"/>
    <cellStyle name="_Жадвал_2008_iil_APREL_ishchi_zhadval_formula2-СВОД" xfId="1987"/>
    <cellStyle name="_Жадвал_2008_iil_APREL_ishchi_zhadval_formula2-СВОД" xfId="1988"/>
    <cellStyle name="_Жадвал_2008_iil_APREL_ishchi_zhadval_formula2-СВОД" xfId="1989"/>
    <cellStyle name="_Жадвал_Апрел кр такс иш хаки тулик 5.04.08 МБ га" xfId="1990"/>
    <cellStyle name="_Жадвал_Апрел кр такс иш хаки тулик 5.04.08 МБ га" xfId="1991"/>
    <cellStyle name="_Жадвал_Апрел кр такс иш хаки тулик 5.04.08 МБ га" xfId="1992"/>
    <cellStyle name="_Жадвал_Апрел кр такс иш хаки тулик 5.04.08 МБ га" xfId="1993"/>
    <cellStyle name="_Жадвал_ЛИЗИНГ МОНИТОРИНГИ-1.11.08й русумлар буйича" xfId="1994"/>
    <cellStyle name="_Жадвал_ЛИЗИНГ МОНИТОРИНГИ-1.11.08й русумлар буйича" xfId="1995"/>
    <cellStyle name="_Жадвал_ЛИЗИНГ МОНИТОРИНГИ-1.11.08й русумлар буйича" xfId="1996"/>
    <cellStyle name="_Жадвал_ЛИЗИНГ МОНИТОРИНГИ-1.11.08й русумлар буйича" xfId="1997"/>
    <cellStyle name="_Жадвал_УХКМ ва БИО форма 01. 02. 09" xfId="1998"/>
    <cellStyle name="_Жадвал_УХКМ ва БИО форма 01. 02. 09" xfId="1999"/>
    <cellStyle name="_Жадвал_УХКМ ва БИО форма 01. 02. 09" xfId="2000"/>
    <cellStyle name="_Жадвал_УХКМ ва БИО форма 01. 02. 09" xfId="2001"/>
    <cellStyle name="_Жиззах тумани" xfId="2002"/>
    <cellStyle name="_Жиззах тумани" xfId="2003"/>
    <cellStyle name="_Зарбдор туман" xfId="2004"/>
    <cellStyle name="_Зарбдор туман" xfId="2005"/>
    <cellStyle name="_Зарбдор туман" xfId="2006"/>
    <cellStyle name="_Зарбдор туман" xfId="2007"/>
    <cellStyle name="_Зафаробод Кредит1111" xfId="2008"/>
    <cellStyle name="_Зафаробод Кредит1111" xfId="2009"/>
    <cellStyle name="_Зафаробод Кредит1111" xfId="2010"/>
    <cellStyle name="_Зафаробод Кредит1111" xfId="2011"/>
    <cellStyle name="_Зафаробод Кредит1111_Апрел кр такс иш хаки тулик 5.04.08 МБ га" xfId="2012"/>
    <cellStyle name="_Зафаробод Кредит1111_Апрел кр такс иш хаки тулик 5.04.08 МБ га" xfId="2013"/>
    <cellStyle name="_Зафаробод Кредит1111_Апрел кр такс иш хаки тулик 5.04.08 МБ га" xfId="2014"/>
    <cellStyle name="_Зафаробод Кредит1111_Апрел кр такс иш хаки тулик 5.04.08 МБ га" xfId="2015"/>
    <cellStyle name="_Зафаробод Кредит1111_ЛИЗИНГ МОНИТОРИНГИ-1.11.08й русумлар буйича" xfId="2016"/>
    <cellStyle name="_Зафаробод Кредит1111_ЛИЗИНГ МОНИТОРИНГИ-1.11.08й русумлар буйича" xfId="2017"/>
    <cellStyle name="_Зафаробод Кредит1111_ЛИЗИНГ МОНИТОРИНГИ-1.11.08й русумлар буйича" xfId="2018"/>
    <cellStyle name="_Зафаробод Кредит1111_ЛИЗИНГ МОНИТОРИНГИ-1.11.08й русумлар буйича" xfId="2019"/>
    <cellStyle name="_Зафаробод Кредит1111_УХКМ ва БИО форма 01. 02. 09" xfId="2020"/>
    <cellStyle name="_Зафаробод Кредит1111_УХКМ ва БИО форма 01. 02. 09" xfId="2021"/>
    <cellStyle name="_Зафаробод Кредит1111_УХКМ ва БИО форма 01. 02. 09" xfId="2022"/>
    <cellStyle name="_Зафаробод Кредит1111_УХКМ ва БИО форма 01. 02. 09" xfId="2023"/>
    <cellStyle name="_Зафаробод ПТК 1 май" xfId="2024"/>
    <cellStyle name="_Зафаробод ПТК 1 май" xfId="2025"/>
    <cellStyle name="_Зафаробод ПТК 1 май" xfId="2026"/>
    <cellStyle name="_Зафаробод ПТК 1 май" xfId="2027"/>
    <cellStyle name="_Зафаробод ПТК 1 май 2" xfId="2028"/>
    <cellStyle name="_Зафаробод ПТК 1 май 2" xfId="2029"/>
    <cellStyle name="_Зафаробод ПТК 1 май 2" xfId="2030"/>
    <cellStyle name="_Зафаробод ПТК 1 май 2" xfId="2031"/>
    <cellStyle name="_Зафаробод ПТК 1 май 3" xfId="2032"/>
    <cellStyle name="_Зафаробод ПТК 1 май 3" xfId="2033"/>
    <cellStyle name="_Зафаробод ПТК 1 май 3" xfId="2034"/>
    <cellStyle name="_Зафаробод ПТК 1 май 3" xfId="2035"/>
    <cellStyle name="_Зафаробод ПТК 1 май_2008 йил 1-декабр-сводлар-узгарди" xfId="2036"/>
    <cellStyle name="_Зафаробод ПТК 1 май_2008 йил 1-декабр-сводлар-узгарди" xfId="2037"/>
    <cellStyle name="_Зафаробод ПТК 1 май_2008 йил 1-ноябр-баланс билан" xfId="2038"/>
    <cellStyle name="_Зафаробод ПТК 1 май_2008 йил 1-ноябр-баланс билан" xfId="2039"/>
    <cellStyle name="_Зафаробод ПТК 1 май_2008 ОКТЯБР ишчи жадвал формула" xfId="2040"/>
    <cellStyle name="_Зафаробод ПТК 1 май_2008 ОКТЯБР ишчи жадвал формула" xfId="2041"/>
    <cellStyle name="_Зафаробод ПТК 1 май_2008 ОКТЯБР ишчи жадвал формула" xfId="2042"/>
    <cellStyle name="_Зафаробод ПТК 1 май_2008 ОКТЯБР ишчи жадвал формула" xfId="2043"/>
    <cellStyle name="_Зафаробод ПТК 1 май_2008 ОКТЯБР ишчи жадвал формула_2008 йил 1-декабр-сводлар-узгарди" xfId="2044"/>
    <cellStyle name="_Зафаробод ПТК 1 май_2008 ОКТЯБР ишчи жадвал формула_2008 йил 1-декабр-сводлар-узгарди" xfId="2045"/>
    <cellStyle name="_Зафаробод ПТК 1 май_2008 ОКТЯБР ишчи жадвал формула_2008 йил 1-декабр-сводлар-узгарди" xfId="2046"/>
    <cellStyle name="_Зафаробод ПТК 1 май_2008 ОКТЯБР ишчи жадвал формула_2008 йил 1-декабр-сводлар-узгарди" xfId="2047"/>
    <cellStyle name="_Зафаробод ПТК 1 май_2008 ОКТЯБР ишчи жадвал формула_2008 йил 1-ноябр-баланс билан" xfId="2048"/>
    <cellStyle name="_Зафаробод ПТК 1 май_2008 ОКТЯБР ишчи жадвал формула_2008 йил 1-ноябр-баланс билан" xfId="2049"/>
    <cellStyle name="_Зафаробод ПТК 1 май_2008 ОКТЯБР ишчи жадвал формула_2008 йил 1-ноябр-баланс билан" xfId="2050"/>
    <cellStyle name="_Зафаробод ПТК 1 май_2008 ОКТЯБР ишчи жадвал формула_2008 йил 1-ноябр-баланс билан" xfId="2051"/>
    <cellStyle name="_Зафаробод ПТК 1 май_2008_iil_APREL_ishchi_zhadval_formula2-СВОД" xfId="2052"/>
    <cellStyle name="_Зафаробод ПТК 1 май_2008_iil_APREL_ishchi_zhadval_formula2-СВОД" xfId="2053"/>
    <cellStyle name="_Зафаробод ПТК 1 май_2008_iil_APREL_ishchi_zhadval_formula2-СВОД" xfId="2054"/>
    <cellStyle name="_Зафаробод ПТК 1 май_2008_iil_APREL_ishchi_zhadval_formula2-СВОД" xfId="2055"/>
    <cellStyle name="_Зафаробод ПТК 1 май_Апрел кр такс иш хаки тулик 5.04.08 МБ га" xfId="2056"/>
    <cellStyle name="_Зафаробод ПТК 1 май_Апрел кр такс иш хаки тулик 5.04.08 МБ га" xfId="2057"/>
    <cellStyle name="_Зафаробод ПТК 1 май_Марказга1" xfId="2058"/>
    <cellStyle name="_Зафаробод ПТК 1 май_Марказга1" xfId="2059"/>
    <cellStyle name="_Зафаробод-19-олтин" xfId="2060"/>
    <cellStyle name="_Зафаробод-19-олтин" xfId="2061"/>
    <cellStyle name="_Зафаробод-19-олтин" xfId="2062"/>
    <cellStyle name="_Зафаробод-19-олтин" xfId="2063"/>
    <cellStyle name="_Зафаробод-19-олтин 2" xfId="2064"/>
    <cellStyle name="_Зафаробод-19-олтин 2" xfId="2065"/>
    <cellStyle name="_Зафаробод-19-олтин 2" xfId="2066"/>
    <cellStyle name="_Зафаробод-19-олтин 2" xfId="2067"/>
    <cellStyle name="_Зафаробод-19-олтин 3" xfId="2068"/>
    <cellStyle name="_Зафаробод-19-олтин 3" xfId="2069"/>
    <cellStyle name="_Зафаробод-19-олтин 3" xfId="2070"/>
    <cellStyle name="_Зафаробод-19-олтин 3" xfId="2071"/>
    <cellStyle name="_иктисодга" xfId="2072"/>
    <cellStyle name="_иктисодга" xfId="2073"/>
    <cellStyle name="_Иссикхона 20 апрел" xfId="2074"/>
    <cellStyle name="_Карор буйича 31 октябр" xfId="2075"/>
    <cellStyle name="_Карор буйича 31 октябр_10" xfId="2076"/>
    <cellStyle name="_Карор буйича 31 октябр_10" xfId="2077"/>
    <cellStyle name="_Карор буйича 31 октябр_Кашкадарё 22.11.10." xfId="2078"/>
    <cellStyle name="_Карор буйича 31 октябр_Кашкадарё 22.11.10." xfId="2079"/>
    <cellStyle name="_Карор буйича 31 октябр_Кашкадарё охиргиси 26.08.10." xfId="2080"/>
    <cellStyle name="_Карор буйича 31 октябр_Кашкадарё охиргиси 26.08.10." xfId="2081"/>
    <cellStyle name="_Карор буйича 31 октябр_Кашкадарё ЯНГИ" xfId="2082"/>
    <cellStyle name="_Карор буйича 31 октябр_Кашкадарё ЯНГИ" xfId="2083"/>
    <cellStyle name="_Карор буйича 31 октябр_Кашкадарья экспорт  2011-2015 гг Отабекка" xfId="2084"/>
    <cellStyle name="_Карор буйича 31 октябр_Кашкадарья экспорт  2011-2015 гг Отабекка" xfId="2085"/>
    <cellStyle name="_Карор буйича 31 октябр_Кашкадарья экспорт  2011-2015 гг Отабекка 2" xfId="2086"/>
    <cellStyle name="_Карор буйича 31 октябр_Кашкадарья экспорт  2011-2015 гг Отабекка 2" xfId="2087"/>
    <cellStyle name="_Карор буйича 31 октябр_Кашкадарья экспорт  2011-2015 гг Отабекка 3" xfId="2088"/>
    <cellStyle name="_Карор буйича 31 октябр_Кашкадарья экспорт  2011-2015 гг Отабекка 3" xfId="2089"/>
    <cellStyle name="_Карор буйича 31 октябр_Кашкадарья экспорт  2011-2015 гг Отабекка 4" xfId="2090"/>
    <cellStyle name="_Карор буйича 31 октябр_Кашкадарья экспорт  2011-2015 гг Отабекка 4" xfId="2091"/>
    <cellStyle name="_Карор буйича 31 октябр_Кашкадарья экспорт  2011-2015 гг Отабекка_7 илова" xfId="2092"/>
    <cellStyle name="_Карор буйича 31 октябр_Кашкадарья экспорт  2011-2015 гг Отабекка_7 илова" xfId="2093"/>
    <cellStyle name="_Карор буйича 31 октябр_Кашкадарья экспорт  2011-2015 гг Отабекка_7 илова 2" xfId="2094"/>
    <cellStyle name="_Карор буйича 31 октябр_Кашкадарья экспорт  2011-2015 гг Отабекка_7 илова 2" xfId="2095"/>
    <cellStyle name="_Карор буйича 31 октябр_Кашкадарья экспорт  2011-2015 гг Отабекка_7 илова 3" xfId="2096"/>
    <cellStyle name="_Карор буйича 31 октябр_Кашкадарья экспорт  2011-2015 гг Отабекка_7 илова 3" xfId="2097"/>
    <cellStyle name="_Карор буйича 31 октябр_Кашкадарья экспорт  2011-2015 гг Отабекка_7 илова 4" xfId="2098"/>
    <cellStyle name="_Карор буйича 31 октябр_Кашкадарья экспорт  2011-2015 гг Отабекка_7 илова 4" xfId="2099"/>
    <cellStyle name="_Карор буйича 31 октябр_Кашкадарья экспорт  2011-2015 гг Отабекка_Хоразм 2013-2015 саноат дастури 12.11.2012. 19-4812" xfId="2100"/>
    <cellStyle name="_Карор буйича 31 октябр_Кашкадарья экспорт  2011-2015 гг Отабекка_Хоразм 2013-2015 саноат дастури 12.11.2012. 19-4812" xfId="2101"/>
    <cellStyle name="_Карор буйича 31 октябр_Макет 11-15 Кашкадарё охиргиси 27.08.10." xfId="2102"/>
    <cellStyle name="_Карор буйича 31 октябр_Макет 11-15 Кашкадарё охиргиси 27.08.10." xfId="2103"/>
    <cellStyle name="_Карор буйича 31 октябр_Макет 11-15 Охиргиси" xfId="2104"/>
    <cellStyle name="_Карор буйича 31 октябр_Макет 11-15 Охиргиси" xfId="2105"/>
    <cellStyle name="_Карор буйича 31 октябр_Макет 16.08 Кашкадарё..янги" xfId="2106"/>
    <cellStyle name="_Карор буйича 31 октябр_Макет 16.08 Кашкадарё..янги" xfId="2107"/>
    <cellStyle name="_Карор буйича 31 октябр_Макет 7.08" xfId="2108"/>
    <cellStyle name="_Карор буйича 31 октябр_Макет 7.08" xfId="2109"/>
    <cellStyle name="_Карор буйича 31 октябр_Макет 7.08 2" xfId="2110"/>
    <cellStyle name="_Карор буйича 31 октябр_Макет 7.08 2" xfId="2111"/>
    <cellStyle name="_Карор буйича 31 октябр_Макет 7.08 3" xfId="2112"/>
    <cellStyle name="_Карор буйича 31 октябр_Макет 7.08 3" xfId="2113"/>
    <cellStyle name="_Карор буйича 31 октябр_Макет 7.08 4" xfId="2114"/>
    <cellStyle name="_Карор буйича 31 октябр_Макет 7.08 4" xfId="2115"/>
    <cellStyle name="_Карор буйича 31 октябр_Макет 7.08_7 илова" xfId="2116"/>
    <cellStyle name="_Карор буйича 31 октябр_Макет 7.08_7 илова" xfId="2117"/>
    <cellStyle name="_Карор буйича 31 октябр_Макет 7.08_7 илова 2" xfId="2118"/>
    <cellStyle name="_Карор буйича 31 октябр_Макет 7.08_7 илова 2" xfId="2119"/>
    <cellStyle name="_Карор буйича 31 октябр_Макет 7.08_7 илова 3" xfId="2120"/>
    <cellStyle name="_Карор буйича 31 октябр_Макет 7.08_7 илова 3" xfId="2121"/>
    <cellStyle name="_Карор буйича 31 октябр_Макет 7.08_7 илова 4" xfId="2122"/>
    <cellStyle name="_Карор буйича 31 октябр_Макет 7.08_7 илова 4" xfId="2123"/>
    <cellStyle name="_Карор буйича 31 октябр_Макет 7.08_Хоразм 2013-2015 саноат дастури 12.11.2012. 19-4812" xfId="2124"/>
    <cellStyle name="_Карор буйича 31 октябр_Макет 7.08_Хоразм 2013-2015 саноат дастури 12.11.2012. 19-4812" xfId="2125"/>
    <cellStyle name="_Карор буйича 31 октябр_Наманган 2011-15  САНОАТ ДАСТУРИ" xfId="2126"/>
    <cellStyle name="_Карор буйича 31 октябр_Наманган 2011-15  САНОАТ ДАСТУРИ" xfId="2127"/>
    <cellStyle name="_Карор буйича 31 октябр_Наманган 2011-15  САНОАТ ДАСТУРИ 2" xfId="2128"/>
    <cellStyle name="_Карор буйича 31 октябр_Наманган 2011-15  САНОАТ ДАСТУРИ 2" xfId="2129"/>
    <cellStyle name="_Карор буйича 31 октябр_Наманган 2011-15  САНОАТ ДАСТУРИ 3" xfId="2130"/>
    <cellStyle name="_Карор буйича 31 октябр_Наманган 2011-15  САНОАТ ДАСТУРИ 3" xfId="2131"/>
    <cellStyle name="_Карор буйича 31 октябр_Наманган 2011-15  САНОАТ ДАСТУРИ 4" xfId="2132"/>
    <cellStyle name="_Карор буйича 31 октябр_Наманган 2011-15  САНОАТ ДАСТУРИ 4" xfId="2133"/>
    <cellStyle name="_Карор буйича 31 октябр_Наманган 2011-15  САНОАТ ДАСТУРИ_7 илова" xfId="2134"/>
    <cellStyle name="_Карор буйича 31 октябр_Наманган 2011-15  САНОАТ ДАСТУРИ_7 илова" xfId="2135"/>
    <cellStyle name="_Карор буйича 31 октябр_Наманган 2011-15  САНОАТ ДАСТУРИ_7 илова 2" xfId="2136"/>
    <cellStyle name="_Карор буйича 31 октябр_Наманган 2011-15  САНОАТ ДАСТУРИ_7 илова 2" xfId="2137"/>
    <cellStyle name="_Карор буйича 31 октябр_Наманган 2011-15  САНОАТ ДАСТУРИ_7 илова 3" xfId="2138"/>
    <cellStyle name="_Карор буйича 31 октябр_Наманган 2011-15  САНОАТ ДАСТУРИ_7 илова 3" xfId="2139"/>
    <cellStyle name="_Карор буйича 31 октябр_Наманган 2011-15  САНОАТ ДАСТУРИ_7 илова 4" xfId="2140"/>
    <cellStyle name="_Карор буйича 31 октябр_Наманган 2011-15  САНОАТ ДАСТУРИ_7 илова 4" xfId="2141"/>
    <cellStyle name="_Карор буйича 31 октябр_Наманган 2011-15  САНОАТ ДАСТУРИ_Хоразм 2013-2015 саноат дастури 12.11.2012. 19-4812" xfId="2142"/>
    <cellStyle name="_Карор буйича 31 октябр_Наманган 2011-15  САНОАТ ДАСТУРИ_Хоразм 2013-2015 саноат дастури 12.11.2012. 19-4812" xfId="2143"/>
    <cellStyle name="_Карор буйича охирги" xfId="2144"/>
    <cellStyle name="_Карор буйича охирги" xfId="2145"/>
    <cellStyle name="_ЛИЗИНГ МОНИТОРИНГИ-1.11.08й русумлар буйича" xfId="2146"/>
    <cellStyle name="_ЛИЗИНГ МОНИТОРИНГИ-1.11.08й русумлар буйича" xfId="2147"/>
    <cellStyle name="_ЛИЗИНГ МОНИТОРИНГИ-1.11.08й русумлар буйича" xfId="2148"/>
    <cellStyle name="_МАЙ кредит таксимоти 7 май БАНКЛАРГА" xfId="2149"/>
    <cellStyle name="_МАЙ кредит таксимоти 7 май БАНКЛАРГА" xfId="2150"/>
    <cellStyle name="_МАЙ кредит таксимоти 7 май БАНКЛАРГА" xfId="2151"/>
    <cellStyle name="_МАЙ кредит таксимоти 7 май БАНКЛАРГА" xfId="2152"/>
    <cellStyle name="_МАЙ кредит таксимоти 7 май БАНКЛАРГА 2" xfId="2153"/>
    <cellStyle name="_МАЙ кредит таксимоти 7 май БАНКЛАРГА 2" xfId="2154"/>
    <cellStyle name="_МАЙ кредит таксимоти 7 май БАНКЛАРГА 2" xfId="2155"/>
    <cellStyle name="_МАЙ кредит таксимоти 7 май БАНКЛАРГА 2" xfId="2156"/>
    <cellStyle name="_МАЙ кредит таксимоти 7 май БАНКЛАРГА 3" xfId="2157"/>
    <cellStyle name="_МАЙ кредит таксимоти 7 май БАНКЛАРГА 3" xfId="2158"/>
    <cellStyle name="_МАЙ кредит таксимоти 7 май БАНКЛАРГА 3" xfId="2159"/>
    <cellStyle name="_МАЙ кредит таксимоти 7 май БАНКЛАРГА 3" xfId="2160"/>
    <cellStyle name="_МАЙ кредит таксимоти 7 май БАНКЛАРГА_2008 йил 1-декабр-сводлар-узгарди" xfId="2161"/>
    <cellStyle name="_МАЙ кредит таксимоти 7 май БАНКЛАРГА_2008 йил 1-декабр-сводлар-узгарди" xfId="2162"/>
    <cellStyle name="_МАЙ кредит таксимоти 7 май БАНКЛАРГА_2008 йил 1-ноябр-баланс билан" xfId="2163"/>
    <cellStyle name="_МАЙ кредит таксимоти 7 май БАНКЛАРГА_2008 йил 1-ноябр-баланс билан" xfId="2164"/>
    <cellStyle name="_МАЙ кредит таксимоти 7 май БАНКЛАРГА_2008 ОКТЯБР ишчи жадвал формула" xfId="2165"/>
    <cellStyle name="_МАЙ кредит таксимоти 7 май БАНКЛАРГА_2008 ОКТЯБР ишчи жадвал формула" xfId="2166"/>
    <cellStyle name="_МАЙ кредит таксимоти 7 май БАНКЛАРГА_2008 ОКТЯБР ишчи жадвал формула" xfId="2167"/>
    <cellStyle name="_МАЙ кредит таксимоти 7 май БАНКЛАРГА_2008 ОКТЯБР ишчи жадвал формула" xfId="2168"/>
    <cellStyle name="_МАЙ кредит таксимоти 7 май БАНКЛАРГА_2008 ОКТЯБР ишчи жадвал формула_2008 йил 1-декабр-сводлар-узгарди" xfId="2169"/>
    <cellStyle name="_МАЙ кредит таксимоти 7 май БАНКЛАРГА_2008 ОКТЯБР ишчи жадвал формула_2008 йил 1-декабр-сводлар-узгарди" xfId="2170"/>
    <cellStyle name="_МАЙ кредит таксимоти 7 май БАНКЛАРГА_2008 ОКТЯБР ишчи жадвал формула_2008 йил 1-декабр-сводлар-узгарди" xfId="2171"/>
    <cellStyle name="_МАЙ кредит таксимоти 7 май БАНКЛАРГА_2008 ОКТЯБР ишчи жадвал формула_2008 йил 1-декабр-сводлар-узгарди" xfId="2172"/>
    <cellStyle name="_МАЙ кредит таксимоти 7 май БАНКЛАРГА_2008 ОКТЯБР ишчи жадвал формула_2008 йил 1-ноябр-баланс билан" xfId="2173"/>
    <cellStyle name="_МАЙ кредит таксимоти 7 май БАНКЛАРГА_2008 ОКТЯБР ишчи жадвал формула_2008 йил 1-ноябр-баланс билан" xfId="2174"/>
    <cellStyle name="_МАЙ кредит таксимоти 7 май БАНКЛАРГА_2008 ОКТЯБР ишчи жадвал формула_2008 йил 1-ноябр-баланс билан" xfId="2175"/>
    <cellStyle name="_МАЙ кредит таксимоти 7 май БАНКЛАРГА_2008 ОКТЯБР ишчи жадвал формула_2008 йил 1-ноябр-баланс билан" xfId="2176"/>
    <cellStyle name="_МАЙ кредит таксимоти 7 май БАНКЛАРГА_2008_iil_APREL_ishchi_zhadval_formula2-СВОД" xfId="2177"/>
    <cellStyle name="_МАЙ кредит таксимоти 7 май БАНКЛАРГА_2008_iil_APREL_ishchi_zhadval_formula2-СВОД" xfId="2178"/>
    <cellStyle name="_МАЙ кредит таксимоти 7 май БАНКЛАРГА_2008_iil_APREL_ishchi_zhadval_formula2-СВОД" xfId="2179"/>
    <cellStyle name="_МАЙ кредит таксимоти 7 май БАНКЛАРГА_2008_iil_APREL_ishchi_zhadval_formula2-СВОД" xfId="2180"/>
    <cellStyle name="_МАЙ кредит таксимоти 7 май БАНКЛАРГА_Апрел кр такс иш хаки тулик 5.04.08 МБ га" xfId="2181"/>
    <cellStyle name="_МАЙ кредит таксимоти 7 май БАНКЛАРГА_Апрел кр такс иш хаки тулик 5.04.08 МБ га" xfId="2182"/>
    <cellStyle name="_Май ойи кредит 14-05-07" xfId="2183"/>
    <cellStyle name="_Май ойи кредит 14-05-07" xfId="2184"/>
    <cellStyle name="_Май ойи кредит 14-05-07" xfId="2185"/>
    <cellStyle name="_Май ойи кредит 14-05-07" xfId="2186"/>
    <cellStyle name="_Май ойи кредит 14-05-07 2" xfId="2187"/>
    <cellStyle name="_Май ойи кредит 14-05-07 2" xfId="2188"/>
    <cellStyle name="_Май ойи кредит 14-05-07 2" xfId="2189"/>
    <cellStyle name="_Май ойи кредит 14-05-07 2" xfId="2190"/>
    <cellStyle name="_Май ойи кредит 14-05-07 3" xfId="2191"/>
    <cellStyle name="_Май ойи кредит 14-05-07 3" xfId="2192"/>
    <cellStyle name="_Май ойи кредит 14-05-07 3" xfId="2193"/>
    <cellStyle name="_Май ойи кредит 14-05-07 3" xfId="2194"/>
    <cellStyle name="_Май ойи кредит 15-05-07 Вилоятга" xfId="2195"/>
    <cellStyle name="_Май ойи кредит 15-05-07 Вилоятга" xfId="2196"/>
    <cellStyle name="_Май ойи кредит 15-05-07 Вилоятга" xfId="2197"/>
    <cellStyle name="_Май ойи кредит 15-05-07 Вилоятга" xfId="2198"/>
    <cellStyle name="_Май ойи кредит 15-05-07 Вилоятга 2" xfId="2199"/>
    <cellStyle name="_Май ойи кредит 15-05-07 Вилоятга 2" xfId="2200"/>
    <cellStyle name="_Май ойи кредит 15-05-07 Вилоятга 2" xfId="2201"/>
    <cellStyle name="_Май ойи кредит 15-05-07 Вилоятга 2" xfId="2202"/>
    <cellStyle name="_Май ойи кредит 15-05-07 Вилоятга 3" xfId="2203"/>
    <cellStyle name="_Май ойи кредит 15-05-07 Вилоятга 3" xfId="2204"/>
    <cellStyle name="_Май ойи кредит 15-05-07 Вилоятга 3" xfId="2205"/>
    <cellStyle name="_Май ойи кредит 15-05-07 Вилоятга 3" xfId="2206"/>
    <cellStyle name="_Май ойи кредит 23-05-07 Вилоятга" xfId="2207"/>
    <cellStyle name="_Май ойи кредит 23-05-07 Вилоятга" xfId="2208"/>
    <cellStyle name="_Май ойи кредит 23-05-07 Вилоятга" xfId="2209"/>
    <cellStyle name="_Май ойи кредит 23-05-07 Вилоятга" xfId="2210"/>
    <cellStyle name="_Май ойи кредит 23-05-07 Вилоятга 2" xfId="2211"/>
    <cellStyle name="_Май ойи кредит 23-05-07 Вилоятга 2" xfId="2212"/>
    <cellStyle name="_Май ойи кредит 23-05-07 Вилоятга 2" xfId="2213"/>
    <cellStyle name="_Май ойи кредит 23-05-07 Вилоятга 2" xfId="2214"/>
    <cellStyle name="_Май ойи кредит 23-05-07 Вилоятга 3" xfId="2215"/>
    <cellStyle name="_Май ойи кредит 23-05-07 Вилоятга 3" xfId="2216"/>
    <cellStyle name="_Май ойи кредит 23-05-07 Вилоятга 3" xfId="2217"/>
    <cellStyle name="_Май ойи кредит 23-05-07 Вилоятга 3" xfId="2218"/>
    <cellStyle name="_Макет мониторинг 2009" xfId="2219"/>
    <cellStyle name="_Макет мониторинг 2009" xfId="2220"/>
    <cellStyle name="_Макет мониторинг 2009_10" xfId="2221"/>
    <cellStyle name="_Макет мониторинг 2009_10" xfId="2222"/>
    <cellStyle name="_Макет мониторинг 2009_Карор буйича охирги" xfId="2223"/>
    <cellStyle name="_Макет мониторинг 2009_Карор буйича охирги" xfId="2224"/>
    <cellStyle name="_Макет мониторинг 2009_Кашкадарё 22.11.10." xfId="2225"/>
    <cellStyle name="_Макет мониторинг 2009_Кашкадарё 22.11.10." xfId="2226"/>
    <cellStyle name="_Макет мониторинг 2009_Кашкадарё охиргиси 26.08.10." xfId="2227"/>
    <cellStyle name="_Макет мониторинг 2009_Кашкадарё охиргиси 26.08.10." xfId="2228"/>
    <cellStyle name="_Макет мониторинг 2009_Кашкадарё ЯНГИ" xfId="2229"/>
    <cellStyle name="_Макет мониторинг 2009_Кашкадарё ЯНГИ" xfId="2230"/>
    <cellStyle name="_Макет мониторинг 2009_Кашкадарья экспорт  2011-2015 гг Отабекка" xfId="2231"/>
    <cellStyle name="_Макет мониторинг 2009_Кашкадарья экспорт  2011-2015 гг Отабекка" xfId="2232"/>
    <cellStyle name="_Макет мониторинг 2009_Кашкадарья экспорт  2011-2015 гг Отабекка 2" xfId="2233"/>
    <cellStyle name="_Макет мониторинг 2009_Кашкадарья экспорт  2011-2015 гг Отабекка 2" xfId="2234"/>
    <cellStyle name="_Макет мониторинг 2009_Кашкадарья экспорт  2011-2015 гг Отабекка 3" xfId="2235"/>
    <cellStyle name="_Макет мониторинг 2009_Кашкадарья экспорт  2011-2015 гг Отабекка 3" xfId="2236"/>
    <cellStyle name="_Макет мониторинг 2009_Кашкадарья экспорт  2011-2015 гг Отабекка 4" xfId="2237"/>
    <cellStyle name="_Макет мониторинг 2009_Кашкадарья экспорт  2011-2015 гг Отабекка 4" xfId="2238"/>
    <cellStyle name="_Макет мониторинг 2009_Кашкадарья экспорт  2011-2015 гг Отабекка_7 илова" xfId="2239"/>
    <cellStyle name="_Макет мониторинг 2009_Кашкадарья экспорт  2011-2015 гг Отабекка_7 илова" xfId="2240"/>
    <cellStyle name="_Макет мониторинг 2009_Кашкадарья экспорт  2011-2015 гг Отабекка_7 илова 2" xfId="2241"/>
    <cellStyle name="_Макет мониторинг 2009_Кашкадарья экспорт  2011-2015 гг Отабекка_7 илова 2" xfId="2242"/>
    <cellStyle name="_Макет мониторинг 2009_Кашкадарья экспорт  2011-2015 гг Отабекка_7 илова 3" xfId="2243"/>
    <cellStyle name="_Макет мониторинг 2009_Кашкадарья экспорт  2011-2015 гг Отабекка_7 илова 3" xfId="2244"/>
    <cellStyle name="_Макет мониторинг 2009_Кашкадарья экспорт  2011-2015 гг Отабекка_7 илова 4" xfId="2245"/>
    <cellStyle name="_Макет мониторинг 2009_Кашкадарья экспорт  2011-2015 гг Отабекка_7 илова 4" xfId="2246"/>
    <cellStyle name="_Макет мониторинг 2009_Кашкадарья экспорт  2011-2015 гг Отабекка_Хоразм 2013-2015 саноат дастури 12.11.2012. 19-4812" xfId="2247"/>
    <cellStyle name="_Макет мониторинг 2009_Кашкадарья экспорт  2011-2015 гг Отабекка_Хоразм 2013-2015 саноат дастури 12.11.2012. 19-4812" xfId="2248"/>
    <cellStyle name="_Макет мониторинг 2009_Макет 11-15 Кашкадарё охиргиси 27.08.10." xfId="2249"/>
    <cellStyle name="_Макет мониторинг 2009_Макет 11-15 Кашкадарё охиргиси 27.08.10." xfId="2250"/>
    <cellStyle name="_Макет мониторинг 2009_Макет 11-15 Охиргиси" xfId="2251"/>
    <cellStyle name="_Макет мониторинг 2009_Макет 11-15 Охиргиси" xfId="2252"/>
    <cellStyle name="_Макет мониторинг 2009_Макет 16.08 Кашкадарё..янги" xfId="2253"/>
    <cellStyle name="_Макет мониторинг 2009_Макет 16.08 Кашкадарё..янги" xfId="2254"/>
    <cellStyle name="_Макет мониторинг 2009_Макет 7.08" xfId="2255"/>
    <cellStyle name="_Макет мониторинг 2009_Макет 7.08" xfId="2256"/>
    <cellStyle name="_Макет мониторинг 2009_Макет 7.08 2" xfId="2257"/>
    <cellStyle name="_Макет мониторинг 2009_Макет 7.08 2" xfId="2258"/>
    <cellStyle name="_Макет мониторинг 2009_Макет 7.08 3" xfId="2259"/>
    <cellStyle name="_Макет мониторинг 2009_Макет 7.08 3" xfId="2260"/>
    <cellStyle name="_Макет мониторинг 2009_Макет 7.08 4" xfId="2261"/>
    <cellStyle name="_Макет мониторинг 2009_Макет 7.08 4" xfId="2262"/>
    <cellStyle name="_Макет мониторинг 2009_Макет 7.08_7 илова" xfId="2263"/>
    <cellStyle name="_Макет мониторинг 2009_Макет 7.08_7 илова" xfId="2264"/>
    <cellStyle name="_Макет мониторинг 2009_Макет 7.08_7 илова 2" xfId="2265"/>
    <cellStyle name="_Макет мониторинг 2009_Макет 7.08_7 илова 2" xfId="2266"/>
    <cellStyle name="_Макет мониторинг 2009_Макет 7.08_7 илова 3" xfId="2267"/>
    <cellStyle name="_Макет мониторинг 2009_Макет 7.08_7 илова 3" xfId="2268"/>
    <cellStyle name="_Макет мониторинг 2009_Макет 7.08_7 илова 4" xfId="2269"/>
    <cellStyle name="_Макет мониторинг 2009_Макет 7.08_7 илова 4" xfId="2270"/>
    <cellStyle name="_Макет мониторинг 2009_Макет 7.08_Хоразм 2013-2015 саноат дастури 12.11.2012. 19-4812" xfId="2271"/>
    <cellStyle name="_Макет мониторинг 2009_Макет 7.08_Хоразм 2013-2015 саноат дастури 12.11.2012. 19-4812" xfId="2272"/>
    <cellStyle name="_Макет мониторинг 2009_Наманган 2011-15  САНОАТ ДАСТУРИ" xfId="2273"/>
    <cellStyle name="_Макет мониторинг 2009_Наманган 2011-15  САНОАТ ДАСТУРИ" xfId="2274"/>
    <cellStyle name="_Макет мониторинг 2009_Наманган 2011-15  САНОАТ ДАСТУРИ 2" xfId="2275"/>
    <cellStyle name="_Макет мониторинг 2009_Наманган 2011-15  САНОАТ ДАСТУРИ 2" xfId="2276"/>
    <cellStyle name="_Макет мониторинг 2009_Наманган 2011-15  САНОАТ ДАСТУРИ 3" xfId="2277"/>
    <cellStyle name="_Макет мониторинг 2009_Наманган 2011-15  САНОАТ ДАСТУРИ 3" xfId="2278"/>
    <cellStyle name="_Макет мониторинг 2009_Наманган 2011-15  САНОАТ ДАСТУРИ 4" xfId="2279"/>
    <cellStyle name="_Макет мониторинг 2009_Наманган 2011-15  САНОАТ ДАСТУРИ 4" xfId="2280"/>
    <cellStyle name="_Макет мониторинг 2009_Наманган 2011-15  САНОАТ ДАСТУРИ_7 илова" xfId="2281"/>
    <cellStyle name="_Макет мониторинг 2009_Наманган 2011-15  САНОАТ ДАСТУРИ_7 илова" xfId="2282"/>
    <cellStyle name="_Макет мониторинг 2009_Наманган 2011-15  САНОАТ ДАСТУРИ_7 илова 2" xfId="2283"/>
    <cellStyle name="_Макет мониторинг 2009_Наманган 2011-15  САНОАТ ДАСТУРИ_7 илова 2" xfId="2284"/>
    <cellStyle name="_Макет мониторинг 2009_Наманган 2011-15  САНОАТ ДАСТУРИ_7 илова 3" xfId="2285"/>
    <cellStyle name="_Макет мониторинг 2009_Наманган 2011-15  САНОАТ ДАСТУРИ_7 илова 3" xfId="2286"/>
    <cellStyle name="_Макет мониторинг 2009_Наманган 2011-15  САНОАТ ДАСТУРИ_7 илова 4" xfId="2287"/>
    <cellStyle name="_Макет мониторинг 2009_Наманган 2011-15  САНОАТ ДАСТУРИ_7 илова 4" xfId="2288"/>
    <cellStyle name="_Макет мониторинг 2009_Наманган 2011-15  САНОАТ ДАСТУРИ_Хоразм 2013-2015 саноат дастури 12.11.2012. 19-4812" xfId="2289"/>
    <cellStyle name="_Макет мониторинг 2009_Наманган 2011-15  САНОАТ ДАСТУРИ_Хоразм 2013-2015 саноат дастури 12.11.2012. 19-4812" xfId="2290"/>
    <cellStyle name="_Март ойи талаби вилоят" xfId="2291"/>
    <cellStyle name="_Март ойи талаби вилоят" xfId="2292"/>
    <cellStyle name="_Март ойи талаби вилоят" xfId="2293"/>
    <cellStyle name="_Март ойи талаби вилоят" xfId="2294"/>
    <cellStyle name="_Март ойига талаб арнасой" xfId="2295"/>
    <cellStyle name="_Март ойига талаб арнасой" xfId="2296"/>
    <cellStyle name="_Март ойига талаб арнасой" xfId="2297"/>
    <cellStyle name="_Март ойига талаб арнасой" xfId="2298"/>
    <cellStyle name="_Март ойига талаб арнасой_УХКМ ва БИО форма 01. 02. 09" xfId="2299"/>
    <cellStyle name="_Март ойига талаб арнасой_УХКМ ва БИО форма 01. 02. 09" xfId="2300"/>
    <cellStyle name="_Март ойига талаб арнасой_УХКМ ва БИО форма 01. 02. 09" xfId="2301"/>
    <cellStyle name="_Март ойига талаб арнасой_УХКМ ва БИО форма 01. 02. 09" xfId="2302"/>
    <cellStyle name="_МАРТ-СВОД-01" xfId="2303"/>
    <cellStyle name="_МАРТ-СВОД-01" xfId="2304"/>
    <cellStyle name="_МАРТ-СВОД-01" xfId="2305"/>
    <cellStyle name="_МАРТ-СВОД-01" xfId="2306"/>
    <cellStyle name="_МВЭС Хусанбой" xfId="2307"/>
    <cellStyle name="_МВЭС Хусанбой" xfId="2308"/>
    <cellStyle name="_МВЭС2" xfId="2309"/>
    <cellStyle name="_МВЭС2" xfId="2310"/>
    <cellStyle name="_минитех 27 талик" xfId="2311"/>
    <cellStyle name="_Мирзачул 24-10-2007 йил" xfId="2312"/>
    <cellStyle name="_Мирзачул 24-10-2007 йил" xfId="2313"/>
    <cellStyle name="_Мирзачул 24-10-2007 йил" xfId="2314"/>
    <cellStyle name="_Мирзачул 24-10-2007 йил 2" xfId="2315"/>
    <cellStyle name="_Мирзачул 24-10-2007 йил 2" xfId="2316"/>
    <cellStyle name="_Мирзачул 24-10-2007 йил 2" xfId="2317"/>
    <cellStyle name="_Мирзачул 24-10-2007 йил 2" xfId="2318"/>
    <cellStyle name="_Мирзачул 24-10-2007 йил 3" xfId="2319"/>
    <cellStyle name="_Мирзачул 24-10-2007 йил 3" xfId="2320"/>
    <cellStyle name="_Мирзачул 24-10-2007 йил 3" xfId="2321"/>
    <cellStyle name="_Мирзачул 24-10-2007 йил 3" xfId="2322"/>
    <cellStyle name="_Мирзачул 27-10-2007 йил" xfId="2323"/>
    <cellStyle name="_Мирзачул 27-10-2007 йил" xfId="2324"/>
    <cellStyle name="_Мирзачул 27-10-2007 йил" xfId="2325"/>
    <cellStyle name="_Мирзачул 27-10-2007 йил" xfId="2326"/>
    <cellStyle name="_Мирзачул 27-10-2007 йил 2" xfId="2327"/>
    <cellStyle name="_Мирзачул 27-10-2007 йил 2" xfId="2328"/>
    <cellStyle name="_Мирзачул 27-10-2007 йил 2" xfId="2329"/>
    <cellStyle name="_Мирзачул 27-10-2007 йил 2" xfId="2330"/>
    <cellStyle name="_Мирзачул 27-10-2007 йил 3" xfId="2331"/>
    <cellStyle name="_Мирзачул 27-10-2007 йил 3" xfId="2332"/>
    <cellStyle name="_Мирзачул 27-10-2007 йил 3" xfId="2333"/>
    <cellStyle name="_Мирзачул 27-10-2007 йил 3" xfId="2334"/>
    <cellStyle name="_Мирзачул пахта 07-06-07" xfId="2335"/>
    <cellStyle name="_Мирзачул пахта 07-06-07" xfId="2336"/>
    <cellStyle name="_Мирзачул пахта 07-06-07" xfId="2337"/>
    <cellStyle name="_Мирзачул пахта 07-06-07" xfId="2338"/>
    <cellStyle name="_Мирзачул пахта 07-06-07 2" xfId="2339"/>
    <cellStyle name="_Мирзачул пахта 07-06-07 2" xfId="2340"/>
    <cellStyle name="_Мирзачул пахта 07-06-07 2" xfId="2341"/>
    <cellStyle name="_Мирзачул пахта 07-06-07 2" xfId="2342"/>
    <cellStyle name="_Мирзачул пахта 07-06-07 3" xfId="2343"/>
    <cellStyle name="_Мирзачул пахта 07-06-07 3" xfId="2344"/>
    <cellStyle name="_Мирзачул пахта 07-06-07 3" xfId="2345"/>
    <cellStyle name="_Мирзачул пахта 07-06-07 3" xfId="2346"/>
    <cellStyle name="_Мирзачул пахта 07-06-07_2008 йил 1-декабр-сводлар-узгарди" xfId="2347"/>
    <cellStyle name="_Мирзачул пахта 07-06-07_2008 йил 1-декабр-сводлар-узгарди" xfId="2348"/>
    <cellStyle name="_Мирзачул пахта 07-06-07_2008 йил 1-ноябр-баланс билан" xfId="2349"/>
    <cellStyle name="_Мирзачул пахта 07-06-07_2008 йил 1-ноябр-баланс билан" xfId="2350"/>
    <cellStyle name="_Мирзачул пахта 07-06-07_2008 ОКТЯБР ишчи жадвал формула" xfId="2351"/>
    <cellStyle name="_Мирзачул пахта 07-06-07_2008 ОКТЯБР ишчи жадвал формула" xfId="2352"/>
    <cellStyle name="_Мирзачул пахта 07-06-07_2008 ОКТЯБР ишчи жадвал формула" xfId="2353"/>
    <cellStyle name="_Мирзачул пахта 07-06-07_2008 ОКТЯБР ишчи жадвал формула" xfId="2354"/>
    <cellStyle name="_Мирзачул пахта 07-06-07_2008 ОКТЯБР ишчи жадвал формула_2008 йил 1-декабр-сводлар-узгарди" xfId="2355"/>
    <cellStyle name="_Мирзачул пахта 07-06-07_2008 ОКТЯБР ишчи жадвал формула_2008 йил 1-декабр-сводлар-узгарди" xfId="2356"/>
    <cellStyle name="_Мирзачул пахта 07-06-07_2008 ОКТЯБР ишчи жадвал формула_2008 йил 1-декабр-сводлар-узгарди" xfId="2357"/>
    <cellStyle name="_Мирзачул пахта 07-06-07_2008 ОКТЯБР ишчи жадвал формула_2008 йил 1-декабр-сводлар-узгарди" xfId="2358"/>
    <cellStyle name="_Мирзачул пахта 07-06-07_2008 ОКТЯБР ишчи жадвал формула_2008 йил 1-ноябр-баланс билан" xfId="2359"/>
    <cellStyle name="_Мирзачул пахта 07-06-07_2008 ОКТЯБР ишчи жадвал формула_2008 йил 1-ноябр-баланс билан" xfId="2360"/>
    <cellStyle name="_Мирзачул пахта 07-06-07_2008 ОКТЯБР ишчи жадвал формула_2008 йил 1-ноябр-баланс билан" xfId="2361"/>
    <cellStyle name="_Мирзачул пахта 07-06-07_2008 ОКТЯБР ишчи жадвал формула_2008 йил 1-ноябр-баланс билан" xfId="2362"/>
    <cellStyle name="_Мирзачул пахта 07-06-07_2008_iil_APREL_ishchi_zhadval_formula2-СВОД" xfId="2363"/>
    <cellStyle name="_Мирзачул пахта 07-06-07_2008_iil_APREL_ishchi_zhadval_formula2-СВОД" xfId="2364"/>
    <cellStyle name="_Мирзачул пахта 07-06-07_2008_iil_APREL_ishchi_zhadval_formula2-СВОД" xfId="2365"/>
    <cellStyle name="_Мирзачул пахта 07-06-07_2008_iil_APREL_ishchi_zhadval_formula2-СВОД" xfId="2366"/>
    <cellStyle name="_Мирзачул пахта 07-06-07_Апрел кр такс иш хаки тулик 5.04.08 МБ га" xfId="2367"/>
    <cellStyle name="_Мирзачул пахта 07-06-07_Апрел кр такс иш хаки тулик 5.04.08 МБ га" xfId="2368"/>
    <cellStyle name="_Мирзачул пахта 07-06-07_Марказга1" xfId="2369"/>
    <cellStyle name="_Мирзачул пахта 07-06-07_Марказга1" xfId="2370"/>
    <cellStyle name="_Мирзачул пахта 16-06-07" xfId="2371"/>
    <cellStyle name="_Мирзачул пахта 16-06-07" xfId="2372"/>
    <cellStyle name="_Мирзачул пахта 16-06-07" xfId="2373"/>
    <cellStyle name="_Мирзачул пахта 16-06-07" xfId="2374"/>
    <cellStyle name="_Мирзачул пахта 16-06-07 2" xfId="2375"/>
    <cellStyle name="_Мирзачул пахта 16-06-07 2" xfId="2376"/>
    <cellStyle name="_Мирзачул пахта 16-06-07 2" xfId="2377"/>
    <cellStyle name="_Мирзачул пахта 16-06-07 2" xfId="2378"/>
    <cellStyle name="_Мирзачул пахта 16-06-07 3" xfId="2379"/>
    <cellStyle name="_Мирзачул пахта 16-06-07 3" xfId="2380"/>
    <cellStyle name="_Мирзачул пахта 16-06-07 3" xfId="2381"/>
    <cellStyle name="_Мирзачул пахта 16-06-07 3" xfId="2382"/>
    <cellStyle name="_Мирзачул-16-11-07" xfId="2383"/>
    <cellStyle name="_Мирзачул-16-11-07" xfId="2384"/>
    <cellStyle name="_Мирзачул-16-11-07" xfId="2385"/>
    <cellStyle name="_Мирзачул-16-11-07" xfId="2386"/>
    <cellStyle name="_Мирзачул-16-11-07 2" xfId="2387"/>
    <cellStyle name="_Мирзачул-16-11-07 2" xfId="2388"/>
    <cellStyle name="_Мирзачул-16-11-07 2" xfId="2389"/>
    <cellStyle name="_Мирзачул-16-11-07 2" xfId="2390"/>
    <cellStyle name="_Мирзачул-16-11-07 3" xfId="2391"/>
    <cellStyle name="_Мирзачул-16-11-07 3" xfId="2392"/>
    <cellStyle name="_Мирзачул-16-11-07 3" xfId="2393"/>
    <cellStyle name="_Мирзачул-16-11-07 3" xfId="2394"/>
    <cellStyle name="_Мирзачул-19-олтин" xfId="2395"/>
    <cellStyle name="_Мирзачул-19-олтин" xfId="2396"/>
    <cellStyle name="_Мирзачул-19-олтин" xfId="2397"/>
    <cellStyle name="_Мирзачул-19-олтин" xfId="2398"/>
    <cellStyle name="_Мирзачул-19-олтин 2" xfId="2399"/>
    <cellStyle name="_Мирзачул-19-олтин 2" xfId="2400"/>
    <cellStyle name="_Мирзачул-19-олтин 2" xfId="2401"/>
    <cellStyle name="_Мирзачул-19-олтин 2" xfId="2402"/>
    <cellStyle name="_Мирзачул-19-олтин 3" xfId="2403"/>
    <cellStyle name="_Мирзачул-19-олтин 3" xfId="2404"/>
    <cellStyle name="_Мирзачул-19-олтин 3" xfId="2405"/>
    <cellStyle name="_Мирзачул-19-олтин 3" xfId="2406"/>
    <cellStyle name="_Мониторинг 01-05-07 Вилоят" xfId="2407"/>
    <cellStyle name="_Мониторинг 01-05-07 Вилоят" xfId="2408"/>
    <cellStyle name="_Мониторинг 01-05-07 Вилоят" xfId="2409"/>
    <cellStyle name="_Мониторинг 01-05-07 Вилоят" xfId="2410"/>
    <cellStyle name="_Мониторинг 01-05-07 Вилоят 2" xfId="2411"/>
    <cellStyle name="_Мониторинг 01-05-07 Вилоят 2" xfId="2412"/>
    <cellStyle name="_Мониторинг 01-05-07 Вилоят 2" xfId="2413"/>
    <cellStyle name="_Мониторинг 01-05-07 Вилоят 2" xfId="2414"/>
    <cellStyle name="_Мониторинг 01-05-07 Вилоят 3" xfId="2415"/>
    <cellStyle name="_Мониторинг 01-05-07 Вилоят 3" xfId="2416"/>
    <cellStyle name="_Мониторинг 01-05-07 Вилоят 3" xfId="2417"/>
    <cellStyle name="_Мониторинг 01-05-07 Вилоят 3" xfId="2418"/>
    <cellStyle name="_Мониторинг 30-04-07 Вилоят" xfId="2419"/>
    <cellStyle name="_Мониторинг 30-04-07 Вилоят" xfId="2420"/>
    <cellStyle name="_Мониторинг 30-04-07 Вилоят" xfId="2421"/>
    <cellStyle name="_Мониторинг 30-04-07 Вилоят" xfId="2422"/>
    <cellStyle name="_Мониторинг 30-04-07 Вилоят 2" xfId="2423"/>
    <cellStyle name="_Мониторинг 30-04-07 Вилоят 2" xfId="2424"/>
    <cellStyle name="_Мониторинг 30-04-07 Вилоят 2" xfId="2425"/>
    <cellStyle name="_Мониторинг 30-04-07 Вилоят 2" xfId="2426"/>
    <cellStyle name="_Мониторинг 30-04-07 Вилоят 3" xfId="2427"/>
    <cellStyle name="_Мониторинг 30-04-07 Вилоят 3" xfId="2428"/>
    <cellStyle name="_Мониторинг 30-04-07 Вилоят 3" xfId="2429"/>
    <cellStyle name="_Мониторинг 30-04-07 Вилоят 3" xfId="2430"/>
    <cellStyle name="_Мониторинг 31,08,06" xfId="2431"/>
    <cellStyle name="_Мониторинг 31,08,06" xfId="2432"/>
    <cellStyle name="_Мониторинг 31,08,06" xfId="2433"/>
    <cellStyle name="_Мониторинг 31,08,06" xfId="2434"/>
    <cellStyle name="_Мониторинг 31,08,06 2" xfId="2435"/>
    <cellStyle name="_Мониторинг 31,08,06 2" xfId="2436"/>
    <cellStyle name="_Мониторинг 31,08,06 3" xfId="2437"/>
    <cellStyle name="_Мониторинг 31,08,06 3" xfId="2438"/>
    <cellStyle name="_Мониторинг 31,08,06_УХКМ ва БИО форма 01. 02. 09" xfId="2439"/>
    <cellStyle name="_Мониторинг 31,08,06_УХКМ ва БИО форма 01. 02. 09" xfId="2440"/>
    <cellStyle name="_Мониторинг 31,08,06_УХКМ ва БИО форма 01. 02. 09" xfId="2441"/>
    <cellStyle name="_Мониторинг 31,08,06_УХКМ ва БИО форма 01. 02. 09" xfId="2442"/>
    <cellStyle name="_ОКИБ" xfId="2443"/>
    <cellStyle name="_ОКИБ" xfId="2444"/>
    <cellStyle name="_Октябр СВОД 01.10.2008й.холатига" xfId="2445"/>
    <cellStyle name="_Октябр СВОД 01.10.2008й.холатига" xfId="2446"/>
    <cellStyle name="_олтингугут" xfId="2447"/>
    <cellStyle name="_олтингугут" xfId="2448"/>
    <cellStyle name="_олтингугут" xfId="2449"/>
    <cellStyle name="_олтингугут" xfId="2450"/>
    <cellStyle name="_олтингугут 2" xfId="2451"/>
    <cellStyle name="_олтингугут 2" xfId="2452"/>
    <cellStyle name="_олтингугут 2" xfId="2453"/>
    <cellStyle name="_олтингугут 2" xfId="2454"/>
    <cellStyle name="_олтингугут 3" xfId="2455"/>
    <cellStyle name="_олтингугут 3" xfId="2456"/>
    <cellStyle name="_олтингугут 3" xfId="2457"/>
    <cellStyle name="_олтингугут 3" xfId="2458"/>
    <cellStyle name="_олтингугут_УХКМ ва БИО форма 01. 02. 09" xfId="2459"/>
    <cellStyle name="_олтингугут_УХКМ ва БИО форма 01. 02. 09" xfId="2460"/>
    <cellStyle name="_олтингугут_УХКМ ва БИО форма 01. 02. 09" xfId="2461"/>
    <cellStyle name="_олтингугут_УХКМ ва БИО форма 01. 02. 09" xfId="2462"/>
    <cellStyle name="_П+Г-2007 апрел_форма" xfId="2463"/>
    <cellStyle name="_П+Г-2007 апрел_форма" xfId="2464"/>
    <cellStyle name="_П+Г-2007 апрел_форма" xfId="2465"/>
    <cellStyle name="_П+Г-2007 апрел_форма" xfId="2466"/>
    <cellStyle name="_П+Г-2007 апрел_форма_2008 йил 1-декабр-сводлар-узгарди" xfId="2467"/>
    <cellStyle name="_П+Г-2007 апрел_форма_2008 йил 1-декабр-сводлар-узгарди" xfId="2468"/>
    <cellStyle name="_П+Г-2007 апрел_форма_2008 йил 1-ноябр-баланс билан" xfId="2469"/>
    <cellStyle name="_П+Г-2007 апрел_форма_2008 йил 1-ноябр-баланс билан" xfId="2470"/>
    <cellStyle name="_П+Г-2007 апрел_форма_2008 ОКТЯБР ишчи жадвал формула" xfId="2471"/>
    <cellStyle name="_П+Г-2007 апрел_форма_2008 ОКТЯБР ишчи жадвал формула" xfId="2472"/>
    <cellStyle name="_П+Г-2007 апрел_форма_2008 ОКТЯБР ишчи жадвал формула" xfId="2473"/>
    <cellStyle name="_П+Г-2007 апрел_форма_2008 ОКТЯБР ишчи жадвал формула" xfId="2474"/>
    <cellStyle name="_П+Г-2007 апрел_форма_2008 ОКТЯБР ишчи жадвал формула_2008 йил 1-декабр-сводлар-узгарди" xfId="2475"/>
    <cellStyle name="_П+Г-2007 апрел_форма_2008 ОКТЯБР ишчи жадвал формула_2008 йил 1-декабр-сводлар-узгарди" xfId="2476"/>
    <cellStyle name="_П+Г-2007 апрел_форма_2008 ОКТЯБР ишчи жадвал формула_2008 йил 1-декабр-сводлар-узгарди" xfId="2477"/>
    <cellStyle name="_П+Г-2007 апрел_форма_2008 ОКТЯБР ишчи жадвал формула_2008 йил 1-декабр-сводлар-узгарди" xfId="2478"/>
    <cellStyle name="_П+Г-2007 апрел_форма_2008 ОКТЯБР ишчи жадвал формула_2008 йил 1-ноябр-баланс билан" xfId="2479"/>
    <cellStyle name="_П+Г-2007 апрел_форма_2008 ОКТЯБР ишчи жадвал формула_2008 йил 1-ноябр-баланс билан" xfId="2480"/>
    <cellStyle name="_П+Г-2007 апрел_форма_2008 ОКТЯБР ишчи жадвал формула_2008 йил 1-ноябр-баланс билан" xfId="2481"/>
    <cellStyle name="_П+Г-2007 апрел_форма_2008 ОКТЯБР ишчи жадвал формула_2008 йил 1-ноябр-баланс билан" xfId="2482"/>
    <cellStyle name="_П+Г-2007 апрел_форма_2008_iil_APREL_ishchi_zhadval_formula2-СВОД" xfId="2483"/>
    <cellStyle name="_П+Г-2007 апрел_форма_2008_iil_APREL_ishchi_zhadval_formula2-СВОД" xfId="2484"/>
    <cellStyle name="_П+Г-2007 апрел_форма_2008_iil_APREL_ishchi_zhadval_formula2-СВОД" xfId="2485"/>
    <cellStyle name="_П+Г-2007 апрел_форма_2008_iil_APREL_ishchi_zhadval_formula2-СВОД" xfId="2486"/>
    <cellStyle name="_П+Г-2007 апрел_форма_Апрел кр такс иш хаки тулик 5.04.08 МБ га" xfId="2487"/>
    <cellStyle name="_П+Г-2007 апрел_форма_Апрел кр такс иш хаки тулик 5.04.08 МБ га" xfId="2488"/>
    <cellStyle name="_П+Г-2007 МАЙ_18" xfId="2489"/>
    <cellStyle name="_П+Г-2007 МАЙ_18" xfId="2490"/>
    <cellStyle name="_П+Г-2007 МАЙ_18" xfId="2491"/>
    <cellStyle name="_П+Г-2007 МАЙ_18" xfId="2492"/>
    <cellStyle name="_П+Г-2007 МАЙ_18_2008 йил 1-декабр-сводлар-узгарди" xfId="2493"/>
    <cellStyle name="_П+Г-2007 МАЙ_18_2008 йил 1-декабр-сводлар-узгарди" xfId="2494"/>
    <cellStyle name="_П+Г-2007 МАЙ_18_2008 йил 1-ноябр-баланс билан" xfId="2495"/>
    <cellStyle name="_П+Г-2007 МАЙ_18_2008 йил 1-ноябр-баланс билан" xfId="2496"/>
    <cellStyle name="_П+Г-2007 МАЙ_18_2008 ОКТЯБР ишчи жадвал формула" xfId="2497"/>
    <cellStyle name="_П+Г-2007 МАЙ_18_2008 ОКТЯБР ишчи жадвал формула" xfId="2498"/>
    <cellStyle name="_П+Г-2007 МАЙ_18_2008 ОКТЯБР ишчи жадвал формула" xfId="2499"/>
    <cellStyle name="_П+Г-2007 МАЙ_18_2008 ОКТЯБР ишчи жадвал формула" xfId="2500"/>
    <cellStyle name="_П+Г-2007 МАЙ_18_2008 ОКТЯБР ишчи жадвал формула_2008 йил 1-декабр-сводлар-узгарди" xfId="2501"/>
    <cellStyle name="_П+Г-2007 МАЙ_18_2008 ОКТЯБР ишчи жадвал формула_2008 йил 1-декабр-сводлар-узгарди" xfId="2502"/>
    <cellStyle name="_П+Г-2007 МАЙ_18_2008 ОКТЯБР ишчи жадвал формула_2008 йил 1-декабр-сводлар-узгарди" xfId="2503"/>
    <cellStyle name="_П+Г-2007 МАЙ_18_2008 ОКТЯБР ишчи жадвал формула_2008 йил 1-декабр-сводлар-узгарди" xfId="2504"/>
    <cellStyle name="_П+Г-2007 МАЙ_18_2008 ОКТЯБР ишчи жадвал формула_2008 йил 1-ноябр-баланс билан" xfId="2505"/>
    <cellStyle name="_П+Г-2007 МАЙ_18_2008 ОКТЯБР ишчи жадвал формула_2008 йил 1-ноябр-баланс билан" xfId="2506"/>
    <cellStyle name="_П+Г-2007 МАЙ_18_2008 ОКТЯБР ишчи жадвал формула_2008 йил 1-ноябр-баланс билан" xfId="2507"/>
    <cellStyle name="_П+Г-2007 МАЙ_18_2008 ОКТЯБР ишчи жадвал формула_2008 йил 1-ноябр-баланс билан" xfId="2508"/>
    <cellStyle name="_П+Г-2007 МАЙ_18_2008_iil_APREL_ishchi_zhadval_formula2-СВОД" xfId="2509"/>
    <cellStyle name="_П+Г-2007 МАЙ_18_2008_iil_APREL_ishchi_zhadval_formula2-СВОД" xfId="2510"/>
    <cellStyle name="_П+Г-2007 МАЙ_18_2008_iil_APREL_ishchi_zhadval_formula2-СВОД" xfId="2511"/>
    <cellStyle name="_П+Г-2007 МАЙ_18_2008_iil_APREL_ishchi_zhadval_formula2-СВОД" xfId="2512"/>
    <cellStyle name="_П+Г-2007 МАЙ_18_Апрел кр такс иш хаки тулик 5.04.08 МБ га" xfId="2513"/>
    <cellStyle name="_П+Г-2007 МАЙ_18_Апрел кр такс иш хаки тулик 5.04.08 МБ га" xfId="2514"/>
    <cellStyle name="_П+Г-2007 МАЙ_янги" xfId="2515"/>
    <cellStyle name="_П+Г-2007 МАЙ_янги" xfId="2516"/>
    <cellStyle name="_П+Г-2007 МАЙ_янги" xfId="2517"/>
    <cellStyle name="_П+Г-2007 МАЙ_янги" xfId="2518"/>
    <cellStyle name="_П+Г-2007 МАЙ_янги_2008 йил 1-декабр-сводлар-узгарди" xfId="2519"/>
    <cellStyle name="_П+Г-2007 МАЙ_янги_2008 йил 1-декабр-сводлар-узгарди" xfId="2520"/>
    <cellStyle name="_П+Г-2007 МАЙ_янги_2008 йил 1-ноябр-баланс билан" xfId="2521"/>
    <cellStyle name="_П+Г-2007 МАЙ_янги_2008 йил 1-ноябр-баланс билан" xfId="2522"/>
    <cellStyle name="_П+Г-2007 МАЙ_янги_2008 ОКТЯБР ишчи жадвал формула" xfId="2523"/>
    <cellStyle name="_П+Г-2007 МАЙ_янги_2008 ОКТЯБР ишчи жадвал формула" xfId="2524"/>
    <cellStyle name="_П+Г-2007 МАЙ_янги_2008 ОКТЯБР ишчи жадвал формула" xfId="2525"/>
    <cellStyle name="_П+Г-2007 МАЙ_янги_2008 ОКТЯБР ишчи жадвал формула" xfId="2526"/>
    <cellStyle name="_П+Г-2007 МАЙ_янги_2008 ОКТЯБР ишчи жадвал формула_2008 йил 1-декабр-сводлар-узгарди" xfId="2527"/>
    <cellStyle name="_П+Г-2007 МАЙ_янги_2008 ОКТЯБР ишчи жадвал формула_2008 йил 1-декабр-сводлар-узгарди" xfId="2528"/>
    <cellStyle name="_П+Г-2007 МАЙ_янги_2008 ОКТЯБР ишчи жадвал формула_2008 йил 1-декабр-сводлар-узгарди" xfId="2529"/>
    <cellStyle name="_П+Г-2007 МАЙ_янги_2008 ОКТЯБР ишчи жадвал формула_2008 йил 1-декабр-сводлар-узгарди" xfId="2530"/>
    <cellStyle name="_П+Г-2007 МАЙ_янги_2008 ОКТЯБР ишчи жадвал формула_2008 йил 1-ноябр-баланс билан" xfId="2531"/>
    <cellStyle name="_П+Г-2007 МАЙ_янги_2008 ОКТЯБР ишчи жадвал формула_2008 йил 1-ноябр-баланс билан" xfId="2532"/>
    <cellStyle name="_П+Г-2007 МАЙ_янги_2008 ОКТЯБР ишчи жадвал формула_2008 йил 1-ноябр-баланс билан" xfId="2533"/>
    <cellStyle name="_П+Г-2007 МАЙ_янги_2008 ОКТЯБР ишчи жадвал формула_2008 йил 1-ноябр-баланс билан" xfId="2534"/>
    <cellStyle name="_П+Г-2007 МАЙ_янги_2008_iil_APREL_ishchi_zhadval_formula2-СВОД" xfId="2535"/>
    <cellStyle name="_П+Г-2007 МАЙ_янги_2008_iil_APREL_ishchi_zhadval_formula2-СВОД" xfId="2536"/>
    <cellStyle name="_П+Г-2007 МАЙ_янги_2008_iil_APREL_ishchi_zhadval_formula2-СВОД" xfId="2537"/>
    <cellStyle name="_П+Г-2007 МАЙ_янги_2008_iil_APREL_ishchi_zhadval_formula2-СВОД" xfId="2538"/>
    <cellStyle name="_П+Г-2007 МАЙ_янги_Апрел кр такс иш хаки тулик 5.04.08 МБ га" xfId="2539"/>
    <cellStyle name="_П+Г-2007 МАЙ_янги_Апрел кр такс иш хаки тулик 5.04.08 МБ га" xfId="2540"/>
    <cellStyle name="_парранда ииискхона балик асал" xfId="2541"/>
    <cellStyle name="_парранда ииискхона балик асал" xfId="2542"/>
    <cellStyle name="_ПАХТА КРЕДИТ 2008 МАРТ " xfId="2543"/>
    <cellStyle name="_ПАХТА КРЕДИТ 2008 МАРТ " xfId="2544"/>
    <cellStyle name="_ПАХТА КРЕДИТ 2008 МАРТ " xfId="2545"/>
    <cellStyle name="_ПАХТА КРЕДИТ 2008 МАРТ " xfId="2546"/>
    <cellStyle name="_Пахта-2007 апрел кредит" xfId="2547"/>
    <cellStyle name="_Пахта-2007 апрел кредит" xfId="2548"/>
    <cellStyle name="_Пахта-2007 апрел кредит" xfId="2549"/>
    <cellStyle name="_Пахта-2007 апрел кредит" xfId="2550"/>
    <cellStyle name="_Пахта-2007 апрел кредит_2008 ОКТЯБР ишчи жадвал формула" xfId="2551"/>
    <cellStyle name="_Пахта-2007 апрел кредит_2008 ОКТЯБР ишчи жадвал формула" xfId="2552"/>
    <cellStyle name="_Пахта-2007 апрел кредит_2008 ОКТЯБР ишчи жадвал формула" xfId="2553"/>
    <cellStyle name="_Пахта-2007 апрел кредит_2008 ОКТЯБР ишчи жадвал формула" xfId="2554"/>
    <cellStyle name="_Пахта-2007 апрел кредит_2008 ОКТЯБР ишчи жадвал формула_2008 йил 1-декабр-сводлар-узгарди" xfId="2555"/>
    <cellStyle name="_Пахта-2007 апрел кредит_2008 ОКТЯБР ишчи жадвал формула_2008 йил 1-декабр-сводлар-узгарди" xfId="2556"/>
    <cellStyle name="_Пахта-2007 апрел кредит_2008 ОКТЯБР ишчи жадвал формула_2008 йил 1-декабр-сводлар-узгарди" xfId="2557"/>
    <cellStyle name="_Пахта-2007 апрел кредит_2008 ОКТЯБР ишчи жадвал формула_2008 йил 1-декабр-сводлар-узгарди" xfId="2558"/>
    <cellStyle name="_Пахта-2007 апрел кредит_2008 ОКТЯБР ишчи жадвал формула_2008 йил 1-ноябр-баланс билан" xfId="2559"/>
    <cellStyle name="_Пахта-2007 апрел кредит_2008 ОКТЯБР ишчи жадвал формула_2008 йил 1-ноябр-баланс билан" xfId="2560"/>
    <cellStyle name="_Пахта-2007 апрел кредит_2008 ОКТЯБР ишчи жадвал формула_2008 йил 1-ноябр-баланс билан" xfId="2561"/>
    <cellStyle name="_Пахта-2007 апрел кредит_2008 ОКТЯБР ишчи жадвал формула_2008 йил 1-ноябр-баланс билан" xfId="2562"/>
    <cellStyle name="_Пахта-2007 апрел кредит_2008_iil_APREL_ishchi_zhadval_formula2-СВОД" xfId="2563"/>
    <cellStyle name="_Пахта-2007 апрел кредит_2008_iil_APREL_ishchi_zhadval_formula2-СВОД" xfId="2564"/>
    <cellStyle name="_Пахта-2007 апрел кредит_2008_iil_APREL_ishchi_zhadval_formula2-СВОД" xfId="2565"/>
    <cellStyle name="_Пахта-2007 апрел кредит_2008_iil_APREL_ishchi_zhadval_formula2-СВОД" xfId="2566"/>
    <cellStyle name="_Пахта-2007 апрел кредит_Апрел кр такс иш хаки тулик 5.04.08 МБ га" xfId="2567"/>
    <cellStyle name="_Пахта-2007 апрел кредит_Апрел кр такс иш хаки тулик 5.04.08 МБ га" xfId="2568"/>
    <cellStyle name="_Пахта-2007 апрел кредит_Апрел кр такс иш хаки тулик 5.04.08 МБ га" xfId="2569"/>
    <cellStyle name="_Пахта-2007 апрел кредит_Апрел кр такс иш хаки тулик 5.04.08 МБ га" xfId="2570"/>
    <cellStyle name="_Пахта-2007 апрел кредит_ЛИЗИНГ МОНИТОРИНГИ-1.11.08й русумлар буйича" xfId="2571"/>
    <cellStyle name="_Пахта-2007 апрел кредит_ЛИЗИНГ МОНИТОРИНГИ-1.11.08й русумлар буйича" xfId="2572"/>
    <cellStyle name="_Пахта-2007 апрел кредит_ЛИЗИНГ МОНИТОРИНГИ-1.11.08й русумлар буйича" xfId="2573"/>
    <cellStyle name="_Пахта-2007 апрел кредит_ЛИЗИНГ МОНИТОРИНГИ-1.11.08й русумлар буйича" xfId="2574"/>
    <cellStyle name="_Пахта-2007 апрел кредит_УХКМ ва БИО форма 01. 02. 09" xfId="2575"/>
    <cellStyle name="_Пахта-2007 апрел кредит_УХКМ ва БИО форма 01. 02. 09" xfId="2576"/>
    <cellStyle name="_Пахта-2007 апрел кредит_УХКМ ва БИО форма 01. 02. 09" xfId="2577"/>
    <cellStyle name="_Пахта-2007 апрел кредит_УХКМ ва БИО форма 01. 02. 09" xfId="2578"/>
    <cellStyle name="_Пахта-Галла-Апрел-Кредит" xfId="2579"/>
    <cellStyle name="_Пахта-Галла-Апрел-Кредит" xfId="2580"/>
    <cellStyle name="_Пахта-Галла-Апрел-Кредит" xfId="2581"/>
    <cellStyle name="_Пахта-Галла-Апрел-Кредит" xfId="2582"/>
    <cellStyle name="_Пахта-Галла-Апрел-Кредит_2008 ОКТЯБР ишчи жадвал формула" xfId="2583"/>
    <cellStyle name="_Пахта-Галла-Апрел-Кредит_2008 ОКТЯБР ишчи жадвал формула" xfId="2584"/>
    <cellStyle name="_Пахта-Галла-Апрел-Кредит_2008 ОКТЯБР ишчи жадвал формула" xfId="2585"/>
    <cellStyle name="_Пахта-Галла-Апрел-Кредит_2008 ОКТЯБР ишчи жадвал формула" xfId="2586"/>
    <cellStyle name="_Пахта-Галла-Апрел-Кредит_2008 ОКТЯБР ишчи жадвал формула_2008 йил 1-декабр-сводлар-узгарди" xfId="2587"/>
    <cellStyle name="_Пахта-Галла-Апрел-Кредит_2008 ОКТЯБР ишчи жадвал формула_2008 йил 1-декабр-сводлар-узгарди" xfId="2588"/>
    <cellStyle name="_Пахта-Галла-Апрел-Кредит_2008 ОКТЯБР ишчи жадвал формула_2008 йил 1-декабр-сводлар-узгарди" xfId="2589"/>
    <cellStyle name="_Пахта-Галла-Апрел-Кредит_2008 ОКТЯБР ишчи жадвал формула_2008 йил 1-декабр-сводлар-узгарди" xfId="2590"/>
    <cellStyle name="_Пахта-Галла-Апрел-Кредит_2008 ОКТЯБР ишчи жадвал формула_2008 йил 1-ноябр-баланс билан" xfId="2591"/>
    <cellStyle name="_Пахта-Галла-Апрел-Кредит_2008 ОКТЯБР ишчи жадвал формула_2008 йил 1-ноябр-баланс билан" xfId="2592"/>
    <cellStyle name="_Пахта-Галла-Апрел-Кредит_2008 ОКТЯБР ишчи жадвал формула_2008 йил 1-ноябр-баланс билан" xfId="2593"/>
    <cellStyle name="_Пахта-Галла-Апрел-Кредит_2008 ОКТЯБР ишчи жадвал формула_2008 йил 1-ноябр-баланс билан" xfId="2594"/>
    <cellStyle name="_Пахта-Галла-Апрел-Кредит_2008_iil_APREL_ishchi_zhadval_formula2-СВОД" xfId="2595"/>
    <cellStyle name="_Пахта-Галла-Апрел-Кредит_2008_iil_APREL_ishchi_zhadval_formula2-СВОД" xfId="2596"/>
    <cellStyle name="_Пахта-Галла-Апрел-Кредит_2008_iil_APREL_ishchi_zhadval_formula2-СВОД" xfId="2597"/>
    <cellStyle name="_Пахта-Галла-Апрел-Кредит_2008_iil_APREL_ishchi_zhadval_formula2-СВОД" xfId="2598"/>
    <cellStyle name="_Пахта-Галла-Апрел-Кредит_Апрел кр такс иш хаки тулик 5.04.08 МБ га" xfId="2599"/>
    <cellStyle name="_Пахта-Галла-Апрел-Кредит_Апрел кр такс иш хаки тулик 5.04.08 МБ га" xfId="2600"/>
    <cellStyle name="_Пахта-Галла-Апрел-Кредит_Апрел кр такс иш хаки тулик 5.04.08 МБ га" xfId="2601"/>
    <cellStyle name="_Пахта-Галла-Апрел-Кредит_Апрел кр такс иш хаки тулик 5.04.08 МБ га" xfId="2602"/>
    <cellStyle name="_Пахта-Галла-Апрел-Кредит_ЛИЗИНГ МОНИТОРИНГИ-1.11.08й русумлар буйича" xfId="2603"/>
    <cellStyle name="_Пахта-Галла-Апрел-Кредит_ЛИЗИНГ МОНИТОРИНГИ-1.11.08й русумлар буйича" xfId="2604"/>
    <cellStyle name="_Пахта-Галла-Апрел-Кредит_ЛИЗИНГ МОНИТОРИНГИ-1.11.08й русумлар буйича" xfId="2605"/>
    <cellStyle name="_Пахта-Галла-Апрел-Кредит_ЛИЗИНГ МОНИТОРИНГИ-1.11.08й русумлар буйича" xfId="2606"/>
    <cellStyle name="_Пахта-Галла-Апрел-Кредит_УХКМ ва БИО форма 01. 02. 09" xfId="2607"/>
    <cellStyle name="_Пахта-Галла-Апрел-Кредит_УХКМ ва БИО форма 01. 02. 09" xfId="2608"/>
    <cellStyle name="_Пахта-Галла-Апрел-Кредит_УХКМ ва БИО форма 01. 02. 09" xfId="2609"/>
    <cellStyle name="_Пахта-Галла-Апрел-Кредит_УХКМ ва БИО форма 01. 02. 09" xfId="2610"/>
    <cellStyle name="_Пахта-Галла-Май-Кредит" xfId="2611"/>
    <cellStyle name="_Пахта-Галла-Май-Кредит" xfId="2612"/>
    <cellStyle name="_Пахта-Галла-Май-Кредит" xfId="2613"/>
    <cellStyle name="_Пахта-Галла-Май-Кредит" xfId="2614"/>
    <cellStyle name="_Пахта-Галла-Май-Кредит_2008 ОКТЯБР ишчи жадвал формула" xfId="2615"/>
    <cellStyle name="_Пахта-Галла-Май-Кредит_2008 ОКТЯБР ишчи жадвал формула" xfId="2616"/>
    <cellStyle name="_Пахта-Галла-Май-Кредит_2008 ОКТЯБР ишчи жадвал формула" xfId="2617"/>
    <cellStyle name="_Пахта-Галла-Май-Кредит_2008 ОКТЯБР ишчи жадвал формула" xfId="2618"/>
    <cellStyle name="_Пахта-Галла-Май-Кредит_2008 ОКТЯБР ишчи жадвал формула_2008 йил 1-декабр-сводлар-узгарди" xfId="2619"/>
    <cellStyle name="_Пахта-Галла-Май-Кредит_2008 ОКТЯБР ишчи жадвал формула_2008 йил 1-декабр-сводлар-узгарди" xfId="2620"/>
    <cellStyle name="_Пахта-Галла-Май-Кредит_2008 ОКТЯБР ишчи жадвал формула_2008 йил 1-декабр-сводлар-узгарди" xfId="2621"/>
    <cellStyle name="_Пахта-Галла-Май-Кредит_2008 ОКТЯБР ишчи жадвал формула_2008 йил 1-декабр-сводлар-узгарди" xfId="2622"/>
    <cellStyle name="_Пахта-Галла-Май-Кредит_2008 ОКТЯБР ишчи жадвал формула_2008 йил 1-ноябр-баланс билан" xfId="2623"/>
    <cellStyle name="_Пахта-Галла-Май-Кредит_2008 ОКТЯБР ишчи жадвал формула_2008 йил 1-ноябр-баланс билан" xfId="2624"/>
    <cellStyle name="_Пахта-Галла-Май-Кредит_2008 ОКТЯБР ишчи жадвал формула_2008 йил 1-ноябр-баланс билан" xfId="2625"/>
    <cellStyle name="_Пахта-Галла-Май-Кредит_2008 ОКТЯБР ишчи жадвал формула_2008 йил 1-ноябр-баланс билан" xfId="2626"/>
    <cellStyle name="_Пахта-Галла-Май-Кредит_2008_iil_APREL_ishchi_zhadval_formula2-СВОД" xfId="2627"/>
    <cellStyle name="_Пахта-Галла-Май-Кредит_2008_iil_APREL_ishchi_zhadval_formula2-СВОД" xfId="2628"/>
    <cellStyle name="_Пахта-Галла-Май-Кредит_2008_iil_APREL_ishchi_zhadval_formula2-СВОД" xfId="2629"/>
    <cellStyle name="_Пахта-Галла-Май-Кредит_2008_iil_APREL_ishchi_zhadval_formula2-СВОД" xfId="2630"/>
    <cellStyle name="_Пахта-Галла-Май-Кредит_Апрел кр такс иш хаки тулик 5.04.08 МБ га" xfId="2631"/>
    <cellStyle name="_Пахта-Галла-Май-Кредит_Апрел кр такс иш хаки тулик 5.04.08 МБ га" xfId="2632"/>
    <cellStyle name="_Пахта-Галла-Май-Кредит_Апрел кр такс иш хаки тулик 5.04.08 МБ га" xfId="2633"/>
    <cellStyle name="_Пахта-Галла-Май-Кредит_Апрел кр такс иш хаки тулик 5.04.08 МБ га" xfId="2634"/>
    <cellStyle name="_Пахта-Галла-Май-Кредит_ЛИЗИНГ МОНИТОРИНГИ-1.11.08й русумлар буйича" xfId="2635"/>
    <cellStyle name="_Пахта-Галла-Май-Кредит_ЛИЗИНГ МОНИТОРИНГИ-1.11.08й русумлар буйича" xfId="2636"/>
    <cellStyle name="_Пахта-Галла-Май-Кредит_ЛИЗИНГ МОНИТОРИНГИ-1.11.08й русумлар буйича" xfId="2637"/>
    <cellStyle name="_Пахта-Галла-Май-Кредит_ЛИЗИНГ МОНИТОРИНГИ-1.11.08й русумлар буйича" xfId="2638"/>
    <cellStyle name="_Пахта-Галла-Май-Кредит_УХКМ ва БИО форма 01. 02. 09" xfId="2639"/>
    <cellStyle name="_Пахта-Галла-Май-Кредит_УХКМ ва БИО форма 01. 02. 09" xfId="2640"/>
    <cellStyle name="_Пахта-Галла-Май-Кредит_УХКМ ва БИО форма 01. 02. 09" xfId="2641"/>
    <cellStyle name="_Пахта-Галла-Май-Кредит_УХКМ ва БИО форма 01. 02. 09" xfId="2642"/>
    <cellStyle name="_Пахта-Сентябр" xfId="2643"/>
    <cellStyle name="_Пахта-Сентябр" xfId="2644"/>
    <cellStyle name="_Пахта-Сентябр" xfId="2645"/>
    <cellStyle name="_Пахта-Сентябр" xfId="2646"/>
    <cellStyle name="_Пахта-Сентябр_2008 йил 1-декабр-сводлар-узгарди" xfId="2647"/>
    <cellStyle name="_Пахта-Сентябр_2008 йил 1-декабр-сводлар-узгарди" xfId="2648"/>
    <cellStyle name="_Пахта-Сентябр_2008 йил 1-ноябр-баланс билан" xfId="2649"/>
    <cellStyle name="_Пахта-Сентябр_2008 йил 1-ноябр-баланс билан" xfId="2650"/>
    <cellStyle name="_Пахта-Сентябр_2008 ОКТЯБР ишчи жадвал формула" xfId="2651"/>
    <cellStyle name="_Пахта-Сентябр_2008 ОКТЯБР ишчи жадвал формула" xfId="2652"/>
    <cellStyle name="_Пахта-Сентябр_2008 ОКТЯБР ишчи жадвал формула" xfId="2653"/>
    <cellStyle name="_Пахта-Сентябр_2008 ОКТЯБР ишчи жадвал формула" xfId="2654"/>
    <cellStyle name="_Пахта-Сентябр_2008 ОКТЯБР ишчи жадвал формула_2008 йил 1-декабр-сводлар-узгарди" xfId="2655"/>
    <cellStyle name="_Пахта-Сентябр_2008 ОКТЯБР ишчи жадвал формула_2008 йил 1-декабр-сводлар-узгарди" xfId="2656"/>
    <cellStyle name="_Пахта-Сентябр_2008 ОКТЯБР ишчи жадвал формула_2008 йил 1-декабр-сводлар-узгарди" xfId="2657"/>
    <cellStyle name="_Пахта-Сентябр_2008 ОКТЯБР ишчи жадвал формула_2008 йил 1-декабр-сводлар-узгарди" xfId="2658"/>
    <cellStyle name="_Пахта-Сентябр_2008 ОКТЯБР ишчи жадвал формула_2008 йил 1-ноябр-баланс билан" xfId="2659"/>
    <cellStyle name="_Пахта-Сентябр_2008 ОКТЯБР ишчи жадвал формула_2008 йил 1-ноябр-баланс билан" xfId="2660"/>
    <cellStyle name="_Пахта-Сентябр_2008 ОКТЯБР ишчи жадвал формула_2008 йил 1-ноябр-баланс билан" xfId="2661"/>
    <cellStyle name="_Пахта-Сентябр_2008 ОКТЯБР ишчи жадвал формула_2008 йил 1-ноябр-баланс билан" xfId="2662"/>
    <cellStyle name="_Пахта-Сентябр_2008_iil_APREL_ishchi_zhadval_formula2-СВОД" xfId="2663"/>
    <cellStyle name="_Пахта-Сентябр_2008_iil_APREL_ishchi_zhadval_formula2-СВОД" xfId="2664"/>
    <cellStyle name="_Пахта-Сентябр_2008_iil_APREL_ishchi_zhadval_formula2-СВОД" xfId="2665"/>
    <cellStyle name="_Пахта-Сентябр_2008_iil_APREL_ishchi_zhadval_formula2-СВОД" xfId="2666"/>
    <cellStyle name="_Пахта-Сентябр_Апрел кр такс иш хаки тулик 5.04.08 МБ га" xfId="2667"/>
    <cellStyle name="_Пахта-Сентябр_Апрел кр такс иш хаки тулик 5.04.08 МБ га" xfId="2668"/>
    <cellStyle name="_ПАХТА-Тех.карта" xfId="2669"/>
    <cellStyle name="_ПАХТА-Тех.карта" xfId="2670"/>
    <cellStyle name="_ПАХТА-Тех.карта" xfId="2671"/>
    <cellStyle name="_ПАХТА-Тех.карта" xfId="2672"/>
    <cellStyle name="_ПАХТА-Тех.карта_УХКМ ва БИО форма 01. 02. 09" xfId="2673"/>
    <cellStyle name="_ПАХТА-Тех.карта_УХКМ ва БИО форма 01. 02. 09" xfId="2674"/>
    <cellStyle name="_ПАХТА-Тех.карта_УХКМ ва БИО форма 01. 02. 09" xfId="2675"/>
    <cellStyle name="_ПАХТА-Тех.карта_УХКМ ва БИО форма 01. 02. 09" xfId="2676"/>
    <cellStyle name="_П-Г-Апрел-2 ЯРМИ" xfId="2677"/>
    <cellStyle name="_П-Г-Апрел-2 ЯРМИ" xfId="2678"/>
    <cellStyle name="_П-Г-Апрел-2 ЯРМИ" xfId="2679"/>
    <cellStyle name="_П-Г-Апрел-2 ЯРМИ" xfId="2680"/>
    <cellStyle name="_П-Г-Апрел-2 ЯРМИ_2008 ОКТЯБР ишчи жадвал формула" xfId="2681"/>
    <cellStyle name="_П-Г-Апрел-2 ЯРМИ_2008 ОКТЯБР ишчи жадвал формула" xfId="2682"/>
    <cellStyle name="_П-Г-Апрел-2 ЯРМИ_2008 ОКТЯБР ишчи жадвал формула" xfId="2683"/>
    <cellStyle name="_П-Г-Апрел-2 ЯРМИ_2008 ОКТЯБР ишчи жадвал формула" xfId="2684"/>
    <cellStyle name="_П-Г-Апрел-2 ЯРМИ_2008 ОКТЯБР ишчи жадвал формула_2008 йил 1-декабр-сводлар-узгарди" xfId="2685"/>
    <cellStyle name="_П-Г-Апрел-2 ЯРМИ_2008 ОКТЯБР ишчи жадвал формула_2008 йил 1-декабр-сводлар-узгарди" xfId="2686"/>
    <cellStyle name="_П-Г-Апрел-2 ЯРМИ_2008 ОКТЯБР ишчи жадвал формула_2008 йил 1-декабр-сводлар-узгарди" xfId="2687"/>
    <cellStyle name="_П-Г-Апрел-2 ЯРМИ_2008 ОКТЯБР ишчи жадвал формула_2008 йил 1-декабр-сводлар-узгарди" xfId="2688"/>
    <cellStyle name="_П-Г-Апрел-2 ЯРМИ_2008 ОКТЯБР ишчи жадвал формула_2008 йил 1-ноябр-баланс билан" xfId="2689"/>
    <cellStyle name="_П-Г-Апрел-2 ЯРМИ_2008 ОКТЯБР ишчи жадвал формула_2008 йил 1-ноябр-баланс билан" xfId="2690"/>
    <cellStyle name="_П-Г-Апрел-2 ЯРМИ_2008 ОКТЯБР ишчи жадвал формула_2008 йил 1-ноябр-баланс билан" xfId="2691"/>
    <cellStyle name="_П-Г-Апрел-2 ЯРМИ_2008 ОКТЯБР ишчи жадвал формула_2008 йил 1-ноябр-баланс билан" xfId="2692"/>
    <cellStyle name="_П-Г-Апрел-2 ЯРМИ_2008_iil_APREL_ishchi_zhadval_formula2-СВОД" xfId="2693"/>
    <cellStyle name="_П-Г-Апрел-2 ЯРМИ_2008_iil_APREL_ishchi_zhadval_formula2-СВОД" xfId="2694"/>
    <cellStyle name="_П-Г-Апрел-2 ЯРМИ_2008_iil_APREL_ishchi_zhadval_formula2-СВОД" xfId="2695"/>
    <cellStyle name="_П-Г-Апрел-2 ЯРМИ_2008_iil_APREL_ishchi_zhadval_formula2-СВОД" xfId="2696"/>
    <cellStyle name="_П-Г-Апрел-2 ЯРМИ_Апрел кр такс иш хаки тулик 5.04.08 МБ га" xfId="2697"/>
    <cellStyle name="_П-Г-Апрел-2 ЯРМИ_Апрел кр такс иш хаки тулик 5.04.08 МБ га" xfId="2698"/>
    <cellStyle name="_П-Г-Апрел-2 ЯРМИ_Апрел кр такс иш хаки тулик 5.04.08 МБ га" xfId="2699"/>
    <cellStyle name="_П-Г-Апрел-2 ЯРМИ_Апрел кр такс иш хаки тулик 5.04.08 МБ га" xfId="2700"/>
    <cellStyle name="_П-Г-Апрел-2 ЯРМИ_ЛИЗИНГ МОНИТОРИНГИ-1.11.08й русумлар буйича" xfId="2701"/>
    <cellStyle name="_П-Г-Апрел-2 ЯРМИ_ЛИЗИНГ МОНИТОРИНГИ-1.11.08й русумлар буйича" xfId="2702"/>
    <cellStyle name="_П-Г-Апрел-2 ЯРМИ_ЛИЗИНГ МОНИТОРИНГИ-1.11.08й русумлар буйича" xfId="2703"/>
    <cellStyle name="_П-Г-Апрел-2 ЯРМИ_ЛИЗИНГ МОНИТОРИНГИ-1.11.08й русумлар буйича" xfId="2704"/>
    <cellStyle name="_П-Г-Апрел-2 ЯРМИ_УХКМ ва БИО форма 01. 02. 09" xfId="2705"/>
    <cellStyle name="_П-Г-Апрел-2 ЯРМИ_УХКМ ва БИО форма 01. 02. 09" xfId="2706"/>
    <cellStyle name="_П-Г-Апрел-2 ЯРМИ_УХКМ ва БИО форма 01. 02. 09" xfId="2707"/>
    <cellStyle name="_П-Г-Апрел-2 ЯРМИ_УХКМ ва БИО форма 01. 02. 09" xfId="2708"/>
    <cellStyle name="_ПРОГНОЗ  2009  ЙИЛ 22" xfId="2709"/>
    <cellStyle name="_ПРОМ 2010-1чорак-жадваллар 23.03" xfId="2710"/>
    <cellStyle name="_ПРОМ 2010-1чорак-жадваллар 23.03_11-жадвал Акбарга" xfId="2711"/>
    <cellStyle name="_ПРОМ 2010-1чорак-жадваллар 23.03_11-жадвал Акбарга" xfId="2712"/>
    <cellStyle name="_ПРОМ 2010-1чорак-жадваллар 23.03_11-жадвал Акбарга_Салохият 47та 24.07.2012" xfId="2713"/>
    <cellStyle name="_ПРОМ 2010-1чорак-жадваллар 23.03_11-жадвал Акбарга_Салохият 47та 24.07.2012" xfId="2714"/>
    <cellStyle name="_ПРОМ 2010-1чорак-жадваллар 23.03_11-жадвал Акбарга_Саноат Салохият 02.10.2012й ҳолатига" xfId="2715"/>
    <cellStyle name="_ПРОМ 2010-1чорак-жадваллар 23.03_11-жадвал Акбарга_Саноат Салохият 02.10.2012й ҳолатига" xfId="2716"/>
    <cellStyle name="_ПРОМ 2010-1чорак-жадваллар 23.03_11-жадвал Акбарга_Саноат Салохият 03.10.2012й ҳолатига" xfId="2717"/>
    <cellStyle name="_ПРОМ 2010-1чорак-жадваллар 23.03_11-жадвал Акбарга_Саноат Салохият 03.10.2012й ҳолатига" xfId="2718"/>
    <cellStyle name="_ПРОМ 2010-1чорак-жадваллар 23.03_11-жадвал Акбарга_Саноат Салохият 47 та 06.10.2012й ҳолатига" xfId="2719"/>
    <cellStyle name="_ПРОМ 2010-1чорак-жадваллар 23.03_11-жадвал Акбарга_Саноат Салохият 47 та 06.10.2012й ҳолатига" xfId="2720"/>
    <cellStyle name="_ПРОМ 2010-1чорак-жадваллар 23.03_11-жадвал Акбарга_Саноат Салохият 47а та 06.10.2012й ҳолатига" xfId="2721"/>
    <cellStyle name="_ПРОМ 2010-1чорак-жадваллар 23.03_11-жадвал Акбарга_Саноат Салохият 47а та 06.10.2012й ҳолатига" xfId="2722"/>
    <cellStyle name="_ПРОМ 2010-1чорак-жадваллар 23.03_11-жадвал Акбарга_СИРДАРЁ СС 05.07.2012й ҳолатига" xfId="2723"/>
    <cellStyle name="_ПРОМ 2010-1чорак-жадваллар 23.03_11-жадвал Акбарга_СИРДАРЁ СС 05.07.2012й ҳолатига" xfId="2724"/>
    <cellStyle name="_ПРОМ 2010-1чорак-жадваллар 23.03_озиқ-овқат" xfId="2725"/>
    <cellStyle name="_ПРОМ 2010-1чорак-жадваллар 23.03_озиқ-овқат" xfId="2726"/>
    <cellStyle name="_ПРОМ 2010-1чорак-жадваллар 23.03_озиқ-овқат_Салохият 47та 24.07.2012" xfId="2727"/>
    <cellStyle name="_ПРОМ 2010-1чорак-жадваллар 23.03_озиқ-овқат_Салохият 47та 24.07.2012" xfId="2728"/>
    <cellStyle name="_ПРОМ 2010-1чорак-жадваллар 23.03_озиқ-овқат_Саноат Салохият 02.10.2012й ҳолатига" xfId="2729"/>
    <cellStyle name="_ПРОМ 2010-1чорак-жадваллар 23.03_озиқ-овқат_Саноат Салохият 02.10.2012й ҳолатига" xfId="2730"/>
    <cellStyle name="_ПРОМ 2010-1чорак-жадваллар 23.03_озиқ-овқат_Саноат Салохият 03.10.2012й ҳолатига" xfId="2731"/>
    <cellStyle name="_ПРОМ 2010-1чорак-жадваллар 23.03_озиқ-овқат_Саноат Салохият 03.10.2012й ҳолатига" xfId="2732"/>
    <cellStyle name="_ПРОМ 2010-1чорак-жадваллар 23.03_озиқ-овқат_Саноат Салохият 47 та 06.10.2012й ҳолатига" xfId="2733"/>
    <cellStyle name="_ПРОМ 2010-1чорак-жадваллар 23.03_озиқ-овқат_Саноат Салохият 47 та 06.10.2012й ҳолатига" xfId="2734"/>
    <cellStyle name="_ПРОМ 2010-1чорак-жадваллар 23.03_озиқ-овқат_Саноат Салохият 47а та 06.10.2012й ҳолатига" xfId="2735"/>
    <cellStyle name="_ПРОМ 2010-1чорак-жадваллар 23.03_озиқ-овқат_Саноат Салохият 47а та 06.10.2012й ҳолатига" xfId="2736"/>
    <cellStyle name="_ПРОМ 2010-1чорак-жадваллар 23.03_озиқ-овқат_СИРДАРЁ СС 05.07.2012й ҳолатига" xfId="2737"/>
    <cellStyle name="_ПРОМ 2010-1чорак-жадваллар 23.03_озиқ-овқат_СИРДАРЁ СС 05.07.2012й ҳолатига" xfId="2738"/>
    <cellStyle name="_ПРОМ 2010-1чорак-жадваллар 23.03_Салохият 47та 24.07.2012" xfId="2739"/>
    <cellStyle name="_ПРОМ 2010-1чорак-жадваллар 23.03_Салохият 47та 24.07.2012" xfId="2740"/>
    <cellStyle name="_ПРОМ 2010-1чорак-жадваллар 23.03_Саноат Салохият 02.10.2012й ҳолатига" xfId="2741"/>
    <cellStyle name="_ПРОМ 2010-1чорак-жадваллар 23.03_Саноат Салохият 02.10.2012й ҳолатига" xfId="2742"/>
    <cellStyle name="_ПРОМ 2010-1чорак-жадваллар 23.03_Саноат Салохият 03.10.2012й ҳолатига" xfId="2743"/>
    <cellStyle name="_ПРОМ 2010-1чорак-жадваллар 23.03_Саноат Салохият 03.10.2012й ҳолатига" xfId="2744"/>
    <cellStyle name="_ПРОМ 2010-1чорак-жадваллар 23.03_Саноат Салохият 47 та 06.10.2012й ҳолатига" xfId="2745"/>
    <cellStyle name="_ПРОМ 2010-1чорак-жадваллар 23.03_Саноат Салохият 47 та 06.10.2012й ҳолатига" xfId="2746"/>
    <cellStyle name="_ПРОМ 2010-1чорак-жадваллар 23.03_Саноат Салохият 47а та 06.10.2012й ҳолатига" xfId="2747"/>
    <cellStyle name="_ПРОМ 2010-1чорак-жадваллар 23.03_Саноат Салохият 47а та 06.10.2012й ҳолатига" xfId="2748"/>
    <cellStyle name="_ПРОМ 2010-1чорак-жадваллар 23.03_СИРДАРЁ СС 05.07.2012й ҳолатига" xfId="2749"/>
    <cellStyle name="_ПРОМ 2010-1чорак-жадваллар 23.03_СИРДАРЁ СС 05.07.2012й ҳолатига" xfId="2750"/>
    <cellStyle name="_Режа апрел кредит 19-04-07 гача" xfId="2751"/>
    <cellStyle name="_Режа апрел кредит 19-04-07 гача" xfId="2752"/>
    <cellStyle name="_Режа апрел кредит 19-04-07 гача" xfId="2753"/>
    <cellStyle name="_Режа апрел кредит 19-04-07 гача 2" xfId="2754"/>
    <cellStyle name="_Режа апрел кредит 19-04-07 гача 2" xfId="2755"/>
    <cellStyle name="_Режа апрел кредит 19-04-07 гача 2" xfId="2756"/>
    <cellStyle name="_Режа апрел кредит 19-04-07 гача 2" xfId="2757"/>
    <cellStyle name="_Режа апрел кредит 19-04-07 гача 3" xfId="2758"/>
    <cellStyle name="_Режа апрел кредит 19-04-07 гача 3" xfId="2759"/>
    <cellStyle name="_Режа апрел кредит 19-04-07 гача 3" xfId="2760"/>
    <cellStyle name="_Режа апрел кредит 19-04-07 гача 3" xfId="2761"/>
    <cellStyle name="_СВОД Жадваллар 2008-2012й" xfId="2762"/>
    <cellStyle name="_СВОД Жадваллар 2008-2012й" xfId="2763"/>
    <cellStyle name="_СВОД Жадваллар 2008-2012й_СВОД Прогноз 2008-2012й" xfId="2764"/>
    <cellStyle name="_СВОД Жадваллар 2008-2012й_СВОД Прогноз 2008-2012й" xfId="2765"/>
    <cellStyle name="_СВОД жадваллар-2009 6 ой" xfId="2766"/>
    <cellStyle name="_СВОД жадваллар-2009 6 ой" xfId="2767"/>
    <cellStyle name="_Свод Макет" xfId="2768"/>
    <cellStyle name="_СВОД Прогноз 2008-2012й" xfId="2769"/>
    <cellStyle name="_Сводная ВЭС" xfId="2770"/>
    <cellStyle name="_Сводная ВЭС" xfId="2771"/>
    <cellStyle name="_Солик_форма_епилган_умумий" xfId="2772"/>
    <cellStyle name="_Солик_форма_епилган_умумий" xfId="2773"/>
    <cellStyle name="_Солик_форма_епилган_умумий" xfId="2774"/>
    <cellStyle name="_Солик_форма_епилган_умумий" xfId="2775"/>
    <cellStyle name="_Солик_форма_умумий" xfId="2776"/>
    <cellStyle name="_Солик_форма_умумий" xfId="2777"/>
    <cellStyle name="_Солик_форма_умумий" xfId="2778"/>
    <cellStyle name="_Солик_форма_умумий" xfId="2779"/>
    <cellStyle name="_С-р , П Б, Х Б ва бошка банк 1,01,06 дан 25,05,06гача" xfId="2780"/>
    <cellStyle name="_С-р , П Б, Х Б ва бошка банк 1,01,06 дан 25,05,06гача" xfId="2781"/>
    <cellStyle name="_С-р , П Б, Х Б ва бошка банк 1,01,06 дан 25,05,06гача" xfId="2782"/>
    <cellStyle name="_С-р , П Б, Х Б ва бошка банк 1,01,06 дан 25,05,06гача" xfId="2783"/>
    <cellStyle name="_С-р , П Б, Х Б ва бошка банк 1,01,06 дан 25,05,06гача 2" xfId="2784"/>
    <cellStyle name="_С-р , П Б, Х Б ва бошка банк 1,01,06 дан 25,05,06гача 2" xfId="2785"/>
    <cellStyle name="_С-р , П Б, Х Б ва бошка банк 1,01,06 дан 25,05,06гача 3" xfId="2786"/>
    <cellStyle name="_С-р , П Б, Х Б ва бошка банк 1,01,06 дан 25,05,06гача 3" xfId="2787"/>
    <cellStyle name="_С-р , П Б, Х Б ва бошка банк 1,01,06 дан 25,05,06гача_2008_iil_APREL_ishchi_zhadval_formula2-СВОД" xfId="2788"/>
    <cellStyle name="_С-р , П Б, Х Б ва бошка банк 1,01,06 дан 25,05,06гача_2008_iil_APREL_ishchi_zhadval_formula2-СВОД" xfId="2789"/>
    <cellStyle name="_С-р , П Б, Х Б ва бошка банк 1,01,06 дан 25,05,06гача_Апрел кр такс иш хаки тулик 5.04.08 МБ га" xfId="2790"/>
    <cellStyle name="_С-р , П Б, Х Б ва бошка банк 1,01,06 дан 25,05,06гача_Апрел кр такс иш хаки тулик 5.04.08 МБ га" xfId="2791"/>
    <cellStyle name="_С-р , П Б, Х Б ва бошка банк 1,01,06 дан 25,05,06гача_ЛИЗИНГ МОНИТОРИНГИ-1.11.08й русумлар буйича" xfId="2792"/>
    <cellStyle name="_С-р , П Б, Х Б ва бошка банк 1,01,06 дан 25,05,06гача_ЛИЗИНГ МОНИТОРИНГИ-1.11.08й русумлар буйича" xfId="2793"/>
    <cellStyle name="_С-р , П Б, Х Б ва бошка банк 1,01,06 дан 25,05,06гача_УХКМ ва БИО форма 01. 02. 09" xfId="2794"/>
    <cellStyle name="_С-р , П Б, Х Б ва бошка банк 1,01,06 дан 25,05,06гача_УХКМ ва БИО форма 01. 02. 09" xfId="2795"/>
    <cellStyle name="_С-р , П Б, Х Б ва бошка банк 1,01,06 дан 25,05,06гача_УХКМ ва БИО форма 01. 02. 09" xfId="2796"/>
    <cellStyle name="_С-р , П Б, Х Б ва бошка банк 1,01,06 дан 25,05,06гача_УХКМ ва БИО форма 01. 02. 09" xfId="2797"/>
    <cellStyle name="_С-р , П Б, Х Б ва бошка банк 1,01,06 дан 25,05,06гача00" xfId="2798"/>
    <cellStyle name="_С-р , П Б, Х Б ва бошка банк 1,01,06 дан 25,05,06гача00" xfId="2799"/>
    <cellStyle name="_С-р , П Б, Х Б ва бошка банк 1,01,06 дан 25,05,06гача00" xfId="2800"/>
    <cellStyle name="_С-р , П Б, Х Б ва бошка банк 1,01,06 дан 25,05,06гача00" xfId="2801"/>
    <cellStyle name="_С-р , П Б, Х Б ва бошка банк 1,01,06 дан 25,05,06гача00 2" xfId="2802"/>
    <cellStyle name="_С-р , П Б, Х Б ва бошка банк 1,01,06 дан 25,05,06гача00 2" xfId="2803"/>
    <cellStyle name="_С-р , П Б, Х Б ва бошка банк 1,01,06 дан 25,05,06гача00 3" xfId="2804"/>
    <cellStyle name="_С-р , П Б, Х Б ва бошка банк 1,01,06 дан 25,05,06гача00 3" xfId="2805"/>
    <cellStyle name="_С-р , П Б, Х Б ва бошка банк 1,01,06 дан 25,05,06гача00_УХКМ ва БИО форма 01. 02. 09" xfId="2806"/>
    <cellStyle name="_С-р , П Б, Х Б ва бошка банк 1,01,06 дан 25,05,06гача00_УХКМ ва БИО форма 01. 02. 09" xfId="2807"/>
    <cellStyle name="_С-р , П Б, Х Б ва бошка банк 1,01,06 дан 25,05,06гача00_УХКМ ва БИО форма 01. 02. 09" xfId="2808"/>
    <cellStyle name="_С-р , П Б, Х Б ва бошка банк 1,01,06 дан 25,05,06гача00_УХКМ ва БИО форма 01. 02. 09" xfId="2809"/>
    <cellStyle name="_Сухроб Вилоят свод" xfId="2810"/>
    <cellStyle name="_Сухроб Вилоят свод" xfId="2811"/>
    <cellStyle name="_Тош.Вил. Суд,Инкасса 01.05.09й" xfId="2812"/>
    <cellStyle name="_Тош.Вил. Суд,Инкасса 01.05.09й" xfId="2813"/>
    <cellStyle name="_Узгартириш Саноат сал Макет" xfId="2814"/>
    <cellStyle name="_Узгартириш Саноат сал Макет" xfId="2815"/>
    <cellStyle name="_УХКМ ва БИО форма 01. 02. 09" xfId="2816"/>
    <cellStyle name="_УХКМ ва БИО форма 01. 02. 09" xfId="2817"/>
    <cellStyle name="_УХКМ ва БИО форма 01. 02. 09" xfId="2818"/>
    <cellStyle name="_УХКМ ва БИО форма 01. 02. 09" xfId="2819"/>
    <cellStyle name="_Факт 2006 йилга олганлар" xfId="2820"/>
    <cellStyle name="_Факт 2006 йилга олганлар" xfId="2821"/>
    <cellStyle name="_Факт 2006 йилга олганлар" xfId="2822"/>
    <cellStyle name="_Факт 2006 йилга олганлар" xfId="2823"/>
    <cellStyle name="_Факт 2006 йилга олганлар 2" xfId="2824"/>
    <cellStyle name="_Факт 2006 йилга олганлар 2" xfId="2825"/>
    <cellStyle name="_Факт 2006 йилга олганлар 3" xfId="2826"/>
    <cellStyle name="_Факт 2006 йилга олганлар 3" xfId="2827"/>
    <cellStyle name="_Факт 2006 йилга олганлар_2008 ОКТЯБР ишчи жадвал формула" xfId="2828"/>
    <cellStyle name="_Факт 2006 йилга олганлар_2008 ОКТЯБР ишчи жадвал формула" xfId="2829"/>
    <cellStyle name="_Факт 2006 йилга олганлар_2008 ОКТЯБР ишчи жадвал формула_2008 йил 1-декабр-сводлар-узгарди" xfId="2830"/>
    <cellStyle name="_Факт 2006 йилга олганлар_2008 ОКТЯБР ишчи жадвал формула_2008 йил 1-декабр-сводлар-узгарди" xfId="2831"/>
    <cellStyle name="_Факт 2006 йилга олганлар_2008 ОКТЯБР ишчи жадвал формула_2008 йил 1-ноябр-баланс билан" xfId="2832"/>
    <cellStyle name="_Факт 2006 йилга олганлар_2008 ОКТЯБР ишчи жадвал формула_2008 йил 1-ноябр-баланс билан" xfId="2833"/>
    <cellStyle name="_Факт 2006 йилга олганлар_2008_iil_APREL_ishchi_zhadval_formula2-СВОД" xfId="2834"/>
    <cellStyle name="_Факт 2006 йилга олганлар_2008_iil_APREL_ishchi_zhadval_formula2-СВОД" xfId="2835"/>
    <cellStyle name="_Факт 2006 йилга олганлар_2008_iil_APREL_ishchi_zhadval_formula2-СВОД" xfId="2836"/>
    <cellStyle name="_Факт 2006 йилга олганлар_2008_iil_APREL_ishchi_zhadval_formula2-СВОД" xfId="2837"/>
    <cellStyle name="_Факт 2006 йилга олганлар_Апрел кр такс иш хаки тулик 5.04.08 МБ га" xfId="2838"/>
    <cellStyle name="_Факт 2006 йилга олганлар_Апрел кр такс иш хаки тулик 5.04.08 МБ га" xfId="2839"/>
    <cellStyle name="_Факт 2006 йилга олганлар_Апрел кр такс иш хаки тулик 5.04.08 МБ га" xfId="2840"/>
    <cellStyle name="_Факт 2006 йилга олганлар_Апрел кр такс иш хаки тулик 5.04.08 МБ га" xfId="2841"/>
    <cellStyle name="_Факт 2006 йилга олганлар_ЛИЗИНГ МОНИТОРИНГИ-1.11.08й русумлар буйича" xfId="2842"/>
    <cellStyle name="_Факт 2006 йилга олганлар_ЛИЗИНГ МОНИТОРИНГИ-1.11.08й русумлар буйича" xfId="2843"/>
    <cellStyle name="_Факт 2006 йилга олганлар_ЛИЗИНГ МОНИТОРИНГИ-1.11.08й русумлар буйича" xfId="2844"/>
    <cellStyle name="_Факт 2006 йилга олганлар_ЛИЗИНГ МОНИТОРИНГИ-1.11.08й русумлар буйича" xfId="2845"/>
    <cellStyle name="_Факт 2006 йилга олганлар_УХКМ ва БИО форма 01. 02. 09" xfId="2846"/>
    <cellStyle name="_Факт 2006 йилга олганлар_УХКМ ва БИО форма 01. 02. 09" xfId="2847"/>
    <cellStyle name="_Факт 2006 йилга олганлар_УХКМ ва БИО форма 01. 02. 09" xfId="2848"/>
    <cellStyle name="_Факт 2006 йилга олганлар_УХКМ ва БИО форма 01. 02. 09" xfId="2849"/>
    <cellStyle name="_Фарғона" xfId="2850"/>
    <cellStyle name="_Фарғона" xfId="2851"/>
    <cellStyle name="_Фарғона_11-жадвал Акбарга" xfId="2852"/>
    <cellStyle name="_Фарғона_11-жадвал Акбарга" xfId="2853"/>
    <cellStyle name="_Фарғона_11-жадвал Акбарга_Салохият 47та 24.07.2012" xfId="2854"/>
    <cellStyle name="_Фарғона_11-жадвал Акбарга_Салохият 47та 24.07.2012" xfId="2855"/>
    <cellStyle name="_Фарғона_11-жадвал Акбарга_Саноат Салохият 02.10.2012й ҳолатига" xfId="2856"/>
    <cellStyle name="_Фарғона_11-жадвал Акбарга_Саноат Салохият 02.10.2012й ҳолатига" xfId="2857"/>
    <cellStyle name="_Фарғона_11-жадвал Акбарга_Саноат Салохият 03.10.2012й ҳолатига" xfId="2858"/>
    <cellStyle name="_Фарғона_11-жадвал Акбарга_Саноат Салохият 03.10.2012й ҳолатига" xfId="2859"/>
    <cellStyle name="_Фарғона_11-жадвал Акбарга_Саноат Салохият 47 та 06.10.2012й ҳолатига" xfId="2860"/>
    <cellStyle name="_Фарғона_11-жадвал Акбарга_Саноат Салохият 47 та 06.10.2012й ҳолатига" xfId="2861"/>
    <cellStyle name="_Фарғона_11-жадвал Акбарга_Саноат Салохият 47а та 06.10.2012й ҳолатига" xfId="2862"/>
    <cellStyle name="_Фарғона_11-жадвал Акбарга_Саноат Салохият 47а та 06.10.2012й ҳолатига" xfId="2863"/>
    <cellStyle name="_Фарғона_11-жадвал Акбарга_СИРДАРЁ СС 05.07.2012й ҳолатига" xfId="2864"/>
    <cellStyle name="_Фарғона_11-жадвал Акбарга_СИРДАРЁ СС 05.07.2012й ҳолатига" xfId="2865"/>
    <cellStyle name="_Фарғона_1-кисм 1-свод" xfId="2866"/>
    <cellStyle name="_Фарғона_1-кисм 1-свод" xfId="2867"/>
    <cellStyle name="_Фарғона_озиқ-овқат" xfId="2868"/>
    <cellStyle name="_Фарғона_озиқ-овқат" xfId="2869"/>
    <cellStyle name="_Фарғона_озиқ-овқат_Салохият 47та 24.07.2012" xfId="2870"/>
    <cellStyle name="_Фарғона_озиқ-овқат_Салохият 47та 24.07.2012" xfId="2871"/>
    <cellStyle name="_Фарғона_озиқ-овқат_Саноат Салохият 02.10.2012й ҳолатига" xfId="2872"/>
    <cellStyle name="_Фарғона_озиқ-овқат_Саноат Салохият 02.10.2012й ҳолатига" xfId="2873"/>
    <cellStyle name="_Фарғона_озиқ-овқат_Саноат Салохият 03.10.2012й ҳолатига" xfId="2874"/>
    <cellStyle name="_Фарғона_озиқ-овқат_Саноат Салохият 03.10.2012й ҳолатига" xfId="2875"/>
    <cellStyle name="_Фарғона_озиқ-овқат_Саноат Салохият 47 та 06.10.2012й ҳолатига" xfId="2876"/>
    <cellStyle name="_Фарғона_озиқ-овқат_Саноат Салохият 47 та 06.10.2012й ҳолатига" xfId="2877"/>
    <cellStyle name="_Фарғона_озиқ-овқат_Саноат Салохият 47а та 06.10.2012й ҳолатига" xfId="2878"/>
    <cellStyle name="_Фарғона_озиқ-овқат_Саноат Салохият 47а та 06.10.2012й ҳолатига" xfId="2879"/>
    <cellStyle name="_Фарғона_озиқ-овқат_СИРДАРЁ СС 05.07.2012й ҳолатига" xfId="2880"/>
    <cellStyle name="_Фарғона_озиқ-овқат_СИРДАРЁ СС 05.07.2012й ҳолатига" xfId="2881"/>
    <cellStyle name="_Фарғона_Салохият 47та 24.07.2012" xfId="2882"/>
    <cellStyle name="_Фарғона_Салохият 47та 24.07.2012" xfId="2883"/>
    <cellStyle name="_Фарғона_Саноат Салохият 02.10.2012й ҳолатига" xfId="2884"/>
    <cellStyle name="_Фарғона_Саноат Салохият 02.10.2012й ҳолатига" xfId="2885"/>
    <cellStyle name="_Фарғона_Саноат Салохият 03.10.2012й ҳолатига" xfId="2886"/>
    <cellStyle name="_Фарғона_Саноат Салохият 03.10.2012й ҳолатига" xfId="2887"/>
    <cellStyle name="_Фарғона_Саноат Салохият 47 та 06.10.2012й ҳолатига" xfId="2888"/>
    <cellStyle name="_Фарғона_Саноат Салохият 47 та 06.10.2012й ҳолатига" xfId="2889"/>
    <cellStyle name="_Фарғона_Саноат Салохият 47а та 06.10.2012й ҳолатига" xfId="2890"/>
    <cellStyle name="_Фарғона_Саноат Салохият 47а та 06.10.2012й ҳолатига" xfId="2891"/>
    <cellStyle name="_Фарғона_СИРДАРЁ СС 05.07.2012й ҳолатига" xfId="2892"/>
    <cellStyle name="_Фарғона_СИРДАРЁ СС 05.07.2012й ҳолатига" xfId="2893"/>
    <cellStyle name="_форма 1" xfId="2894"/>
    <cellStyle name="_форма 1" xfId="2895"/>
    <cellStyle name="_Химия-11" xfId="2896"/>
    <cellStyle name="_Химия-11" xfId="2897"/>
    <cellStyle name="_Химия-11" xfId="2898"/>
    <cellStyle name="_Химия-11" xfId="2899"/>
    <cellStyle name="_Химия-11_2008 йил 1-декабр-сводлар-узгарди" xfId="2900"/>
    <cellStyle name="_Химия-11_2008 йил 1-декабр-сводлар-узгарди" xfId="2901"/>
    <cellStyle name="_Химия-11_2008 йил 1-ноябр-баланс билан" xfId="2902"/>
    <cellStyle name="_Химия-11_2008 йил 1-ноябр-баланс билан" xfId="2903"/>
    <cellStyle name="_Химия-11_2008 ОКТЯБР ишчи жадвал формула" xfId="2904"/>
    <cellStyle name="_Химия-11_2008 ОКТЯБР ишчи жадвал формула" xfId="2905"/>
    <cellStyle name="_Химия-11_2008 ОКТЯБР ишчи жадвал формула" xfId="2906"/>
    <cellStyle name="_Химия-11_2008 ОКТЯБР ишчи жадвал формула" xfId="2907"/>
    <cellStyle name="_Химия-11_2008 ОКТЯБР ишчи жадвал формула_2008 йил 1-декабр-сводлар-узгарди" xfId="2908"/>
    <cellStyle name="_Химия-11_2008 ОКТЯБР ишчи жадвал формула_2008 йил 1-декабр-сводлар-узгарди" xfId="2909"/>
    <cellStyle name="_Химия-11_2008 ОКТЯБР ишчи жадвал формула_2008 йил 1-декабр-сводлар-узгарди" xfId="2910"/>
    <cellStyle name="_Химия-11_2008 ОКТЯБР ишчи жадвал формула_2008 йил 1-декабр-сводлар-узгарди" xfId="2911"/>
    <cellStyle name="_Химия-11_2008 ОКТЯБР ишчи жадвал формула_2008 йил 1-ноябр-баланс билан" xfId="2912"/>
    <cellStyle name="_Химия-11_2008 ОКТЯБР ишчи жадвал формула_2008 йил 1-ноябр-баланс билан" xfId="2913"/>
    <cellStyle name="_Химия-11_2008 ОКТЯБР ишчи жадвал формула_2008 йил 1-ноябр-баланс билан" xfId="2914"/>
    <cellStyle name="_Химия-11_2008 ОКТЯБР ишчи жадвал формула_2008 йил 1-ноябр-баланс билан" xfId="2915"/>
    <cellStyle name="_Химия-11_2008_iil_APREL_ishchi_zhadval_formula2-СВОД" xfId="2916"/>
    <cellStyle name="_Химия-11_2008_iil_APREL_ishchi_zhadval_formula2-СВОД" xfId="2917"/>
    <cellStyle name="_Химия-11_2008_iil_APREL_ishchi_zhadval_formula2-СВОД" xfId="2918"/>
    <cellStyle name="_Химия-11_2008_iil_APREL_ishchi_zhadval_formula2-СВОД" xfId="2919"/>
    <cellStyle name="_Химия-11_Апрел кр такс иш хаки тулик 5.04.08 МБ га" xfId="2920"/>
    <cellStyle name="_Химия-11_Апрел кр такс иш хаки тулик 5.04.08 МБ га" xfId="2921"/>
    <cellStyle name="_Чиким Апрел ойи котди" xfId="2922"/>
    <cellStyle name="_Чиким Апрел ойи котди" xfId="2923"/>
    <cellStyle name="_Чиким Апрел ойи котди" xfId="2924"/>
    <cellStyle name="_Чиким Апрел ойи котди" xfId="2925"/>
    <cellStyle name="_Чиким Апрел ойи котди 2" xfId="2926"/>
    <cellStyle name="_Чиким Апрел ойи котди 2" xfId="2927"/>
    <cellStyle name="_Чиким Апрел ойи котди 2" xfId="2928"/>
    <cellStyle name="_Чиким Апрел ойи котди 2" xfId="2929"/>
    <cellStyle name="_Чиким Апрел ойи котди 3" xfId="2930"/>
    <cellStyle name="_Чиким Апрел ойи котди 3" xfId="2931"/>
    <cellStyle name="_Чиким Апрел ойи котди 3" xfId="2932"/>
    <cellStyle name="_Чиким Апрел ойи котди 3" xfId="2933"/>
    <cellStyle name="_Чиким Апрел ойи котди_УХКМ ва БИО форма 01. 02. 09" xfId="2934"/>
    <cellStyle name="_Чиким Апрел ойи котди_УХКМ ва БИО форма 01. 02. 09" xfId="2935"/>
    <cellStyle name="_Чиким Апрел ойи котди_УХКМ ва БИО форма 01. 02. 09" xfId="2936"/>
    <cellStyle name="_Чиким Апрел ойи котди_УХКМ ва БИО форма 01. 02. 09" xfId="2937"/>
    <cellStyle name="_Чиким июн" xfId="2938"/>
    <cellStyle name="_Чиким июн" xfId="2939"/>
    <cellStyle name="_Чиким июн" xfId="2940"/>
    <cellStyle name="_Чиким июн" xfId="2941"/>
    <cellStyle name="_Чиким июн 2" xfId="2942"/>
    <cellStyle name="_Чиким июн 2" xfId="2943"/>
    <cellStyle name="_Чиким июн 2" xfId="2944"/>
    <cellStyle name="_Чиким июн 2" xfId="2945"/>
    <cellStyle name="_Чиким июн 3" xfId="2946"/>
    <cellStyle name="_Чиким июн 3" xfId="2947"/>
    <cellStyle name="_Чиким июн 3" xfId="2948"/>
    <cellStyle name="_Чиким июн 3" xfId="2949"/>
    <cellStyle name="_Чиким июн_2008 ОКТЯБР ишчи жадвал формула" xfId="2950"/>
    <cellStyle name="_Чиким июн_2008 ОКТЯБР ишчи жадвал формула" xfId="2951"/>
    <cellStyle name="_Чиким июн_2008 ОКТЯБР ишчи жадвал формула" xfId="2952"/>
    <cellStyle name="_Чиким июн_2008 ОКТЯБР ишчи жадвал формула" xfId="2953"/>
    <cellStyle name="_Чиким июн_2008 ОКТЯБР ишчи жадвал формула_2008 йил 1-декабр-сводлар-узгарди" xfId="2954"/>
    <cellStyle name="_Чиким июн_2008 ОКТЯБР ишчи жадвал формула_2008 йил 1-декабр-сводлар-узгарди" xfId="2955"/>
    <cellStyle name="_Чиким июн_2008 ОКТЯБР ишчи жадвал формула_2008 йил 1-декабр-сводлар-узгарди" xfId="2956"/>
    <cellStyle name="_Чиким июн_2008 ОКТЯБР ишчи жадвал формула_2008 йил 1-декабр-сводлар-узгарди" xfId="2957"/>
    <cellStyle name="_Чиким июн_2008 ОКТЯБР ишчи жадвал формула_2008 йил 1-ноябр-баланс билан" xfId="2958"/>
    <cellStyle name="_Чиким июн_2008 ОКТЯБР ишчи жадвал формула_2008 йил 1-ноябр-баланс билан" xfId="2959"/>
    <cellStyle name="_Чиким июн_2008 ОКТЯБР ишчи жадвал формула_2008 йил 1-ноябр-баланс билан" xfId="2960"/>
    <cellStyle name="_Чиким июн_2008 ОКТЯБР ишчи жадвал формула_2008 йил 1-ноябр-баланс билан" xfId="2961"/>
    <cellStyle name="_Чиким июн_2008_iil_APREL_ishchi_zhadval_formula2-СВОД" xfId="2962"/>
    <cellStyle name="_Чиким июн_2008_iil_APREL_ishchi_zhadval_formula2-СВОД" xfId="2963"/>
    <cellStyle name="_Чиким июн_2008_iil_APREL_ishchi_zhadval_formula2-СВОД" xfId="2964"/>
    <cellStyle name="_Чиким июн_2008_iil_APREL_ishchi_zhadval_formula2-СВОД" xfId="2965"/>
    <cellStyle name="_Чиким июн_Апрел кр такс иш хаки тулик 5.04.08 МБ га" xfId="2966"/>
    <cellStyle name="_Чиким июн_Апрел кр такс иш хаки тулик 5.04.08 МБ га" xfId="2967"/>
    <cellStyle name="_Чиким июн_Апрел кр такс иш хаки тулик 5.04.08 МБ га" xfId="2968"/>
    <cellStyle name="_Чиким июн_Апрел кр такс иш хаки тулик 5.04.08 МБ га" xfId="2969"/>
    <cellStyle name="_Чиким июн_ЛИЗИНГ МОНИТОРИНГИ-1.11.08й русумлар буйича" xfId="2970"/>
    <cellStyle name="_Чиким июн_ЛИЗИНГ МОНИТОРИНГИ-1.11.08й русумлар буйича" xfId="2971"/>
    <cellStyle name="_Чиким июн_ЛИЗИНГ МОНИТОРИНГИ-1.11.08й русумлар буйича" xfId="2972"/>
    <cellStyle name="_Чиким июн_ЛИЗИНГ МОНИТОРИНГИ-1.11.08й русумлар буйича" xfId="2973"/>
    <cellStyle name="_Чиким июн_УХКМ ва БИО форма 01. 02. 09" xfId="2974"/>
    <cellStyle name="_Чиким июн_УХКМ ва БИО форма 01. 02. 09" xfId="2975"/>
    <cellStyle name="_Чиким июн_УХКМ ва БИО форма 01. 02. 09" xfId="2976"/>
    <cellStyle name="_Чиким июн_УХКМ ва БИО форма 01. 02. 09" xfId="2977"/>
    <cellStyle name="_Энг охирги экипаж-1" xfId="2978"/>
    <cellStyle name="_Энг охирги экипаж-1" xfId="2979"/>
    <cellStyle name="_Энг охирги экипаж-1" xfId="2980"/>
    <cellStyle name="_Энг охирги экипаж-1" xfId="2981"/>
    <cellStyle name="_Энг охирги экипаж-1 2" xfId="2982"/>
    <cellStyle name="_Энг охирги экипаж-1 2" xfId="2983"/>
    <cellStyle name="_Энг охирги экипаж-1 2" xfId="2984"/>
    <cellStyle name="_Энг охирги экипаж-1 2" xfId="2985"/>
    <cellStyle name="_Энг охирги экипаж-1 3" xfId="2986"/>
    <cellStyle name="_Энг охирги экипаж-1 3" xfId="2987"/>
    <cellStyle name="_Энг охирги экипаж-1 3" xfId="2988"/>
    <cellStyle name="_Энг охирги экипаж-1 3" xfId="2989"/>
    <cellStyle name="_Энг охирги экипаж-1_УХКМ ва БИО форма 01. 02. 09" xfId="2990"/>
    <cellStyle name="_Энг охирги экипаж-1_УХКМ ва БИО форма 01. 02. 09" xfId="2991"/>
    <cellStyle name="_Энг охирги экипаж-1_УХКМ ва БИО форма 01. 02. 09" xfId="2992"/>
    <cellStyle name="_Энг охирги экипаж-1_УХКМ ва БИО форма 01. 02. 09" xfId="2993"/>
    <cellStyle name="" xfId="2994"/>
    <cellStyle name="" xfId="2995"/>
    <cellStyle name="" xfId="2996"/>
    <cellStyle name="" xfId="2997"/>
    <cellStyle name=" 2" xfId="2998"/>
    <cellStyle name=" 2" xfId="2999"/>
    <cellStyle name=" 2" xfId="3000"/>
    <cellStyle name=" 2" xfId="3001"/>
    <cellStyle name=" 3" xfId="3002"/>
    <cellStyle name=" 3" xfId="3003"/>
    <cellStyle name=" 3" xfId="3004"/>
    <cellStyle name=" 3" xfId="3005"/>
    <cellStyle name="_+СВОД  Узбекча Кашкадарё" xfId="3006"/>
    <cellStyle name="_+СВОД  Узбекча Кашкадарё" xfId="3007"/>
    <cellStyle name="_05,06,2007 йилга сводка Дустлик 2" xfId="3008"/>
    <cellStyle name="_05,06,2007 йилга сводка Дустлик 2" xfId="3009"/>
    <cellStyle name="_05,06,2007 йилга сводка Дустлик 2" xfId="3010"/>
    <cellStyle name="_05,06,2007 йилга сводка Дустлик 2" xfId="3011"/>
    <cellStyle name="_05,06,2007 йилга сводка Дустлик 2 2" xfId="3012"/>
    <cellStyle name="_05,06,2007 йилга сводка Дустлик 2 2" xfId="3013"/>
    <cellStyle name="_05,06,2007 йилга сводка Дустлик 2 2" xfId="3014"/>
    <cellStyle name="_05,06,2007 йилга сводка Дустлик 2 2" xfId="3015"/>
    <cellStyle name="_05,06,2007 йилга сводка Дустлик 2 3" xfId="3016"/>
    <cellStyle name="_05,06,2007 йилга сводка Дустлик 2 3" xfId="3017"/>
    <cellStyle name="_05,06,2007 йилга сводка Дустлик 2 3" xfId="3018"/>
    <cellStyle name="_05,06,2007 йилга сводка Дустлик 2 3" xfId="3019"/>
    <cellStyle name="_1 август 2006 йилдан" xfId="3020"/>
    <cellStyle name="_1 август 2006 йилдан" xfId="3021"/>
    <cellStyle name="_1 август 2006 йилдан" xfId="3022"/>
    <cellStyle name="_1 август 2006 йилдан" xfId="3023"/>
    <cellStyle name="_1 август 2006 йилдан 2" xfId="3024"/>
    <cellStyle name="_1 август 2006 йилдан 2" xfId="3025"/>
    <cellStyle name="_1 август 2006 йилдан 2" xfId="3026"/>
    <cellStyle name="_1 август 2006 йилдан 2" xfId="3027"/>
    <cellStyle name="_1 август 2006 йилдан 3" xfId="3028"/>
    <cellStyle name="_1 август 2006 йилдан 3" xfId="3029"/>
    <cellStyle name="_1 август 2006 йилдан 3" xfId="3030"/>
    <cellStyle name="_1 август 2006 йилдан 3" xfId="3031"/>
    <cellStyle name="_1 август 2006 йилдан_УХКМ ва БИО форма 01. 02. 09" xfId="3032"/>
    <cellStyle name="_1 август 2006 йилдан_УХКМ ва БИО форма 01. 02. 09" xfId="3033"/>
    <cellStyle name="_1 август 2006 йилдан_УХКМ ва БИО форма 01. 02. 09" xfId="3034"/>
    <cellStyle name="_1 август 2006 йилдан_УХКМ ва БИО форма 01. 02. 09" xfId="3035"/>
    <cellStyle name="_1 августга бешта формани бошкатдан тайёрланди" xfId="3036"/>
    <cellStyle name="_1 августга бешта формани бошкатдан тайёрланди" xfId="3037"/>
    <cellStyle name="_1 августга бешта формани бошкатдан тайёрланди" xfId="3038"/>
    <cellStyle name="_1 августга бешта формани бошкатдан тайёрланди" xfId="3039"/>
    <cellStyle name="_1 августга бешта формани бошкатдан тайёрланди 2" xfId="3040"/>
    <cellStyle name="_1 августга бешта формани бошкатдан тайёрланди 2" xfId="3041"/>
    <cellStyle name="_1 августга бешта формани бошкатдан тайёрланди 2" xfId="3042"/>
    <cellStyle name="_1 августга бешта формани бошкатдан тайёрланди 2" xfId="3043"/>
    <cellStyle name="_1 августга бешта формани бошкатдан тайёрланди 3" xfId="3044"/>
    <cellStyle name="_1 августга бешта формани бошкатдан тайёрланди 3" xfId="3045"/>
    <cellStyle name="_1 августга бешта формани бошкатдан тайёрланди 3" xfId="3046"/>
    <cellStyle name="_1 августга бешта формани бошкатдан тайёрланди 3" xfId="3047"/>
    <cellStyle name="_1 августга бешта формани бошкатдан тайёрланди_УХКМ ва БИО форма 01. 02. 09" xfId="3048"/>
    <cellStyle name="_1 августга бешта формани бошкатдан тайёрланди_УХКМ ва БИО форма 01. 02. 09" xfId="3049"/>
    <cellStyle name="_1 августга бешта формани бошкатдан тайёрланди_УХКМ ва БИО форма 01. 02. 09" xfId="3050"/>
    <cellStyle name="_1 августга бешта формани бошкатдан тайёрланди_УХКМ ва БИО форма 01. 02. 09" xfId="3051"/>
    <cellStyle name="_1 кв ФАКТОР" xfId="3052"/>
    <cellStyle name="_1 кв ФАКТОР" xfId="3053"/>
    <cellStyle name="_1 кв ФАКТОР_Import_Forecast(last)_12.09.11 (Ismailovu)" xfId="3054"/>
    <cellStyle name="_1 кв ФАКТОР_Import_Forecast(last)_12.09.11 (Ismailovu)" xfId="3055"/>
    <cellStyle name="_12.05.06" xfId="3056"/>
    <cellStyle name="_12.05.06" xfId="3057"/>
    <cellStyle name="_12.05.06" xfId="3058"/>
    <cellStyle name="_12.05.06" xfId="3059"/>
    <cellStyle name="_12.05.06 2" xfId="3060"/>
    <cellStyle name="_12.05.06 2" xfId="3061"/>
    <cellStyle name="_12.05.06 3" xfId="3062"/>
    <cellStyle name="_12.05.06 3" xfId="3063"/>
    <cellStyle name="_12.05.06_2008 ОКТЯБР ишчи жадвал формула" xfId="3064"/>
    <cellStyle name="_12.05.06_2008 ОКТЯБР ишчи жадвал формула" xfId="3065"/>
    <cellStyle name="_12.05.06_2008 ОКТЯБР ишчи жадвал формула_2008 йил 1-декабр-сводлар-узгарди" xfId="3066"/>
    <cellStyle name="_12.05.06_2008 ОКТЯБР ишчи жадвал формула_2008 йил 1-декабр-сводлар-узгарди" xfId="3067"/>
    <cellStyle name="_12.05.06_2008 ОКТЯБР ишчи жадвал формула_2008 йил 1-ноябр-баланс билан" xfId="3068"/>
    <cellStyle name="_12.05.06_2008 ОКТЯБР ишчи жадвал формула_2008 йил 1-ноябр-баланс билан" xfId="3069"/>
    <cellStyle name="_12.05.06_2008_iil_APREL_ishchi_zhadval_formula2-СВОД" xfId="3070"/>
    <cellStyle name="_12.05.06_2008_iil_APREL_ishchi_zhadval_formula2-СВОД" xfId="3071"/>
    <cellStyle name="_12.05.06_2008_iil_APREL_ishchi_zhadval_formula2-СВОД" xfId="3072"/>
    <cellStyle name="_12.05.06_2008_iil_APREL_ishchi_zhadval_formula2-СВОД" xfId="3073"/>
    <cellStyle name="_12.05.06_Апрел кр такс иш хаки тулик 5.04.08 МБ га" xfId="3074"/>
    <cellStyle name="_12.05.06_Апрел кр такс иш хаки тулик 5.04.08 МБ га" xfId="3075"/>
    <cellStyle name="_12.05.06_Апрел кр такс иш хаки тулик 5.04.08 МБ га" xfId="3076"/>
    <cellStyle name="_12.05.06_Апрел кр такс иш хаки тулик 5.04.08 МБ га" xfId="3077"/>
    <cellStyle name="_12.05.06_ЛИЗИНГ МОНИТОРИНГИ-1.11.08й русумлар буйича" xfId="3078"/>
    <cellStyle name="_12.05.06_ЛИЗИНГ МОНИТОРИНГИ-1.11.08й русумлар буйича" xfId="3079"/>
    <cellStyle name="_12.05.06_ЛИЗИНГ МОНИТОРИНГИ-1.11.08й русумлар буйича" xfId="3080"/>
    <cellStyle name="_12.05.06_ЛИЗИНГ МОНИТОРИНГИ-1.11.08й русумлар буйича" xfId="3081"/>
    <cellStyle name="_12.05.06_УХКМ ва БИО форма 01. 02. 09" xfId="3082"/>
    <cellStyle name="_12.05.06_УХКМ ва БИО форма 01. 02. 09" xfId="3083"/>
    <cellStyle name="_12.05.06_УХКМ ва БИО форма 01. 02. 09" xfId="3084"/>
    <cellStyle name="_12.05.06_УХКМ ва БИО форма 01. 02. 09" xfId="3085"/>
    <cellStyle name="_15-05-07 га форма" xfId="3086"/>
    <cellStyle name="_15-05-07 га форма" xfId="3087"/>
    <cellStyle name="_15-05-07 га форма" xfId="3088"/>
    <cellStyle name="_15-05-07 га форма" xfId="3089"/>
    <cellStyle name="_15-05-07 га форма 2" xfId="3090"/>
    <cellStyle name="_15-05-07 га форма 2" xfId="3091"/>
    <cellStyle name="_15-05-07 га форма 2" xfId="3092"/>
    <cellStyle name="_15-05-07 га форма 2" xfId="3093"/>
    <cellStyle name="_15-05-07 га форма 3" xfId="3094"/>
    <cellStyle name="_15-05-07 га форма 3" xfId="3095"/>
    <cellStyle name="_15-05-07 га форма 3" xfId="3096"/>
    <cellStyle name="_15-05-07 га форма 3" xfId="3097"/>
    <cellStyle name="_15-05-07 га форма_УХКМ ва БИО форма 01. 02. 09" xfId="3098"/>
    <cellStyle name="_15-05-07 га форма_УХКМ ва БИО форма 01. 02. 09" xfId="3099"/>
    <cellStyle name="_15-05-07 га форма_УХКМ ва БИО форма 01. 02. 09" xfId="3100"/>
    <cellStyle name="_15-05-07 га форма_УХКМ ва БИО форма 01. 02. 09" xfId="3101"/>
    <cellStyle name="_17,09,2006" xfId="3102"/>
    <cellStyle name="_17,09,2006" xfId="3103"/>
    <cellStyle name="_17,09,2006" xfId="3104"/>
    <cellStyle name="_17,09,2006" xfId="3105"/>
    <cellStyle name="_17,09,2006 2" xfId="3106"/>
    <cellStyle name="_17,09,2006 2" xfId="3107"/>
    <cellStyle name="_17,09,2006 3" xfId="3108"/>
    <cellStyle name="_17,09,2006 3" xfId="3109"/>
    <cellStyle name="_17,09,2006_УХКМ ва БИО форма 01. 02. 09" xfId="3110"/>
    <cellStyle name="_17,09,2006_УХКМ ва БИО форма 01. 02. 09" xfId="3111"/>
    <cellStyle name="_17,09,2006_УХКМ ва БИО форма 01. 02. 09" xfId="3112"/>
    <cellStyle name="_17,09,2006_УХКМ ва БИО форма 01. 02. 09" xfId="3113"/>
    <cellStyle name="_18 жадвал сан" xfId="3114"/>
    <cellStyle name="_18 жадвал сан" xfId="3115"/>
    <cellStyle name="_18 жадвал сан_10" xfId="3116"/>
    <cellStyle name="_18 жадвал сан_10" xfId="3117"/>
    <cellStyle name="_18 жадвал сан_Карор буйича охирги" xfId="3118"/>
    <cellStyle name="_18 жадвал сан_Карор буйича охирги" xfId="3119"/>
    <cellStyle name="_18 жадвал сан_Кашкадарё 22.11.10." xfId="3120"/>
    <cellStyle name="_18 жадвал сан_Кашкадарё 22.11.10." xfId="3121"/>
    <cellStyle name="_18 жадвал сан_Кашкадарё охиргиси 26.08.10." xfId="3122"/>
    <cellStyle name="_18 жадвал сан_Кашкадарё охиргиси 26.08.10." xfId="3123"/>
    <cellStyle name="_18 жадвал сан_Кашкадарё ЯНГИ" xfId="3124"/>
    <cellStyle name="_18 жадвал сан_Кашкадарё ЯНГИ" xfId="3125"/>
    <cellStyle name="_18 жадвал сан_Кашкадарья экспорт  2011-2015 гг Отабекка" xfId="3126"/>
    <cellStyle name="_18 жадвал сан_Кашкадарья экспорт  2011-2015 гг Отабекка" xfId="3127"/>
    <cellStyle name="_18 жадвал сан_Кашкадарья экспорт  2011-2015 гг Отабекка 2" xfId="3128"/>
    <cellStyle name="_18 жадвал сан_Кашкадарья экспорт  2011-2015 гг Отабекка 2" xfId="3129"/>
    <cellStyle name="_18 жадвал сан_Кашкадарья экспорт  2011-2015 гг Отабекка 3" xfId="3130"/>
    <cellStyle name="_18 жадвал сан_Кашкадарья экспорт  2011-2015 гг Отабекка 3" xfId="3131"/>
    <cellStyle name="_18 жадвал сан_Кашкадарья экспорт  2011-2015 гг Отабекка 4" xfId="3132"/>
    <cellStyle name="_18 жадвал сан_Кашкадарья экспорт  2011-2015 гг Отабекка 4" xfId="3133"/>
    <cellStyle name="_18 жадвал сан_Кашкадарья экспорт  2011-2015 гг Отабекка_7 илова" xfId="3134"/>
    <cellStyle name="_18 жадвал сан_Кашкадарья экспорт  2011-2015 гг Отабекка_7 илова" xfId="3135"/>
    <cellStyle name="_18 жадвал сан_Кашкадарья экспорт  2011-2015 гг Отабекка_7 илова 2" xfId="3136"/>
    <cellStyle name="_18 жадвал сан_Кашкадарья экспорт  2011-2015 гг Отабекка_7 илова 2" xfId="3137"/>
    <cellStyle name="_18 жадвал сан_Кашкадарья экспорт  2011-2015 гг Отабекка_7 илова 3" xfId="3138"/>
    <cellStyle name="_18 жадвал сан_Кашкадарья экспорт  2011-2015 гг Отабекка_7 илова 3" xfId="3139"/>
    <cellStyle name="_18 жадвал сан_Кашкадарья экспорт  2011-2015 гг Отабекка_7 илова 4" xfId="3140"/>
    <cellStyle name="_18 жадвал сан_Кашкадарья экспорт  2011-2015 гг Отабекка_7 илова 4" xfId="3141"/>
    <cellStyle name="_18 жадвал сан_Кашкадарья экспорт  2011-2015 гг Отабекка_Хоразм 2013-2015 саноат дастури 12.11.2012. 19-4812" xfId="3142"/>
    <cellStyle name="_18 жадвал сан_Кашкадарья экспорт  2011-2015 гг Отабекка_Хоразм 2013-2015 саноат дастури 12.11.2012. 19-4812" xfId="3143"/>
    <cellStyle name="_18 жадвал сан_Макет 11-15 Кашкадарё охиргиси 27.08.10." xfId="3144"/>
    <cellStyle name="_18 жадвал сан_Макет 11-15 Кашкадарё охиргиси 27.08.10." xfId="3145"/>
    <cellStyle name="_18 жадвал сан_Макет 11-15 Охиргиси" xfId="3146"/>
    <cellStyle name="_18 жадвал сан_Макет 11-15 Охиргиси" xfId="3147"/>
    <cellStyle name="_18 жадвал сан_Макет 16.08 Кашкадарё..янги" xfId="3148"/>
    <cellStyle name="_18 жадвал сан_Макет 16.08 Кашкадарё..янги" xfId="3149"/>
    <cellStyle name="_18 жадвал сан_Макет 7.08" xfId="3150"/>
    <cellStyle name="_18 жадвал сан_Макет 7.08" xfId="3151"/>
    <cellStyle name="_18 жадвал сан_Макет 7.08 2" xfId="3152"/>
    <cellStyle name="_18 жадвал сан_Макет 7.08 2" xfId="3153"/>
    <cellStyle name="_18 жадвал сан_Макет 7.08 3" xfId="3154"/>
    <cellStyle name="_18 жадвал сан_Макет 7.08 3" xfId="3155"/>
    <cellStyle name="_18 жадвал сан_Макет 7.08 4" xfId="3156"/>
    <cellStyle name="_18 жадвал сан_Макет 7.08 4" xfId="3157"/>
    <cellStyle name="_18 жадвал сан_Макет 7.08_7 илова" xfId="3158"/>
    <cellStyle name="_18 жадвал сан_Макет 7.08_7 илова" xfId="3159"/>
    <cellStyle name="_18 жадвал сан_Макет 7.08_7 илова 2" xfId="3160"/>
    <cellStyle name="_18 жадвал сан_Макет 7.08_7 илова 2" xfId="3161"/>
    <cellStyle name="_18 жадвал сан_Макет 7.08_7 илова 3" xfId="3162"/>
    <cellStyle name="_18 жадвал сан_Макет 7.08_7 илова 3" xfId="3163"/>
    <cellStyle name="_18 жадвал сан_Макет 7.08_7 илова 4" xfId="3164"/>
    <cellStyle name="_18 жадвал сан_Макет 7.08_7 илова 4" xfId="3165"/>
    <cellStyle name="_18 жадвал сан_Макет 7.08_Хоразм 2013-2015 саноат дастури 12.11.2012. 19-4812" xfId="3166"/>
    <cellStyle name="_18 жадвал сан_Макет 7.08_Хоразм 2013-2015 саноат дастури 12.11.2012. 19-4812" xfId="3167"/>
    <cellStyle name="_18 жадвал сан_Наманган 2011-15  САНОАТ ДАСТУРИ" xfId="3168"/>
    <cellStyle name="_18 жадвал сан_Наманган 2011-15  САНОАТ ДАСТУРИ" xfId="3169"/>
    <cellStyle name="_18 жадвал сан_Наманган 2011-15  САНОАТ ДАСТУРИ 2" xfId="3170"/>
    <cellStyle name="_18 жадвал сан_Наманган 2011-15  САНОАТ ДАСТУРИ 2" xfId="3171"/>
    <cellStyle name="_18 жадвал сан_Наманган 2011-15  САНОАТ ДАСТУРИ 3" xfId="3172"/>
    <cellStyle name="_18 жадвал сан_Наманган 2011-15  САНОАТ ДАСТУРИ 3" xfId="3173"/>
    <cellStyle name="_18 жадвал сан_Наманган 2011-15  САНОАТ ДАСТУРИ 4" xfId="3174"/>
    <cellStyle name="_18 жадвал сан_Наманган 2011-15  САНОАТ ДАСТУРИ 4" xfId="3175"/>
    <cellStyle name="_18 жадвал сан_Наманган 2011-15  САНОАТ ДАСТУРИ_7 илова" xfId="3176"/>
    <cellStyle name="_18 жадвал сан_Наманган 2011-15  САНОАТ ДАСТУРИ_7 илова" xfId="3177"/>
    <cellStyle name="_18 жадвал сан_Наманган 2011-15  САНОАТ ДАСТУРИ_7 илова 2" xfId="3178"/>
    <cellStyle name="_18 жадвал сан_Наманган 2011-15  САНОАТ ДАСТУРИ_7 илова 2" xfId="3179"/>
    <cellStyle name="_18 жадвал сан_Наманган 2011-15  САНОАТ ДАСТУРИ_7 илова 3" xfId="3180"/>
    <cellStyle name="_18 жадвал сан_Наманган 2011-15  САНОАТ ДАСТУРИ_7 илова 3" xfId="3181"/>
    <cellStyle name="_18 жадвал сан_Наманган 2011-15  САНОАТ ДАСТУРИ_7 илова 4" xfId="3182"/>
    <cellStyle name="_18 жадвал сан_Наманган 2011-15  САНОАТ ДАСТУРИ_7 илова 4" xfId="3183"/>
    <cellStyle name="_18 жадвал сан_Наманган 2011-15  САНОАТ ДАСТУРИ_Хоразм 2013-2015 саноат дастури 12.11.2012. 19-4812" xfId="3184"/>
    <cellStyle name="_18 жадвал сан_Наманган 2011-15  САНОАТ ДАСТУРИ_Хоразм 2013-2015 саноат дастури 12.11.2012. 19-4812" xfId="3185"/>
    <cellStyle name="_1-кисм 1-свод" xfId="3186"/>
    <cellStyle name="_1-кисм 1-свод" xfId="3187"/>
    <cellStyle name="_2006 йил хосили учун чиким Счёт фактура" xfId="3188"/>
    <cellStyle name="_2006 йил хосили учун чиким Счёт фактура" xfId="3189"/>
    <cellStyle name="_2006 йил хосили учун чиким Счёт фактура" xfId="3190"/>
    <cellStyle name="_2006 йил хосили учун чиким Счёт фактура" xfId="3191"/>
    <cellStyle name="_2006 йил хосили учун чиким Счёт фактура 2" xfId="3192"/>
    <cellStyle name="_2006 йил хосили учун чиким Счёт фактура 2" xfId="3193"/>
    <cellStyle name="_2006 йил хосили учун чиким Счёт фактура 2" xfId="3194"/>
    <cellStyle name="_2006 йил хосили учун чиким Счёт фактура 2" xfId="3195"/>
    <cellStyle name="_2006 йил хосили учун чиким Счёт фактура 3" xfId="3196"/>
    <cellStyle name="_2006 йил хосили учун чиким Счёт фактура 3" xfId="3197"/>
    <cellStyle name="_2006 йил хосили учун чиким Счёт фактура 3" xfId="3198"/>
    <cellStyle name="_2006 йил хосили учун чиким Счёт фактура 3" xfId="3199"/>
    <cellStyle name="_2006 йил хосили учун чиким Счёт фактура_2008 ОКТЯБР ишчи жадвал формула" xfId="3200"/>
    <cellStyle name="_2006 йил хосили учун чиким Счёт фактура_2008 ОКТЯБР ишчи жадвал формула" xfId="3201"/>
    <cellStyle name="_2006 йил хосили учун чиким Счёт фактура_2008 ОКТЯБР ишчи жадвал формула" xfId="3202"/>
    <cellStyle name="_2006 йил хосили учун чиким Счёт фактура_2008 ОКТЯБР ишчи жадвал формула" xfId="3203"/>
    <cellStyle name="_2006 йил хосили учун чиким Счёт фактура_2008 ОКТЯБР ишчи жадвал формула_2008 йил 1-декабр-сводлар-узгарди" xfId="3204"/>
    <cellStyle name="_2006 йил хосили учун чиким Счёт фактура_2008 ОКТЯБР ишчи жадвал формула_2008 йил 1-декабр-сводлар-узгарди" xfId="3205"/>
    <cellStyle name="_2006 йил хосили учун чиким Счёт фактура_2008 ОКТЯБР ишчи жадвал формула_2008 йил 1-декабр-сводлар-узгарди" xfId="3206"/>
    <cellStyle name="_2006 йил хосили учун чиким Счёт фактура_2008 ОКТЯБР ишчи жадвал формула_2008 йил 1-декабр-сводлар-узгарди" xfId="3207"/>
    <cellStyle name="_2006 йил хосили учун чиким Счёт фактура_2008 ОКТЯБР ишчи жадвал формула_2008 йил 1-ноябр-баланс билан" xfId="3208"/>
    <cellStyle name="_2006 йил хосили учун чиким Счёт фактура_2008 ОКТЯБР ишчи жадвал формула_2008 йил 1-ноябр-баланс билан" xfId="3209"/>
    <cellStyle name="_2006 йил хосили учун чиким Счёт фактура_2008 ОКТЯБР ишчи жадвал формула_2008 йил 1-ноябр-баланс билан" xfId="3210"/>
    <cellStyle name="_2006 йил хосили учун чиким Счёт фактура_2008 ОКТЯБР ишчи жадвал формула_2008 йил 1-ноябр-баланс билан" xfId="3211"/>
    <cellStyle name="_2006 йил хосили учун чиким Счёт фактура_2008_iil_APREL_ishchi_zhadval_formula2-СВОД" xfId="3212"/>
    <cellStyle name="_2006 йил хосили учун чиким Счёт фактура_2008_iil_APREL_ishchi_zhadval_formula2-СВОД" xfId="3213"/>
    <cellStyle name="_2006 йил хосили учун чиким Счёт фактура_2008_iil_APREL_ishchi_zhadval_formula2-СВОД" xfId="3214"/>
    <cellStyle name="_2006 йил хосили учун чиким Счёт фактура_2008_iil_APREL_ishchi_zhadval_formula2-СВОД" xfId="3215"/>
    <cellStyle name="_2006 йил хосили учун чиким Счёт фактура_Апрел кр такс иш хаки тулик 5.04.08 МБ га" xfId="3216"/>
    <cellStyle name="_2006 йил хосили учун чиким Счёт фактура_Апрел кр такс иш хаки тулик 5.04.08 МБ га" xfId="3217"/>
    <cellStyle name="_2006 йил хосили учун чиким Счёт фактура_Апрел кр такс иш хаки тулик 5.04.08 МБ га" xfId="3218"/>
    <cellStyle name="_2006 йил хосили учун чиким Счёт фактура_Апрел кр такс иш хаки тулик 5.04.08 МБ га" xfId="3219"/>
    <cellStyle name="_2006 йил хосили учун чиким Счёт фактура_ЛИЗИНГ МОНИТОРИНГИ-1.11.08й русумлар буйича" xfId="3220"/>
    <cellStyle name="_2006 йил хосили учун чиким Счёт фактура_ЛИЗИНГ МОНИТОРИНГИ-1.11.08й русумлар буйича" xfId="3221"/>
    <cellStyle name="_2006 йил хосили учун чиким Счёт фактура_ЛИЗИНГ МОНИТОРИНГИ-1.11.08й русумлар буйича" xfId="3222"/>
    <cellStyle name="_2006 йил хосили учун чиким Счёт фактура_ЛИЗИНГ МОНИТОРИНГИ-1.11.08й русумлар буйича" xfId="3223"/>
    <cellStyle name="_2006 йил хосили учун чиким Счёт фактура_УХКМ ва БИО форма 01. 02. 09" xfId="3224"/>
    <cellStyle name="_2006 йил хосили учун чиким Счёт фактура_УХКМ ва БИО форма 01. 02. 09" xfId="3225"/>
    <cellStyle name="_2006 йил хосили учун чиким Счёт фактура_УХКМ ва БИО форма 01. 02. 09" xfId="3226"/>
    <cellStyle name="_2006 йил хосили учун чиким Счёт фактура_УХКМ ва БИО форма 01. 02. 09" xfId="3227"/>
    <cellStyle name="_2007 йил январ чиким котди" xfId="3228"/>
    <cellStyle name="_2007 йил январ чиким котди" xfId="3229"/>
    <cellStyle name="_2007 йил январ чиким котди" xfId="3230"/>
    <cellStyle name="_2007 йил январ чиким котди" xfId="3231"/>
    <cellStyle name="_2007 йил январ чиким котди 2" xfId="3232"/>
    <cellStyle name="_2007 йил январ чиким котди 2" xfId="3233"/>
    <cellStyle name="_2007 йил январ чиким котди 2" xfId="3234"/>
    <cellStyle name="_2007 йил январ чиким котди 2" xfId="3235"/>
    <cellStyle name="_2007 йил январ чиким котди 3" xfId="3236"/>
    <cellStyle name="_2007 йил январ чиким котди 3" xfId="3237"/>
    <cellStyle name="_2007 йил январ чиким котди 3" xfId="3238"/>
    <cellStyle name="_2007 йил январ чиким котди 3" xfId="3239"/>
    <cellStyle name="_2007 йил январ чиким котди_УХКМ ва БИО форма 01. 02. 09" xfId="3240"/>
    <cellStyle name="_2007 йил январ чиким котди_УХКМ ва БИО форма 01. 02. 09" xfId="3241"/>
    <cellStyle name="_2007 йил январ чиким котди_УХКМ ва БИО форма 01. 02. 09" xfId="3242"/>
    <cellStyle name="_2007 йил январ чиким котди_УХКМ ва БИО форма 01. 02. 09" xfId="3243"/>
    <cellStyle name="_2008 ОКТЯБР ишчи жадвал формула" xfId="3244"/>
    <cellStyle name="_2008 ОКТЯБР ишчи жадвал формула" xfId="3245"/>
    <cellStyle name="_2008 ОКТЯБР ишчи жадвал формула" xfId="3246"/>
    <cellStyle name="_2008 ОКТЯБР ишчи жадвал формула" xfId="3247"/>
    <cellStyle name="_2008 ОКТЯБР ишчи жадвал формула_2008 йил 1-декабр-сводлар-узгарди" xfId="3248"/>
    <cellStyle name="_2008 ОКТЯБР ишчи жадвал формула_2008 йил 1-декабр-сводлар-узгарди" xfId="3249"/>
    <cellStyle name="_2008 ОКТЯБР ишчи жадвал формула_2008 йил 1-декабр-сводлар-узгарди" xfId="3250"/>
    <cellStyle name="_2008 ОКТЯБР ишчи жадвал формула_2008 йил 1-декабр-сводлар-узгарди" xfId="3251"/>
    <cellStyle name="_2008 ОКТЯБР ишчи жадвал формула_2008 йил 1-ноябр-баланс билан" xfId="3252"/>
    <cellStyle name="_2008 ОКТЯБР ишчи жадвал формула_2008 йил 1-ноябр-баланс билан" xfId="3253"/>
    <cellStyle name="_2008 ОКТЯБР ишчи жадвал формула_2008 йил 1-ноябр-баланс билан" xfId="3254"/>
    <cellStyle name="_2008 ОКТЯБР ишчи жадвал формула_2008 йил 1-ноябр-баланс билан" xfId="3255"/>
    <cellStyle name="_2008 ФЕВРАЛ ишчи жадвал формула СВОД" xfId="3256"/>
    <cellStyle name="_2008 ФЕВРАЛ ишчи жадвал формула СВОД" xfId="3257"/>
    <cellStyle name="_2008 ФЕВРАЛ ишчи жадвал формула СВОД" xfId="3258"/>
    <cellStyle name="_2008 ФЕВРАЛ ишчи жадвал формула СВОД" xfId="3259"/>
    <cellStyle name="_2008_iil_APREL_ishchi_zhadval_formula2-СВОД" xfId="3260"/>
    <cellStyle name="_2008_iil_APREL_ishchi_zhadval_formula2-СВОД" xfId="3261"/>
    <cellStyle name="_2008_iil_APREL_ishchi_zhadval_formula2-СВОД" xfId="3262"/>
    <cellStyle name="_2008_iil_APREL_ishchi_zhadval_formula2-СВОД" xfId="3263"/>
    <cellStyle name="_2010 йил 1-ярим йиллик лойихалар" xfId="3264"/>
    <cellStyle name="_2010 йил 1-ярим йиллик лойихалар" xfId="3265"/>
    <cellStyle name="_232 ижроси" xfId="3266"/>
    <cellStyle name="_232 ижроси" xfId="3267"/>
    <cellStyle name="_232 ижроси_Салохият 47та 24.07.2012" xfId="3268"/>
    <cellStyle name="_232 ижроси_Салохият 47та 24.07.2012" xfId="3269"/>
    <cellStyle name="_232 ижроси_Саноат Салохият 02.10.2012й ҳолатига" xfId="3270"/>
    <cellStyle name="_232 ижроси_Саноат Салохият 02.10.2012й ҳолатига" xfId="3271"/>
    <cellStyle name="_232 ижроси_Саноат Салохият 03.10.2012й ҳолатига" xfId="3272"/>
    <cellStyle name="_232 ижроси_Саноат Салохият 03.10.2012й ҳолатига" xfId="3273"/>
    <cellStyle name="_232 ижроси_Саноат Салохият 47 та 06.10.2012й ҳолатига" xfId="3274"/>
    <cellStyle name="_232 ижроси_Саноат Салохият 47 та 06.10.2012й ҳолатига" xfId="3275"/>
    <cellStyle name="_232 ижроси_Саноат Салохият 47а та 06.10.2012й ҳолатига" xfId="3276"/>
    <cellStyle name="_232 ижроси_Саноат Салохият 47а та 06.10.2012й ҳолатига" xfId="3277"/>
    <cellStyle name="_232 ижроси_СИРДАРЁ СС 05.07.2012й ҳолатига" xfId="3278"/>
    <cellStyle name="_232 ижроси_СИРДАРЁ СС 05.07.2012й ҳолатига" xfId="3279"/>
    <cellStyle name="_3 Сводка 16,04,07" xfId="3280"/>
    <cellStyle name="_3 Сводка 16,04,07" xfId="3281"/>
    <cellStyle name="_3 Сводка 16,04,07" xfId="3282"/>
    <cellStyle name="_3 Сводка 16,04,07" xfId="3283"/>
    <cellStyle name="_3 Сводка 16,04,07 2" xfId="3284"/>
    <cellStyle name="_3 Сводка 16,04,07 2" xfId="3285"/>
    <cellStyle name="_3 Сводка 16,04,07 2" xfId="3286"/>
    <cellStyle name="_3 Сводка 16,04,07 2" xfId="3287"/>
    <cellStyle name="_3 Сводка 16,04,07 3" xfId="3288"/>
    <cellStyle name="_3 Сводка 16,04,07 3" xfId="3289"/>
    <cellStyle name="_3 Сводка 16,04,07 3" xfId="3290"/>
    <cellStyle name="_3 Сводка 16,04,07 3" xfId="3291"/>
    <cellStyle name="_3 Сводка 16,04,07_2008 ОКТЯБР ишчи жадвал формула" xfId="3292"/>
    <cellStyle name="_3 Сводка 16,04,07_2008 ОКТЯБР ишчи жадвал формула" xfId="3293"/>
    <cellStyle name="_3 Сводка 16,04,07_2008 ОКТЯБР ишчи жадвал формула" xfId="3294"/>
    <cellStyle name="_3 Сводка 16,04,07_2008 ОКТЯБР ишчи жадвал формула" xfId="3295"/>
    <cellStyle name="_3 Сводка 16,04,07_2008 ОКТЯБР ишчи жадвал формула_2008 йил 1-декабр-сводлар-узгарди" xfId="3296"/>
    <cellStyle name="_3 Сводка 16,04,07_2008 ОКТЯБР ишчи жадвал формула_2008 йил 1-декабр-сводлар-узгарди" xfId="3297"/>
    <cellStyle name="_3 Сводка 16,04,07_2008 ОКТЯБР ишчи жадвал формула_2008 йил 1-декабр-сводлар-узгарди" xfId="3298"/>
    <cellStyle name="_3 Сводка 16,04,07_2008 ОКТЯБР ишчи жадвал формула_2008 йил 1-декабр-сводлар-узгарди" xfId="3299"/>
    <cellStyle name="_3 Сводка 16,04,07_2008 ОКТЯБР ишчи жадвал формула_2008 йил 1-ноябр-баланс билан" xfId="3300"/>
    <cellStyle name="_3 Сводка 16,04,07_2008 ОКТЯБР ишчи жадвал формула_2008 йил 1-ноябр-баланс билан" xfId="3301"/>
    <cellStyle name="_3 Сводка 16,04,07_2008 ОКТЯБР ишчи жадвал формула_2008 йил 1-ноябр-баланс билан" xfId="3302"/>
    <cellStyle name="_3 Сводка 16,04,07_2008 ОКТЯБР ишчи жадвал формула_2008 йил 1-ноябр-баланс билан" xfId="3303"/>
    <cellStyle name="_3 Сводка 16,04,07_2008_iil_APREL_ishchi_zhadval_formula2-СВОД" xfId="3304"/>
    <cellStyle name="_3 Сводка 16,04,07_2008_iil_APREL_ishchi_zhadval_formula2-СВОД" xfId="3305"/>
    <cellStyle name="_3 Сводка 16,04,07_2008_iil_APREL_ishchi_zhadval_formula2-СВОД" xfId="3306"/>
    <cellStyle name="_3 Сводка 16,04,07_2008_iil_APREL_ishchi_zhadval_formula2-СВОД" xfId="3307"/>
    <cellStyle name="_3 Сводка 16,04,07_Апрел кр такс иш хаки тулик 5.04.08 МБ га" xfId="3308"/>
    <cellStyle name="_3 Сводка 16,04,07_Апрел кр такс иш хаки тулик 5.04.08 МБ га" xfId="3309"/>
    <cellStyle name="_3 Сводка 16,04,07_Апрел кр такс иш хаки тулик 5.04.08 МБ га" xfId="3310"/>
    <cellStyle name="_3 Сводка 16,04,07_Апрел кр такс иш хаки тулик 5.04.08 МБ га" xfId="3311"/>
    <cellStyle name="_3 Сводка 16,04,07_ЛИЗИНГ МОНИТОРИНГИ-1.11.08й русумлар буйича" xfId="3312"/>
    <cellStyle name="_3 Сводка 16,04,07_ЛИЗИНГ МОНИТОРИНГИ-1.11.08й русумлар буйича" xfId="3313"/>
    <cellStyle name="_3 Сводка 16,04,07_ЛИЗИНГ МОНИТОРИНГИ-1.11.08й русумлар буйича" xfId="3314"/>
    <cellStyle name="_3 Сводка 16,04,07_ЛИЗИНГ МОНИТОРИНГИ-1.11.08й русумлар буйича" xfId="3315"/>
    <cellStyle name="_3 Сводка 16,04,07_УХКМ ва БИО форма 01. 02. 09" xfId="3316"/>
    <cellStyle name="_3 Сводка 16,04,07_УХКМ ва БИО форма 01. 02. 09" xfId="3317"/>
    <cellStyle name="_3 Сводка 16,04,07_УХКМ ва БИО форма 01. 02. 09" xfId="3318"/>
    <cellStyle name="_3 Сводка 16,04,07_УХКМ ва БИО форма 01. 02. 09" xfId="3319"/>
    <cellStyle name="_MONITOR 08-05-07 Вилоятга" xfId="3320"/>
    <cellStyle name="_MONITOR 08-05-07 Вилоятга" xfId="3321"/>
    <cellStyle name="_MONITOR 08-05-07 Вилоятга" xfId="3322"/>
    <cellStyle name="_MONITOR 08-05-07 Вилоятга" xfId="3323"/>
    <cellStyle name="_MONITOR 08-05-07 Вилоятга 2" xfId="3324"/>
    <cellStyle name="_MONITOR 08-05-07 Вилоятга 2" xfId="3325"/>
    <cellStyle name="_MONITOR 08-05-07 Вилоятга 2" xfId="3326"/>
    <cellStyle name="_MONITOR 08-05-07 Вилоятга 2" xfId="3327"/>
    <cellStyle name="_MONITOR 08-05-07 Вилоятга 3" xfId="3328"/>
    <cellStyle name="_MONITOR 08-05-07 Вилоятга 3" xfId="3329"/>
    <cellStyle name="_MONITOR 08-05-07 Вилоятга 3" xfId="3330"/>
    <cellStyle name="_MONITOR 08-05-07 Вилоятга 3" xfId="3331"/>
    <cellStyle name="_MONITOR 08-05-07 Вилоятга_УХКМ ва БИО форма 01. 02. 09" xfId="3332"/>
    <cellStyle name="_MONITOR 08-05-07 Вилоятга_УХКМ ва БИО форма 01. 02. 09" xfId="3333"/>
    <cellStyle name="_MONITOR 08-05-07 Вилоятга_УХКМ ва БИО форма 01. 02. 09" xfId="3334"/>
    <cellStyle name="_MONITOR 08-05-07 Вилоятга_УХКМ ва БИО форма 01. 02. 09" xfId="3335"/>
    <cellStyle name="_MONITOR 15-05-07 ВилоятгаААА" xfId="3336"/>
    <cellStyle name="_MONITOR 15-05-07 ВилоятгаААА" xfId="3337"/>
    <cellStyle name="_MONITOR 15-05-07 ВилоятгаААА" xfId="3338"/>
    <cellStyle name="_MONITOR 15-05-07 ВилоятгаААА" xfId="3339"/>
    <cellStyle name="_MONITOR 15-05-07 ВилоятгаААА 2" xfId="3340"/>
    <cellStyle name="_MONITOR 15-05-07 ВилоятгаААА 2" xfId="3341"/>
    <cellStyle name="_MONITOR 15-05-07 ВилоятгаААА 2" xfId="3342"/>
    <cellStyle name="_MONITOR 15-05-07 ВилоятгаААА 2" xfId="3343"/>
    <cellStyle name="_MONITOR 15-05-07 ВилоятгаААА 3" xfId="3344"/>
    <cellStyle name="_MONITOR 15-05-07 ВилоятгаААА 3" xfId="3345"/>
    <cellStyle name="_MONITOR 15-05-07 ВилоятгаААА 3" xfId="3346"/>
    <cellStyle name="_MONITOR 15-05-07 ВилоятгаААА 3" xfId="3347"/>
    <cellStyle name="_MONITOR 15-05-07 ВилоятгаААА_УХКМ ва БИО форма 01. 02. 09" xfId="3348"/>
    <cellStyle name="_MONITOR 15-05-07 ВилоятгаААА_УХКМ ва БИО форма 01. 02. 09" xfId="3349"/>
    <cellStyle name="_MONITOR 15-05-07 ВилоятгаААА_УХКМ ва БИО форма 01. 02. 09" xfId="3350"/>
    <cellStyle name="_MONITOR 15-05-07 ВилоятгаААА_УХКМ ва БИО форма 01. 02. 09" xfId="3351"/>
    <cellStyle name="_MONITOR 17-05-07 Вилоятгааа" xfId="3352"/>
    <cellStyle name="_MONITOR 17-05-07 Вилоятгааа" xfId="3353"/>
    <cellStyle name="_MONITOR 17-05-07 Вилоятгааа" xfId="3354"/>
    <cellStyle name="_MONITOR 17-05-07 Вилоятгааа" xfId="3355"/>
    <cellStyle name="_MONITOR 17-05-07 Вилоятгааа 2" xfId="3356"/>
    <cellStyle name="_MONITOR 17-05-07 Вилоятгааа 2" xfId="3357"/>
    <cellStyle name="_MONITOR 17-05-07 Вилоятгааа 2" xfId="3358"/>
    <cellStyle name="_MONITOR 17-05-07 Вилоятгааа 2" xfId="3359"/>
    <cellStyle name="_MONITOR 17-05-07 Вилоятгааа 3" xfId="3360"/>
    <cellStyle name="_MONITOR 17-05-07 Вилоятгааа 3" xfId="3361"/>
    <cellStyle name="_MONITOR 17-05-07 Вилоятгааа 3" xfId="3362"/>
    <cellStyle name="_MONITOR 17-05-07 Вилоятгааа 3" xfId="3363"/>
    <cellStyle name="_MONITOR 24-02-07 JJJ Охиргиси" xfId="3364"/>
    <cellStyle name="_MONITOR 24-02-07 JJJ Охиргиси" xfId="3365"/>
    <cellStyle name="_MONITOR 24-02-07 JJJ Охиргиси" xfId="3366"/>
    <cellStyle name="_MONITOR 24-02-07 JJJ Охиргиси" xfId="3367"/>
    <cellStyle name="_MONITOR 24-02-07 JJJ Охиргиси 2" xfId="3368"/>
    <cellStyle name="_MONITOR 24-02-07 JJJ Охиргиси 2" xfId="3369"/>
    <cellStyle name="_MONITOR 24-02-07 JJJ Охиргиси 2" xfId="3370"/>
    <cellStyle name="_MONITOR 24-02-07 JJJ Охиргиси 2" xfId="3371"/>
    <cellStyle name="_MONITOR 24-02-07 JJJ Охиргиси 3" xfId="3372"/>
    <cellStyle name="_MONITOR 24-02-07 JJJ Охиргиси 3" xfId="3373"/>
    <cellStyle name="_MONITOR 24-02-07 JJJ Охиргиси 3" xfId="3374"/>
    <cellStyle name="_MONITOR 24-02-07 JJJ Охиргиси 3" xfId="3375"/>
    <cellStyle name="_MONITOR 24-02-07 JJJ Охиргиси_УХКМ ва БИО форма 01. 02. 09" xfId="3376"/>
    <cellStyle name="_MONITOR 24-02-07 JJJ Охиргиси_УХКМ ва БИО форма 01. 02. 09" xfId="3377"/>
    <cellStyle name="_MONITOR 24-02-07 JJJ Охиргиси_УХКМ ва БИО форма 01. 02. 09" xfId="3378"/>
    <cellStyle name="_MONITOR 24-02-07 JJJ Охиргиси_УХКМ ва БИО форма 01. 02. 09" xfId="3379"/>
    <cellStyle name="_SVOD SHINA" xfId="3380"/>
    <cellStyle name="_SVOD SHINA" xfId="3381"/>
    <cellStyle name="_SVOD SHINA" xfId="3382"/>
    <cellStyle name="_SVOD SHINA" xfId="3383"/>
    <cellStyle name="_SVOD SHINA_УХКМ ва БИО форма 01. 02. 09" xfId="3384"/>
    <cellStyle name="_SVOD SHINA_УХКМ ва БИО форма 01. 02. 09" xfId="3385"/>
    <cellStyle name="_SVOD SHINA_УХКМ ва БИО форма 01. 02. 09" xfId="3386"/>
    <cellStyle name="_SVOD SHINA_УХКМ ва БИО форма 01. 02. 09" xfId="3387"/>
    <cellStyle name="_АКЧАБОЙ АКАГА 1-озиклантириш фонд" xfId="3388"/>
    <cellStyle name="_АКЧАБОЙ АКАГА 1-озиклантириш фонд" xfId="3389"/>
    <cellStyle name="_АКЧАБОЙ АКАГА 1-озиклантириш фонд" xfId="3390"/>
    <cellStyle name="_АКЧАБОЙ АКАГА 1-озиклантириш фонд" xfId="3391"/>
    <cellStyle name="_АКЧАБОЙ АКАГА 1-озиклантириш фонд 2" xfId="3392"/>
    <cellStyle name="_АКЧАБОЙ АКАГА 1-озиклантириш фонд 2" xfId="3393"/>
    <cellStyle name="_АКЧАБОЙ АКАГА 1-озиклантириш фонд 2" xfId="3394"/>
    <cellStyle name="_АКЧАБОЙ АКАГА 1-озиклантириш фонд 2" xfId="3395"/>
    <cellStyle name="_АКЧАБОЙ АКАГА 1-озиклантириш фонд 3" xfId="3396"/>
    <cellStyle name="_АКЧАБОЙ АКАГА 1-озиклантириш фонд 3" xfId="3397"/>
    <cellStyle name="_АКЧАБОЙ АКАГА 1-озиклантириш фонд 3" xfId="3398"/>
    <cellStyle name="_АКЧАБОЙ АКАГА 1-озиклантириш фонд 3" xfId="3399"/>
    <cellStyle name="_Апрел кр такс иш хаки тулик 5.04.08 МБ га" xfId="3400"/>
    <cellStyle name="_Апрел кр такс иш хаки тулик 5.04.08 МБ га" xfId="3401"/>
    <cellStyle name="_Апрел кр такс иш хаки тулик 5.04.08 МБ га" xfId="3402"/>
    <cellStyle name="_Апрел кр такс иш хаки тулик 5.04.08 МБ га" xfId="3403"/>
    <cellStyle name="_Апрел кредитдан тушди 19-04" xfId="3404"/>
    <cellStyle name="_Апрел кредитдан тушди 19-04" xfId="3405"/>
    <cellStyle name="_Апрел кредитдан тушди 19-04" xfId="3406"/>
    <cellStyle name="_Апрел кредитдан тушди 19-04" xfId="3407"/>
    <cellStyle name="_Апрел кредитдан тушди 19-04_2008 йил 1-декабр-сводлар-узгарди" xfId="3408"/>
    <cellStyle name="_Апрел кредитдан тушди 19-04_2008 йил 1-декабр-сводлар-узгарди" xfId="3409"/>
    <cellStyle name="_Апрел кредитдан тушди 19-04_2008 йил 1-ноябр-баланс билан" xfId="3410"/>
    <cellStyle name="_Апрел кредитдан тушди 19-04_2008 йил 1-ноябр-баланс билан" xfId="3411"/>
    <cellStyle name="_Апрел кредитдан тушди 19-04_2008 ОКТЯБР ишчи жадвал формула" xfId="3412"/>
    <cellStyle name="_Апрел кредитдан тушди 19-04_2008 ОКТЯБР ишчи жадвал формула" xfId="3413"/>
    <cellStyle name="_Апрел кредитдан тушди 19-04_2008 ОКТЯБР ишчи жадвал формула" xfId="3414"/>
    <cellStyle name="_Апрел кредитдан тушди 19-04_2008 ОКТЯБР ишчи жадвал формула" xfId="3415"/>
    <cellStyle name="_Апрел кредитдан тушди 19-04_2008 ОКТЯБР ишчи жадвал формула_2008 йил 1-декабр-сводлар-узгарди" xfId="3416"/>
    <cellStyle name="_Апрел кредитдан тушди 19-04_2008 ОКТЯБР ишчи жадвал формула_2008 йил 1-декабр-сводлар-узгарди" xfId="3417"/>
    <cellStyle name="_Апрел кредитдан тушди 19-04_2008 ОКТЯБР ишчи жадвал формула_2008 йил 1-декабр-сводлар-узгарди" xfId="3418"/>
    <cellStyle name="_Апрел кредитдан тушди 19-04_2008 ОКТЯБР ишчи жадвал формула_2008 йил 1-декабр-сводлар-узгарди" xfId="3419"/>
    <cellStyle name="_Апрел кредитдан тушди 19-04_2008 ОКТЯБР ишчи жадвал формула_2008 йил 1-ноябр-баланс билан" xfId="3420"/>
    <cellStyle name="_Апрел кредитдан тушди 19-04_2008 ОКТЯБР ишчи жадвал формула_2008 йил 1-ноябр-баланс билан" xfId="3421"/>
    <cellStyle name="_Апрел кредитдан тушди 19-04_2008 ОКТЯБР ишчи жадвал формула_2008 йил 1-ноябр-баланс билан" xfId="3422"/>
    <cellStyle name="_Апрел кредитдан тушди 19-04_2008 ОКТЯБР ишчи жадвал формула_2008 йил 1-ноябр-баланс билан" xfId="3423"/>
    <cellStyle name="_Апрел кредитдан тушди 19-04_2008_iil_APREL_ishchi_zhadval_formula2-СВОД" xfId="3424"/>
    <cellStyle name="_Апрел кредитдан тушди 19-04_2008_iil_APREL_ishchi_zhadval_formula2-СВОД" xfId="3425"/>
    <cellStyle name="_Апрел кредитдан тушди 19-04_2008_iil_APREL_ishchi_zhadval_formula2-СВОД" xfId="3426"/>
    <cellStyle name="_Апрел кредитдан тушди 19-04_2008_iil_APREL_ishchi_zhadval_formula2-СВОД" xfId="3427"/>
    <cellStyle name="_Апрел кредитдан тушди 19-04_Апрел кр такс иш хаки тулик 5.04.08 МБ га" xfId="3428"/>
    <cellStyle name="_Апрел кредитдан тушди 19-04_Апрел кр такс иш хаки тулик 5.04.08 МБ га" xfId="3429"/>
    <cellStyle name="_Апрел-режа-ксхб" xfId="3430"/>
    <cellStyle name="_Апрел-режа-ксхб" xfId="3431"/>
    <cellStyle name="_Апрел-режа-ксхб" xfId="3432"/>
    <cellStyle name="_Апрел-режа-ксхб" xfId="3433"/>
    <cellStyle name="_Апрел-режа-ксхб_2008 йил 1-декабр-сводлар-узгарди" xfId="3434"/>
    <cellStyle name="_Апрел-режа-ксхб_2008 йил 1-декабр-сводлар-узгарди" xfId="3435"/>
    <cellStyle name="_Апрел-режа-ксхб_2008 йил 1-ноябр-баланс билан" xfId="3436"/>
    <cellStyle name="_Апрел-режа-ксхб_2008 йил 1-ноябр-баланс билан" xfId="3437"/>
    <cellStyle name="_Апрел-режа-ксхб_2008 ОКТЯБР ишчи жадвал формула" xfId="3438"/>
    <cellStyle name="_Апрел-режа-ксхб_2008 ОКТЯБР ишчи жадвал формула" xfId="3439"/>
    <cellStyle name="_Апрел-режа-ксхб_2008 ОКТЯБР ишчи жадвал формула" xfId="3440"/>
    <cellStyle name="_Апрел-режа-ксхб_2008 ОКТЯБР ишчи жадвал формула" xfId="3441"/>
    <cellStyle name="_Апрел-режа-ксхб_2008 ОКТЯБР ишчи жадвал формула_2008 йил 1-декабр-сводлар-узгарди" xfId="3442"/>
    <cellStyle name="_Апрел-режа-ксхб_2008 ОКТЯБР ишчи жадвал формула_2008 йил 1-декабр-сводлар-узгарди" xfId="3443"/>
    <cellStyle name="_Апрел-режа-ксхб_2008 ОКТЯБР ишчи жадвал формула_2008 йил 1-декабр-сводлар-узгарди" xfId="3444"/>
    <cellStyle name="_Апрел-режа-ксхб_2008 ОКТЯБР ишчи жадвал формула_2008 йил 1-декабр-сводлар-узгарди" xfId="3445"/>
    <cellStyle name="_Апрел-режа-ксхб_2008 ОКТЯБР ишчи жадвал формула_2008 йил 1-ноябр-баланс билан" xfId="3446"/>
    <cellStyle name="_Апрел-режа-ксхб_2008 ОКТЯБР ишчи жадвал формула_2008 йил 1-ноябр-баланс билан" xfId="3447"/>
    <cellStyle name="_Апрел-режа-ксхб_2008 ОКТЯБР ишчи жадвал формула_2008 йил 1-ноябр-баланс билан" xfId="3448"/>
    <cellStyle name="_Апрел-режа-ксхб_2008 ОКТЯБР ишчи жадвал формула_2008 йил 1-ноябр-баланс билан" xfId="3449"/>
    <cellStyle name="_Апрел-режа-ксхб_2008_iil_APREL_ishchi_zhadval_formula2-СВОД" xfId="3450"/>
    <cellStyle name="_Апрел-режа-ксхб_2008_iil_APREL_ishchi_zhadval_formula2-СВОД" xfId="3451"/>
    <cellStyle name="_Апрел-режа-ксхб_2008_iil_APREL_ishchi_zhadval_formula2-СВОД" xfId="3452"/>
    <cellStyle name="_Апрел-режа-ксхб_2008_iil_APREL_ishchi_zhadval_formula2-СВОД" xfId="3453"/>
    <cellStyle name="_Апрел-режа-ксхб_Апрел кр такс иш хаки тулик 5.04.08 МБ га" xfId="3454"/>
    <cellStyle name="_Апрел-режа-ксхб_Апрел кр такс иш хаки тулик 5.04.08 МБ га" xfId="3455"/>
    <cellStyle name="_АХБОРОТ ТАХЛИЛГАга жадваллар (по туманам)" xfId="3456"/>
    <cellStyle name="_АХБОРОТ ТАХЛИЛГАга жадваллар (по туманам)" xfId="3457"/>
    <cellStyle name="_Бажарилиши (СВОД)" xfId="3458"/>
    <cellStyle name="_Бажарилиши (СВОД)" xfId="3459"/>
    <cellStyle name="_банк вилоят" xfId="3460"/>
    <cellStyle name="_банк вилоят" xfId="3461"/>
    <cellStyle name="_банк вилоят_10" xfId="3462"/>
    <cellStyle name="_банк вилоят_10" xfId="3463"/>
    <cellStyle name="_банк вилоят_Кашкадарё 22.11.10." xfId="3464"/>
    <cellStyle name="_банк вилоят_Кашкадарё 22.11.10." xfId="3465"/>
    <cellStyle name="_банк вилоят_Кашкадарё охиргиси 26.08.10." xfId="3466"/>
    <cellStyle name="_банк вилоят_Кашкадарё охиргиси 26.08.10." xfId="3467"/>
    <cellStyle name="_банк вилоят_Кашкадарё ЯНГИ" xfId="3468"/>
    <cellStyle name="_банк вилоят_Кашкадарё ЯНГИ" xfId="3469"/>
    <cellStyle name="_банк вилоят_Кашкадарья экспорт  2011-2015 гг Отабекка" xfId="3470"/>
    <cellStyle name="_банк вилоят_Кашкадарья экспорт  2011-2015 гг Отабекка" xfId="3471"/>
    <cellStyle name="_банк вилоят_Кашкадарья экспорт  2011-2015 гг Отабекка 2" xfId="3472"/>
    <cellStyle name="_банк вилоят_Кашкадарья экспорт  2011-2015 гг Отабекка 2" xfId="3473"/>
    <cellStyle name="_банк вилоят_Кашкадарья экспорт  2011-2015 гг Отабекка 3" xfId="3474"/>
    <cellStyle name="_банк вилоят_Кашкадарья экспорт  2011-2015 гг Отабекка 3" xfId="3475"/>
    <cellStyle name="_банк вилоят_Кашкадарья экспорт  2011-2015 гг Отабекка 4" xfId="3476"/>
    <cellStyle name="_банк вилоят_Кашкадарья экспорт  2011-2015 гг Отабекка 4" xfId="3477"/>
    <cellStyle name="_банк вилоят_Кашкадарья экспорт  2011-2015 гг Отабекка_7 илова" xfId="3478"/>
    <cellStyle name="_банк вилоят_Кашкадарья экспорт  2011-2015 гг Отабекка_7 илова" xfId="3479"/>
    <cellStyle name="_банк вилоят_Кашкадарья экспорт  2011-2015 гг Отабекка_7 илова 2" xfId="3480"/>
    <cellStyle name="_банк вилоят_Кашкадарья экспорт  2011-2015 гг Отабекка_7 илова 2" xfId="3481"/>
    <cellStyle name="_банк вилоят_Кашкадарья экспорт  2011-2015 гг Отабекка_7 илова 3" xfId="3482"/>
    <cellStyle name="_банк вилоят_Кашкадарья экспорт  2011-2015 гг Отабекка_7 илова 3" xfId="3483"/>
    <cellStyle name="_банк вилоят_Кашкадарья экспорт  2011-2015 гг Отабекка_7 илова 4" xfId="3484"/>
    <cellStyle name="_банк вилоят_Кашкадарья экспорт  2011-2015 гг Отабекка_7 илова 4" xfId="3485"/>
    <cellStyle name="_банк вилоят_Кашкадарья экспорт  2011-2015 гг Отабекка_Хоразм 2013-2015 саноат дастури 12.11.2012. 19-4812" xfId="3486"/>
    <cellStyle name="_банк вилоят_Кашкадарья экспорт  2011-2015 гг Отабекка_Хоразм 2013-2015 саноат дастури 12.11.2012. 19-4812" xfId="3487"/>
    <cellStyle name="_банк вилоят_Макет 11-15 Кашкадарё охиргиси 27.08.10." xfId="3488"/>
    <cellStyle name="_банк вилоят_Макет 11-15 Кашкадарё охиргиси 27.08.10." xfId="3489"/>
    <cellStyle name="_банк вилоят_Макет 11-15 Охиргиси" xfId="3490"/>
    <cellStyle name="_банк вилоят_Макет 11-15 Охиргиси" xfId="3491"/>
    <cellStyle name="_банк вилоят_Макет 16.08 Кашкадарё..янги" xfId="3492"/>
    <cellStyle name="_банк вилоят_Макет 16.08 Кашкадарё..янги" xfId="3493"/>
    <cellStyle name="_банк вилоят_Макет 7.08" xfId="3494"/>
    <cellStyle name="_банк вилоят_Макет 7.08" xfId="3495"/>
    <cellStyle name="_банк вилоят_Макет 7.08 2" xfId="3496"/>
    <cellStyle name="_банк вилоят_Макет 7.08 2" xfId="3497"/>
    <cellStyle name="_банк вилоят_Макет 7.08 3" xfId="3498"/>
    <cellStyle name="_банк вилоят_Макет 7.08 3" xfId="3499"/>
    <cellStyle name="_банк вилоят_Макет 7.08 4" xfId="3500"/>
    <cellStyle name="_банк вилоят_Макет 7.08 4" xfId="3501"/>
    <cellStyle name="_банк вилоят_Макет 7.08_7 илова" xfId="3502"/>
    <cellStyle name="_банк вилоят_Макет 7.08_7 илова" xfId="3503"/>
    <cellStyle name="_банк вилоят_Макет 7.08_7 илова 2" xfId="3504"/>
    <cellStyle name="_банк вилоят_Макет 7.08_7 илова 2" xfId="3505"/>
    <cellStyle name="_банк вилоят_Макет 7.08_7 илова 3" xfId="3506"/>
    <cellStyle name="_банк вилоят_Макет 7.08_7 илова 3" xfId="3507"/>
    <cellStyle name="_банк вилоят_Макет 7.08_7 илова 4" xfId="3508"/>
    <cellStyle name="_банк вилоят_Макет 7.08_7 илова 4" xfId="3509"/>
    <cellStyle name="_банк вилоят_Макет 7.08_Хоразм 2013-2015 саноат дастури 12.11.2012. 19-4812" xfId="3510"/>
    <cellStyle name="_банк вилоят_Макет 7.08_Хоразм 2013-2015 саноат дастури 12.11.2012. 19-4812" xfId="3511"/>
    <cellStyle name="_банк вилоят_Наманган 2011-15  САНОАТ ДАСТУРИ" xfId="3512"/>
    <cellStyle name="_банк вилоят_Наманган 2011-15  САНОАТ ДАСТУРИ" xfId="3513"/>
    <cellStyle name="_банк вилоят_Наманган 2011-15  САНОАТ ДАСТУРИ 2" xfId="3514"/>
    <cellStyle name="_банк вилоят_Наманган 2011-15  САНОАТ ДАСТУРИ 2" xfId="3515"/>
    <cellStyle name="_банк вилоят_Наманган 2011-15  САНОАТ ДАСТУРИ 3" xfId="3516"/>
    <cellStyle name="_банк вилоят_Наманган 2011-15  САНОАТ ДАСТУРИ 3" xfId="3517"/>
    <cellStyle name="_банк вилоят_Наманган 2011-15  САНОАТ ДАСТУРИ 4" xfId="3518"/>
    <cellStyle name="_банк вилоят_Наманган 2011-15  САНОАТ ДАСТУРИ 4" xfId="3519"/>
    <cellStyle name="_банк вилоят_Наманган 2011-15  САНОАТ ДАСТУРИ_7 илова" xfId="3520"/>
    <cellStyle name="_банк вилоят_Наманган 2011-15  САНОАТ ДАСТУРИ_7 илова" xfId="3521"/>
    <cellStyle name="_банк вилоят_Наманган 2011-15  САНОАТ ДАСТУРИ_7 илова 2" xfId="3522"/>
    <cellStyle name="_банк вилоят_Наманган 2011-15  САНОАТ ДАСТУРИ_7 илова 2" xfId="3523"/>
    <cellStyle name="_банк вилоят_Наманган 2011-15  САНОАТ ДАСТУРИ_7 илова 3" xfId="3524"/>
    <cellStyle name="_банк вилоят_Наманган 2011-15  САНОАТ ДАСТУРИ_7 илова 3" xfId="3525"/>
    <cellStyle name="_банк вилоят_Наманган 2011-15  САНОАТ ДАСТУРИ_7 илова 4" xfId="3526"/>
    <cellStyle name="_банк вилоят_Наманган 2011-15  САНОАТ ДАСТУРИ_7 илова 4" xfId="3527"/>
    <cellStyle name="_банк вилоят_Наманган 2011-15  САНОАТ ДАСТУРИ_Хоразм 2013-2015 саноат дастури 12.11.2012. 19-4812" xfId="3528"/>
    <cellStyle name="_банк вилоят_Наманган 2011-15  САНОАТ ДАСТУРИ_Хоразм 2013-2015 саноат дастури 12.11.2012. 19-4812" xfId="3529"/>
    <cellStyle name="_Вахобга галла кредит буйича 30 май" xfId="3530"/>
    <cellStyle name="_Вахобга галла кредит буйича 30 май" xfId="3531"/>
    <cellStyle name="_Вахобга галла кредит буйича 30 май" xfId="3532"/>
    <cellStyle name="_Вахобга галла кредит буйича 30 май" xfId="3533"/>
    <cellStyle name="_Вахобга галла кредит буйича 30 май_2008 йил 1-декабр-сводлар-узгарди" xfId="3534"/>
    <cellStyle name="_Вахобга галла кредит буйича 30 май_2008 йил 1-декабр-сводлар-узгарди" xfId="3535"/>
    <cellStyle name="_Вахобга галла кредит буйича 30 май_2008 йил 1-ноябр-баланс билан" xfId="3536"/>
    <cellStyle name="_Вахобга галла кредит буйича 30 май_2008 йил 1-ноябр-баланс билан" xfId="3537"/>
    <cellStyle name="_Вахобга галла кредит буйича 30 май_2008 ОКТЯБР ишчи жадвал формула" xfId="3538"/>
    <cellStyle name="_Вахобга галла кредит буйича 30 май_2008 ОКТЯБР ишчи жадвал формула" xfId="3539"/>
    <cellStyle name="_Вахобга галла кредит буйича 30 май_2008 ОКТЯБР ишчи жадвал формула" xfId="3540"/>
    <cellStyle name="_Вахобга галла кредит буйича 30 май_2008 ОКТЯБР ишчи жадвал формула" xfId="3541"/>
    <cellStyle name="_Вахобга галла кредит буйича 30 май_2008 ОКТЯБР ишчи жадвал формула_2008 йил 1-декабр-сводлар-узгарди" xfId="3542"/>
    <cellStyle name="_Вахобга галла кредит буйича 30 май_2008 ОКТЯБР ишчи жадвал формула_2008 йил 1-декабр-сводлар-узгарди" xfId="3543"/>
    <cellStyle name="_Вахобга галла кредит буйича 30 май_2008 ОКТЯБР ишчи жадвал формула_2008 йил 1-декабр-сводлар-узгарди" xfId="3544"/>
    <cellStyle name="_Вахобга галла кредит буйича 30 май_2008 ОКТЯБР ишчи жадвал формула_2008 йил 1-декабр-сводлар-узгарди" xfId="3545"/>
    <cellStyle name="_Вахобга галла кредит буйича 30 май_2008 ОКТЯБР ишчи жадвал формула_2008 йил 1-ноябр-баланс билан" xfId="3546"/>
    <cellStyle name="_Вахобга галла кредит буйича 30 май_2008 ОКТЯБР ишчи жадвал формула_2008 йил 1-ноябр-баланс билан" xfId="3547"/>
    <cellStyle name="_Вахобга галла кредит буйича 30 май_2008 ОКТЯБР ишчи жадвал формула_2008 йил 1-ноябр-баланс билан" xfId="3548"/>
    <cellStyle name="_Вахобга галла кредит буйича 30 май_2008 ОКТЯБР ишчи жадвал формула_2008 йил 1-ноябр-баланс билан" xfId="3549"/>
    <cellStyle name="_Вахобга галла кредит буйича 30 май_2008_iil_APREL_ishchi_zhadval_formula2-СВОД" xfId="3550"/>
    <cellStyle name="_Вахобга галла кредит буйича 30 май_2008_iil_APREL_ishchi_zhadval_formula2-СВОД" xfId="3551"/>
    <cellStyle name="_Вахобга галла кредит буйича 30 май_2008_iil_APREL_ishchi_zhadval_formula2-СВОД" xfId="3552"/>
    <cellStyle name="_Вахобга галла кредит буйича 30 май_2008_iil_APREL_ishchi_zhadval_formula2-СВОД" xfId="3553"/>
    <cellStyle name="_Вахобга галла кредит буйича 30 май_Апрел кр такс иш хаки тулик 5.04.08 МБ га" xfId="3554"/>
    <cellStyle name="_Вахобга галла кредит буйича 30 май_Апрел кр такс иш хаки тулик 5.04.08 МБ га" xfId="3555"/>
    <cellStyle name="_Вилоят 2012-Дастури ИТОГ 2-вариант" xfId="3556"/>
    <cellStyle name="_Вилоят 2012-Дастури ИТОГ 2-вариант" xfId="3557"/>
    <cellStyle name="_Вилоят 2012-Дастури ИТОГ 2-вариант 2" xfId="3558"/>
    <cellStyle name="_Вилоят 2012-Дастури ИТОГ 2-вариант 2" xfId="3559"/>
    <cellStyle name="_Вилоят 2012-Дастури ИТОГ 2-вариант 3" xfId="3560"/>
    <cellStyle name="_Вилоят 2012-Дастури ИТОГ 2-вариант 3" xfId="3561"/>
    <cellStyle name="_Вилоят буйича 9-форма лизинг" xfId="3562"/>
    <cellStyle name="_Вилоят буйича 9-форма лизинг" xfId="3563"/>
    <cellStyle name="_Вилоят буйича 9-форма лизинг" xfId="3564"/>
    <cellStyle name="_Вилоят буйича 9-форма лизинг" xfId="3565"/>
    <cellStyle name="_Вилоят буйича март ойи 2.03.08 факт банкка талаб" xfId="3566"/>
    <cellStyle name="_Вилоят буйича март ойи 2.03.08 факт банкка талаб" xfId="3567"/>
    <cellStyle name="_Вилоят буйича март ойи 2.03.08 факт банкка талаб" xfId="3568"/>
    <cellStyle name="_Вилоят буйича март ойи 2.03.08 факт банкка талаб" xfId="3569"/>
    <cellStyle name="_Вилоят буйича март ойи 2.03.08 факт банкка талаб_Апрел кр такс иш хаки тулик 5.04.08 МБ га" xfId="3570"/>
    <cellStyle name="_Вилоят буйича март ойи 2.03.08 факт банкка талаб_Апрел кр такс иш хаки тулик 5.04.08 МБ га" xfId="3571"/>
    <cellStyle name="_Вилоят охирги мониторинг 18-04-07 кейинги" xfId="3572"/>
    <cellStyle name="_Вилоят охирги мониторинг 18-04-07 кейинги" xfId="3573"/>
    <cellStyle name="_Вилоят охирги мониторинг 18-04-07 кейинги" xfId="3574"/>
    <cellStyle name="_Вилоят охирги мониторинг 18-04-07 кейинги" xfId="3575"/>
    <cellStyle name="_Вилоят охирги мониторинг 18-04-07 кейинги 2" xfId="3576"/>
    <cellStyle name="_Вилоят охирги мониторинг 18-04-07 кейинги 2" xfId="3577"/>
    <cellStyle name="_Вилоят охирги мониторинг 18-04-07 кейинги 2" xfId="3578"/>
    <cellStyle name="_Вилоят охирги мониторинг 18-04-07 кейинги 2" xfId="3579"/>
    <cellStyle name="_Вилоят охирги мониторинг 18-04-07 кейинги 3" xfId="3580"/>
    <cellStyle name="_Вилоят охирги мониторинг 18-04-07 кейинги 3" xfId="3581"/>
    <cellStyle name="_Вилоят охирги мониторинг 18-04-07 кейинги 3" xfId="3582"/>
    <cellStyle name="_Вилоят охирги мониторинг 18-04-07 кейинги 3" xfId="3583"/>
    <cellStyle name="_Вилоят охирги мониторинг 18-04-07 кейинги_УХКМ ва БИО форма 01. 02. 09" xfId="3584"/>
    <cellStyle name="_Вилоят охирги мониторинг 18-04-07 кейинги_УХКМ ва БИО форма 01. 02. 09" xfId="3585"/>
    <cellStyle name="_Вилоят охирги мониторинг 18-04-07 кейинги_УХКМ ва БИО форма 01. 02. 09" xfId="3586"/>
    <cellStyle name="_Вилоят охирги мониторинг 18-04-07 кейинги_УХКМ ва БИО форма 01. 02. 09" xfId="3587"/>
    <cellStyle name="_Вилоят охирги мониторинг 20-04-07 кейинги" xfId="3588"/>
    <cellStyle name="_Вилоят охирги мониторинг 20-04-07 кейинги" xfId="3589"/>
    <cellStyle name="_Вилоят охирги мониторинг 20-04-07 кейинги" xfId="3590"/>
    <cellStyle name="_Вилоят охирги мониторинг 20-04-07 кейинги" xfId="3591"/>
    <cellStyle name="_Вилоят охирги мониторинг 20-04-07 кейинги 2" xfId="3592"/>
    <cellStyle name="_Вилоят охирги мониторинг 20-04-07 кейинги 2" xfId="3593"/>
    <cellStyle name="_Вилоят охирги мониторинг 20-04-07 кейинги 2" xfId="3594"/>
    <cellStyle name="_Вилоят охирги мониторинг 20-04-07 кейинги 2" xfId="3595"/>
    <cellStyle name="_Вилоят охирги мониторинг 20-04-07 кейинги 3" xfId="3596"/>
    <cellStyle name="_Вилоят охирги мониторинг 20-04-07 кейинги 3" xfId="3597"/>
    <cellStyle name="_Вилоят охирги мониторинг 20-04-07 кейинги 3" xfId="3598"/>
    <cellStyle name="_Вилоят охирги мониторинг 20-04-07 кейинги 3" xfId="3599"/>
    <cellStyle name="_Вилоят охирги мониторинг 20-04-07 кейинги_УХКМ ва БИО форма 01. 02. 09" xfId="3600"/>
    <cellStyle name="_Вилоят охирги мониторинг 20-04-07 кейинги_УХКМ ва БИО форма 01. 02. 09" xfId="3601"/>
    <cellStyle name="_Вилоят охирги мониторинг 20-04-07 кейинги_УХКМ ва БИО форма 01. 02. 09" xfId="3602"/>
    <cellStyle name="_Вилоят охирги мониторинг 20-04-07 кейинги_УХКМ ва БИО форма 01. 02. 09" xfId="3603"/>
    <cellStyle name="_Вилоятга Эканамис маълумотлари" xfId="3604"/>
    <cellStyle name="_Вилоятга Эканамис маълумотлари" xfId="3605"/>
    <cellStyle name="_Вилоятга Эканамис маълумотлари" xfId="3606"/>
    <cellStyle name="_Вилоятга Эканамис маълумотлари" xfId="3607"/>
    <cellStyle name="_Вилоятга Эканамис маълумотлари 2" xfId="3608"/>
    <cellStyle name="_Вилоятга Эканамис маълумотлари 2" xfId="3609"/>
    <cellStyle name="_Вилоятга Эканамис маълумотлари 2" xfId="3610"/>
    <cellStyle name="_Вилоятга Эканамис маълумотлари 2" xfId="3611"/>
    <cellStyle name="_Вилоятга Эканамис маълумотлари 3" xfId="3612"/>
    <cellStyle name="_Вилоятга Эканамис маълумотлари 3" xfId="3613"/>
    <cellStyle name="_Вилоятга Эканамис маълумотлари 3" xfId="3614"/>
    <cellStyle name="_Вилоятга Эканамис маълумотлари 3" xfId="3615"/>
    <cellStyle name="_Вилоятга Эканамис маълумотлари_УХКМ ва БИО форма 01. 02. 09" xfId="3616"/>
    <cellStyle name="_Вилоятга Эканамис маълумотлари_УХКМ ва БИО форма 01. 02. 09" xfId="3617"/>
    <cellStyle name="_Вилоятга Эканамис маълумотлари_УХКМ ва БИО форма 01. 02. 09" xfId="3618"/>
    <cellStyle name="_Вилоятга Эканамис маълумотлари_УХКМ ва БИО форма 01. 02. 09" xfId="3619"/>
    <cellStyle name="_Вилоят-химия-монитор-камай-21-04-07-агп" xfId="3620"/>
    <cellStyle name="_Вилоят-химия-монитор-камай-21-04-07-агп" xfId="3621"/>
    <cellStyle name="_Вилоят-химия-монитор-камай-21-04-07-агп" xfId="3622"/>
    <cellStyle name="_Вилоят-химия-монитор-камай-21-04-07-агп" xfId="3623"/>
    <cellStyle name="_Вилоят-химия-монитор-камай-21-04-07-агп 2" xfId="3624"/>
    <cellStyle name="_Вилоят-химия-монитор-камай-21-04-07-агп 2" xfId="3625"/>
    <cellStyle name="_Вилоят-химия-монитор-камай-21-04-07-агп 2" xfId="3626"/>
    <cellStyle name="_Вилоят-химия-монитор-камай-21-04-07-агп 2" xfId="3627"/>
    <cellStyle name="_Вилоят-химия-монитор-камай-21-04-07-агп 3" xfId="3628"/>
    <cellStyle name="_Вилоят-химия-монитор-камай-21-04-07-агп 3" xfId="3629"/>
    <cellStyle name="_Вилоят-химия-монитор-камай-21-04-07-агп 3" xfId="3630"/>
    <cellStyle name="_Вилоят-химия-монитор-камай-21-04-07-агп 3" xfId="3631"/>
    <cellStyle name="_Вилоят-химия-монитор-камай-21-04-07-агп_УХКМ ва БИО форма 01. 02. 09" xfId="3632"/>
    <cellStyle name="_Вилоят-химия-монитор-камай-21-04-07-агп_УХКМ ва БИО форма 01. 02. 09" xfId="3633"/>
    <cellStyle name="_Вилоят-химия-монитор-камай-21-04-07-агп_УХКМ ва БИО форма 01. 02. 09" xfId="3634"/>
    <cellStyle name="_Вилоят-химия-монитор-камай-21-04-07-агп_УХКМ ва БИО форма 01. 02. 09" xfId="3635"/>
    <cellStyle name="_Галла -2008 (Сентябр,октябр) -00121" xfId="3636"/>
    <cellStyle name="_Галла -2008 (Сентябр,октябр) -00121" xfId="3637"/>
    <cellStyle name="_Галла -2008 (Сентябр,октябр) -00121" xfId="3638"/>
    <cellStyle name="_Галла -2008 (Сентябр,октябр) -00121" xfId="3639"/>
    <cellStyle name="_Галла -2008 (Сентябр,октябр) -00121_2008 йил 1-декабр-сводлар-узгарди" xfId="3640"/>
    <cellStyle name="_Галла -2008 (Сентябр,октябр) -00121_2008 йил 1-декабр-сводлар-узгарди" xfId="3641"/>
    <cellStyle name="_Галла -2008 (Сентябр,октябр) -00121_2008 йил 1-ноябр-баланс билан" xfId="3642"/>
    <cellStyle name="_Галла -2008 (Сентябр,октябр) -00121_2008 йил 1-ноябр-баланс билан" xfId="3643"/>
    <cellStyle name="_Галла -2008 (Сентябр,октябр) -00121_2008 ОКТЯБР ишчи жадвал формула" xfId="3644"/>
    <cellStyle name="_Галла -2008 (Сентябр,октябр) -00121_2008 ОКТЯБР ишчи жадвал формула" xfId="3645"/>
    <cellStyle name="_Галла -2008 (Сентябр,октябр) -00121_2008 ОКТЯБР ишчи жадвал формула" xfId="3646"/>
    <cellStyle name="_Галла -2008 (Сентябр,октябр) -00121_2008 ОКТЯБР ишчи жадвал формула" xfId="3647"/>
    <cellStyle name="_Галла -2008 (Сентябр,октябр) -00121_2008 ОКТЯБР ишчи жадвал формула_2008 йил 1-декабр-сводлар-узгарди" xfId="3648"/>
    <cellStyle name="_Галла -2008 (Сентябр,октябр) -00121_2008 ОКТЯБР ишчи жадвал формула_2008 йил 1-декабр-сводлар-узгарди" xfId="3649"/>
    <cellStyle name="_Галла -2008 (Сентябр,октябр) -00121_2008 ОКТЯБР ишчи жадвал формула_2008 йил 1-декабр-сводлар-узгарди" xfId="3650"/>
    <cellStyle name="_Галла -2008 (Сентябр,октябр) -00121_2008 ОКТЯБР ишчи жадвал формула_2008 йил 1-декабр-сводлар-узгарди" xfId="3651"/>
    <cellStyle name="_Галла -2008 (Сентябр,октябр) -00121_2008 ОКТЯБР ишчи жадвал формула_2008 йил 1-ноябр-баланс билан" xfId="3652"/>
    <cellStyle name="_Галла -2008 (Сентябр,октябр) -00121_2008 ОКТЯБР ишчи жадвал формула_2008 йил 1-ноябр-баланс билан" xfId="3653"/>
    <cellStyle name="_Галла -2008 (Сентябр,октябр) -00121_2008 ОКТЯБР ишчи жадвал формула_2008 йил 1-ноябр-баланс билан" xfId="3654"/>
    <cellStyle name="_Галла -2008 (Сентябр,октябр) -00121_2008 ОКТЯБР ишчи жадвал формула_2008 йил 1-ноябр-баланс билан" xfId="3655"/>
    <cellStyle name="_Галла -2008 (Сентябр,октябр) -00121_2008_iil_APREL_ishchi_zhadval_formula2-СВОД" xfId="3656"/>
    <cellStyle name="_Галла -2008 (Сентябр,октябр) -00121_2008_iil_APREL_ishchi_zhadval_formula2-СВОД" xfId="3657"/>
    <cellStyle name="_Галла -2008 (Сентябр,октябр) -00121_2008_iil_APREL_ishchi_zhadval_formula2-СВОД" xfId="3658"/>
    <cellStyle name="_Галла -2008 (Сентябр,октябр) -00121_2008_iil_APREL_ishchi_zhadval_formula2-СВОД" xfId="3659"/>
    <cellStyle name="_Галла -2008 (Сентябр,октябр) -00121_Апрел кр такс иш хаки тулик 5.04.08 МБ га" xfId="3660"/>
    <cellStyle name="_Галла -2008 (Сентябр,октябр) -00121_Апрел кр такс иш хаки тулик 5.04.08 МБ га" xfId="3661"/>
    <cellStyle name="_Галла -2008 (Сентябр,октябр) -00138" xfId="3662"/>
    <cellStyle name="_Галла -2008 (Сентябр,октябр) -00138" xfId="3663"/>
    <cellStyle name="_Галла -2008 (Сентябр,октябр) -00138" xfId="3664"/>
    <cellStyle name="_Галла -2008 (Сентябр,октябр) -00138" xfId="3665"/>
    <cellStyle name="_Галла -2008 (Сентябр,октябр) -00138_2008 йил 1-декабр-сводлар-узгарди" xfId="3666"/>
    <cellStyle name="_Галла -2008 (Сентябр,октябр) -00138_2008 йил 1-декабр-сводлар-узгарди" xfId="3667"/>
    <cellStyle name="_Галла -2008 (Сентябр,октябр) -00138_2008 йил 1-ноябр-баланс билан" xfId="3668"/>
    <cellStyle name="_Галла -2008 (Сентябр,октябр) -00138_2008 йил 1-ноябр-баланс билан" xfId="3669"/>
    <cellStyle name="_Галла -2008 (Сентябр,октябр) -00138_2008 ОКТЯБР ишчи жадвал формула" xfId="3670"/>
    <cellStyle name="_Галла -2008 (Сентябр,октябр) -00138_2008 ОКТЯБР ишчи жадвал формула" xfId="3671"/>
    <cellStyle name="_Галла -2008 (Сентябр,октябр) -00138_2008 ОКТЯБР ишчи жадвал формула" xfId="3672"/>
    <cellStyle name="_Галла -2008 (Сентябр,октябр) -00138_2008 ОКТЯБР ишчи жадвал формула" xfId="3673"/>
    <cellStyle name="_Галла -2008 (Сентябр,октябр) -00138_2008 ОКТЯБР ишчи жадвал формула_2008 йил 1-декабр-сводлар-узгарди" xfId="3674"/>
    <cellStyle name="_Галла -2008 (Сентябр,октябр) -00138_2008 ОКТЯБР ишчи жадвал формула_2008 йил 1-декабр-сводлар-узгарди" xfId="3675"/>
    <cellStyle name="_Галла -2008 (Сентябр,октябр) -00138_2008 ОКТЯБР ишчи жадвал формула_2008 йил 1-декабр-сводлар-узгарди" xfId="3676"/>
    <cellStyle name="_Галла -2008 (Сентябр,октябр) -00138_2008 ОКТЯБР ишчи жадвал формула_2008 йил 1-декабр-сводлар-узгарди" xfId="3677"/>
    <cellStyle name="_Галла -2008 (Сентябр,октябр) -00138_2008 ОКТЯБР ишчи жадвал формула_2008 йил 1-ноябр-баланс билан" xfId="3678"/>
    <cellStyle name="_Галла -2008 (Сентябр,октябр) -00138_2008 ОКТЯБР ишчи жадвал формула_2008 йил 1-ноябр-баланс билан" xfId="3679"/>
    <cellStyle name="_Галла -2008 (Сентябр,октябр) -00138_2008 ОКТЯБР ишчи жадвал формула_2008 йил 1-ноябр-баланс билан" xfId="3680"/>
    <cellStyle name="_Галла -2008 (Сентябр,октябр) -00138_2008 ОКТЯБР ишчи жадвал формула_2008 йил 1-ноябр-баланс билан" xfId="3681"/>
    <cellStyle name="_Галла -2008 (Сентябр,октябр) -00138_2008_iil_APREL_ishchi_zhadval_formula2-СВОД" xfId="3682"/>
    <cellStyle name="_Галла -2008 (Сентябр,октябр) -00138_2008_iil_APREL_ishchi_zhadval_formula2-СВОД" xfId="3683"/>
    <cellStyle name="_Галла -2008 (Сентябр,октябр) -00138_2008_iil_APREL_ishchi_zhadval_formula2-СВОД" xfId="3684"/>
    <cellStyle name="_Галла -2008 (Сентябр,октябр) -00138_2008_iil_APREL_ishchi_zhadval_formula2-СВОД" xfId="3685"/>
    <cellStyle name="_Галла -2008 (Сентябр,октябр) -00138_Апрел кр такс иш хаки тулик 5.04.08 МБ га" xfId="3686"/>
    <cellStyle name="_Галла -2008 (Сентябр,октябр) -00138_Апрел кр такс иш хаки тулик 5.04.08 МБ га" xfId="3687"/>
    <cellStyle name="_Галла -2008 (Сентябр,октябр)-00140" xfId="3688"/>
    <cellStyle name="_Галла -2008 (Сентябр,октябр)-00140" xfId="3689"/>
    <cellStyle name="_Галла -2008 (Сентябр,октябр)-00140" xfId="3690"/>
    <cellStyle name="_Галла -2008 (Сентябр,октябр)-00140" xfId="3691"/>
    <cellStyle name="_Галла -2008 (Сентябр,октябр)-00140_2008 йил 1-декабр-сводлар-узгарди" xfId="3692"/>
    <cellStyle name="_Галла -2008 (Сентябр,октябр)-00140_2008 йил 1-декабр-сводлар-узгарди" xfId="3693"/>
    <cellStyle name="_Галла -2008 (Сентябр,октябр)-00140_2008 йил 1-ноябр-баланс билан" xfId="3694"/>
    <cellStyle name="_Галла -2008 (Сентябр,октябр)-00140_2008 йил 1-ноябр-баланс билан" xfId="3695"/>
    <cellStyle name="_Галла -2008 (Сентябр,октябр)-00140_2008 ОКТЯБР ишчи жадвал формула" xfId="3696"/>
    <cellStyle name="_Галла -2008 (Сентябр,октябр)-00140_2008 ОКТЯБР ишчи жадвал формула" xfId="3697"/>
    <cellStyle name="_Галла -2008 (Сентябр,октябр)-00140_2008 ОКТЯБР ишчи жадвал формула" xfId="3698"/>
    <cellStyle name="_Галла -2008 (Сентябр,октябр)-00140_2008 ОКТЯБР ишчи жадвал формула" xfId="3699"/>
    <cellStyle name="_Галла -2008 (Сентябр,октябр)-00140_2008 ОКТЯБР ишчи жадвал формула_2008 йил 1-декабр-сводлар-узгарди" xfId="3700"/>
    <cellStyle name="_Галла -2008 (Сентябр,октябр)-00140_2008 ОКТЯБР ишчи жадвал формула_2008 йил 1-декабр-сводлар-узгарди" xfId="3701"/>
    <cellStyle name="_Галла -2008 (Сентябр,октябр)-00140_2008 ОКТЯБР ишчи жадвал формула_2008 йил 1-декабр-сводлар-узгарди" xfId="3702"/>
    <cellStyle name="_Галла -2008 (Сентябр,октябр)-00140_2008 ОКТЯБР ишчи жадвал формула_2008 йил 1-декабр-сводлар-узгарди" xfId="3703"/>
    <cellStyle name="_Галла -2008 (Сентябр,октябр)-00140_2008 ОКТЯБР ишчи жадвал формула_2008 йил 1-ноябр-баланс билан" xfId="3704"/>
    <cellStyle name="_Галла -2008 (Сентябр,октябр)-00140_2008 ОКТЯБР ишчи жадвал формула_2008 йил 1-ноябр-баланс билан" xfId="3705"/>
    <cellStyle name="_Галла -2008 (Сентябр,октябр)-00140_2008 ОКТЯБР ишчи жадвал формула_2008 йил 1-ноябр-баланс билан" xfId="3706"/>
    <cellStyle name="_Галла -2008 (Сентябр,октябр)-00140_2008 ОКТЯБР ишчи жадвал формула_2008 йил 1-ноябр-баланс билан" xfId="3707"/>
    <cellStyle name="_Галла -2008 (Сентябр,октябр)-00140_2008_iil_APREL_ishchi_zhadval_formula2-СВОД" xfId="3708"/>
    <cellStyle name="_Галла -2008 (Сентябр,октябр)-00140_2008_iil_APREL_ishchi_zhadval_formula2-СВОД" xfId="3709"/>
    <cellStyle name="_Галла -2008 (Сентябр,октябр)-00140_2008_iil_APREL_ishchi_zhadval_formula2-СВОД" xfId="3710"/>
    <cellStyle name="_Галла -2008 (Сентябр,октябр)-00140_2008_iil_APREL_ishchi_zhadval_formula2-СВОД" xfId="3711"/>
    <cellStyle name="_Галла -2008 (Сентябр,октябр)-00140_Апрел кр такс иш хаки тулик 5.04.08 МБ га" xfId="3712"/>
    <cellStyle name="_Галла -2008 (Сентябр,октябр)-00140_Апрел кр такс иш хаки тулик 5.04.08 МБ га" xfId="3713"/>
    <cellStyle name="_ГАЛЛА МАРТ (Низом)" xfId="3714"/>
    <cellStyle name="_ГАЛЛА МАРТ (Низом)" xfId="3715"/>
    <cellStyle name="_ГАЛЛА МАРТ (Низом)" xfId="3716"/>
    <cellStyle name="_ГАЛЛА МАРТ (Низом)" xfId="3717"/>
    <cellStyle name="_ГАЛЛА МАРТ (Низом)_УХКМ ва БИО форма 01. 02. 09" xfId="3718"/>
    <cellStyle name="_ГАЛЛА МАРТ (Низом)_УХКМ ва БИО форма 01. 02. 09" xfId="3719"/>
    <cellStyle name="_ГАЛЛА МАРТ (Низом)_УХКМ ва БИО форма 01. 02. 09" xfId="3720"/>
    <cellStyle name="_ГАЛЛА МАРТ (Низом)_УХКМ ва БИО форма 01. 02. 09" xfId="3721"/>
    <cellStyle name="_График буйича сабзавот экиш" xfId="3722"/>
    <cellStyle name="_График буйича сабзавот экиш" xfId="3723"/>
    <cellStyle name="_Дискетга аа" xfId="3724"/>
    <cellStyle name="_Дискетга аа" xfId="3725"/>
    <cellStyle name="_Дискетга аа" xfId="3726"/>
    <cellStyle name="_Дискетга аа" xfId="3727"/>
    <cellStyle name="_Дискетга аа 2" xfId="3728"/>
    <cellStyle name="_Дискетга аа 2" xfId="3729"/>
    <cellStyle name="_Дискетга аа 3" xfId="3730"/>
    <cellStyle name="_Дискетга аа 3" xfId="3731"/>
    <cellStyle name="_Дискетга аа_УХКМ ва БИО форма 01. 02. 09" xfId="3732"/>
    <cellStyle name="_Дискетга аа_УХКМ ва БИО форма 01. 02. 09" xfId="3733"/>
    <cellStyle name="_Дискетга аа_УХКМ ва БИО форма 01. 02. 09" xfId="3734"/>
    <cellStyle name="_Дискетга аа_УХКМ ва БИО форма 01. 02. 09" xfId="3735"/>
    <cellStyle name="_Дустлик 01,10,06" xfId="3736"/>
    <cellStyle name="_Дустлик 01,10,06" xfId="3737"/>
    <cellStyle name="_Дустлик 01,10,06" xfId="3738"/>
    <cellStyle name="_Дустлик 01,10,06" xfId="3739"/>
    <cellStyle name="_Дустлик 01,10,06 2" xfId="3740"/>
    <cellStyle name="_Дустлик 01,10,06 2" xfId="3741"/>
    <cellStyle name="_Дустлик 01,10,06 2" xfId="3742"/>
    <cellStyle name="_Дустлик 01,10,06 2" xfId="3743"/>
    <cellStyle name="_Дустлик 01,10,06 3" xfId="3744"/>
    <cellStyle name="_Дустлик 01,10,06 3" xfId="3745"/>
    <cellStyle name="_Дустлик 01,10,06 3" xfId="3746"/>
    <cellStyle name="_Дустлик 01,10,06 3" xfId="3747"/>
    <cellStyle name="_Дустлик 01,10,06_УХКМ ва БИО форма 01. 02. 09" xfId="3748"/>
    <cellStyle name="_Дустлик 01,10,06_УХКМ ва БИО форма 01. 02. 09" xfId="3749"/>
    <cellStyle name="_Дустлик 01,10,06_УХКМ ва БИО форма 01. 02. 09" xfId="3750"/>
    <cellStyle name="_Дустлик 01,10,06_УХКМ ва БИО форма 01. 02. 09" xfId="3751"/>
    <cellStyle name="_Дустлик 13,10,061 га " xfId="3752"/>
    <cellStyle name="_Дустлик 13,10,061 га " xfId="3753"/>
    <cellStyle name="_Дустлик 13,10,061 га " xfId="3754"/>
    <cellStyle name="_Дустлик 13,10,061 га " xfId="3755"/>
    <cellStyle name="_Дустлик 13,10,061 га  2" xfId="3756"/>
    <cellStyle name="_Дустлик 13,10,061 га  2" xfId="3757"/>
    <cellStyle name="_Дустлик 13,10,061 га  3" xfId="3758"/>
    <cellStyle name="_Дустлик 13,10,061 га  3" xfId="3759"/>
    <cellStyle name="_Дустлик 13,10,061 га _УХКМ ва БИО форма 01. 02. 09" xfId="3760"/>
    <cellStyle name="_Дустлик 13,10,061 га _УХКМ ва БИО форма 01. 02. 09" xfId="3761"/>
    <cellStyle name="_Дустлик 13,10,061 га _УХКМ ва БИО форма 01. 02. 09" xfId="3762"/>
    <cellStyle name="_Дустлик 13,10,061 га _УХКМ ва БИО форма 01. 02. 09" xfId="3763"/>
    <cellStyle name="_Дустлик 15,09,06 мониторинг" xfId="3764"/>
    <cellStyle name="_Дустлик 15,09,06 мониторинг" xfId="3765"/>
    <cellStyle name="_Дустлик 15,09,06 мониторинг" xfId="3766"/>
    <cellStyle name="_Дустлик 15,09,06 мониторинг" xfId="3767"/>
    <cellStyle name="_Дустлик 15,09,06 мониторинг 2" xfId="3768"/>
    <cellStyle name="_Дустлик 15,09,06 мониторинг 2" xfId="3769"/>
    <cellStyle name="_Дустлик 15,09,06 мониторинг 3" xfId="3770"/>
    <cellStyle name="_Дустлик 15,09,06 мониторинг 3" xfId="3771"/>
    <cellStyle name="_Дустлик 15,09,06 мониторинг_УХКМ ва БИО форма 01. 02. 09" xfId="3772"/>
    <cellStyle name="_Дустлик 15,09,06 мониторинг_УХКМ ва БИО форма 01. 02. 09" xfId="3773"/>
    <cellStyle name="_Дустлик 15,09,06 мониторинг_УХКМ ва БИО форма 01. 02. 09" xfId="3774"/>
    <cellStyle name="_Дустлик 15,09,06 мониторинг_УХКМ ва БИО форма 01. 02. 09" xfId="3775"/>
    <cellStyle name="_Дустлик 2-05-07 мониторинг янг" xfId="3776"/>
    <cellStyle name="_Дустлик 2-05-07 мониторинг янг" xfId="3777"/>
    <cellStyle name="_Дустлик 2-05-07 мониторинг янг" xfId="3778"/>
    <cellStyle name="_Дустлик 2-05-07 мониторинг янг" xfId="3779"/>
    <cellStyle name="_Дустлик 2-05-07 мониторинг янг 2" xfId="3780"/>
    <cellStyle name="_Дустлик 2-05-07 мониторинг янг 2" xfId="3781"/>
    <cellStyle name="_Дустлик 2-05-07 мониторинг янг 2" xfId="3782"/>
    <cellStyle name="_Дустлик 2-05-07 мониторинг янг 2" xfId="3783"/>
    <cellStyle name="_Дустлик 2-05-07 мониторинг янг 3" xfId="3784"/>
    <cellStyle name="_Дустлик 2-05-07 мониторинг янг 3" xfId="3785"/>
    <cellStyle name="_Дустлик 2-05-07 мониторинг янг 3" xfId="3786"/>
    <cellStyle name="_Дустлик 2-05-07 мониторинг янг 3" xfId="3787"/>
    <cellStyle name="_Дустлик 31-05-07 Вилоятга" xfId="3788"/>
    <cellStyle name="_Дустлик 31-05-07 Вилоятга" xfId="3789"/>
    <cellStyle name="_Дустлик 31-05-07 Вилоятга" xfId="3790"/>
    <cellStyle name="_Дустлик 31-05-07 Вилоятга" xfId="3791"/>
    <cellStyle name="_Дустлик 31-05-07 Вилоятга 2" xfId="3792"/>
    <cellStyle name="_Дустлик 31-05-07 Вилоятга 2" xfId="3793"/>
    <cellStyle name="_Дустлик 31-05-07 Вилоятга 2" xfId="3794"/>
    <cellStyle name="_Дустлик 31-05-07 Вилоятга 2" xfId="3795"/>
    <cellStyle name="_Дустлик 31-05-07 Вилоятга 3" xfId="3796"/>
    <cellStyle name="_Дустлик 31-05-07 Вилоятга 3" xfId="3797"/>
    <cellStyle name="_Дустлик 31-05-07 Вилоятга 3" xfId="3798"/>
    <cellStyle name="_Дустлик 31-05-07 Вилоятга 3" xfId="3799"/>
    <cellStyle name="_Дустлик 31-05-07 Вилоятга_УХКМ ва БИО форма 01. 02. 09" xfId="3800"/>
    <cellStyle name="_Дустлик 31-05-07 Вилоятга_УХКМ ва БИО форма 01. 02. 09" xfId="3801"/>
    <cellStyle name="_Дустлик 31-05-07 Вилоятга_УХКМ ва БИО форма 01. 02. 09" xfId="3802"/>
    <cellStyle name="_Дустлик 31-05-07 Вилоятга_УХКМ ва БИО форма 01. 02. 09" xfId="3803"/>
    <cellStyle name="_Дустлик анализ 30-07-06" xfId="3804"/>
    <cellStyle name="_Дустлик анализ 30-07-06" xfId="3805"/>
    <cellStyle name="_Дустлик анализ 30-07-06" xfId="3806"/>
    <cellStyle name="_Дустлик анализ 30-07-06" xfId="3807"/>
    <cellStyle name="_Дустлик анализ 30-07-06 2" xfId="3808"/>
    <cellStyle name="_Дустлик анализ 30-07-06 2" xfId="3809"/>
    <cellStyle name="_Дустлик анализ 30-07-06 2" xfId="3810"/>
    <cellStyle name="_Дустлик анализ 30-07-06 2" xfId="3811"/>
    <cellStyle name="_Дустлик анализ 30-07-06 3" xfId="3812"/>
    <cellStyle name="_Дустлик анализ 30-07-06 3" xfId="3813"/>
    <cellStyle name="_Дустлик анализ 30-07-06 3" xfId="3814"/>
    <cellStyle name="_Дустлик анализ 30-07-06 3" xfId="3815"/>
    <cellStyle name="_Дустлик анализ 30-07-06_УХКМ ва БИО форма 01. 02. 09" xfId="3816"/>
    <cellStyle name="_Дустлик анализ 30-07-06_УХКМ ва БИО форма 01. 02. 09" xfId="3817"/>
    <cellStyle name="_Дустлик анализ 30-07-06_УХКМ ва БИО форма 01. 02. 09" xfId="3818"/>
    <cellStyle name="_Дустлик анализ 30-07-06_УХКМ ва БИО форма 01. 02. 09" xfId="3819"/>
    <cellStyle name="_Дустлик пахта 04-06-07" xfId="3820"/>
    <cellStyle name="_Дустлик пахта 04-06-07" xfId="3821"/>
    <cellStyle name="_Дустлик пахта 04-06-07" xfId="3822"/>
    <cellStyle name="_Дустлик пахта 04-06-07" xfId="3823"/>
    <cellStyle name="_Дустлик пахта 16-06-07" xfId="3824"/>
    <cellStyle name="_Дустлик пахта 16-06-07" xfId="3825"/>
    <cellStyle name="_Дустлик пахта 16-06-07" xfId="3826"/>
    <cellStyle name="_Дустлик пахта 16-06-07" xfId="3827"/>
    <cellStyle name="_Дустлик пахта 16-06-07 2" xfId="3828"/>
    <cellStyle name="_Дустлик пахта 16-06-07 2" xfId="3829"/>
    <cellStyle name="_Дустлик пахта 16-06-07 2" xfId="3830"/>
    <cellStyle name="_Дустлик пахта 16-06-07 2" xfId="3831"/>
    <cellStyle name="_Дустлик пахта 16-06-07 3" xfId="3832"/>
    <cellStyle name="_Дустлик пахта 16-06-07 3" xfId="3833"/>
    <cellStyle name="_Дустлик пахта 16-06-07 3" xfId="3834"/>
    <cellStyle name="_Дустлик пахта 16-06-07 3" xfId="3835"/>
    <cellStyle name="_Дустлик сводка 08-06-07 й Вилоятга" xfId="3836"/>
    <cellStyle name="_Дустлик сводка 08-06-07 й Вилоятга" xfId="3837"/>
    <cellStyle name="_Дустлик сводка 08-06-07 й Вилоятга" xfId="3838"/>
    <cellStyle name="_Дустлик сводка 08-06-07 й Вилоятга" xfId="3839"/>
    <cellStyle name="_Дустлик сводка 08-06-07 й Вилоятга 2" xfId="3840"/>
    <cellStyle name="_Дустлик сводка 08-06-07 й Вилоятга 2" xfId="3841"/>
    <cellStyle name="_Дустлик сводка 08-06-07 й Вилоятга 2" xfId="3842"/>
    <cellStyle name="_Дустлик сводка 08-06-07 й Вилоятга 2" xfId="3843"/>
    <cellStyle name="_Дустлик сводка 08-06-07 й Вилоятга 3" xfId="3844"/>
    <cellStyle name="_Дустлик сводка 08-06-07 й Вилоятга 3" xfId="3845"/>
    <cellStyle name="_Дустлик сводка 08-06-07 й Вилоятга 3" xfId="3846"/>
    <cellStyle name="_Дустлик сводка 08-06-07 й Вилоятга 3" xfId="3847"/>
    <cellStyle name="_Дустлик сводка 09-06-07 й Вилоятга" xfId="3848"/>
    <cellStyle name="_Дустлик сводка 09-06-07 й Вилоятга" xfId="3849"/>
    <cellStyle name="_Дустлик сводка 09-06-07 й Вилоятга" xfId="3850"/>
    <cellStyle name="_Дустлик сводка 09-06-07 й Вилоятга" xfId="3851"/>
    <cellStyle name="_Дустлик сводка 09-06-07 й Вилоятга 2" xfId="3852"/>
    <cellStyle name="_Дустлик сводка 09-06-07 й Вилоятга 2" xfId="3853"/>
    <cellStyle name="_Дустлик сводка 09-06-07 й Вилоятга 2" xfId="3854"/>
    <cellStyle name="_Дустлик сводка 09-06-07 й Вилоятга 2" xfId="3855"/>
    <cellStyle name="_Дустлик сводка 09-06-07 й Вилоятга 3" xfId="3856"/>
    <cellStyle name="_Дустлик сводка 09-06-07 й Вилоятга 3" xfId="3857"/>
    <cellStyle name="_Дустлик сводка 09-06-07 й Вилоятга 3" xfId="3858"/>
    <cellStyle name="_Дустлик сводка 09-06-07 й Вилоятга 3" xfId="3859"/>
    <cellStyle name="_Дустлик сводка 10-06-07 й Вилоятга" xfId="3860"/>
    <cellStyle name="_Дустлик сводка 10-06-07 й Вилоятга" xfId="3861"/>
    <cellStyle name="_Дустлик сводка 10-06-07 й Вилоятга" xfId="3862"/>
    <cellStyle name="_Дустлик сводка 10-06-07 й Вилоятга" xfId="3863"/>
    <cellStyle name="_Дустлик сводка 10-06-07 й Вилоятга 2" xfId="3864"/>
    <cellStyle name="_Дустлик сводка 10-06-07 й Вилоятга 2" xfId="3865"/>
    <cellStyle name="_Дустлик сводка 10-06-07 й Вилоятга 2" xfId="3866"/>
    <cellStyle name="_Дустлик сводка 10-06-07 й Вилоятга 2" xfId="3867"/>
    <cellStyle name="_Дустлик сводка 10-06-07 й Вилоятга 3" xfId="3868"/>
    <cellStyle name="_Дустлик сводка 10-06-07 й Вилоятга 3" xfId="3869"/>
    <cellStyle name="_Дустлик сводка 10-06-07 й Вилоятга 3" xfId="3870"/>
    <cellStyle name="_Дустлик сводка 10-06-07 й Вилоятга 3" xfId="3871"/>
    <cellStyle name="_Дустлик сводка 1-06-07" xfId="3872"/>
    <cellStyle name="_Дустлик сводка 1-06-07" xfId="3873"/>
    <cellStyle name="_Дустлик сводка 1-06-07" xfId="3874"/>
    <cellStyle name="_Дустлик сводка 1-06-07" xfId="3875"/>
    <cellStyle name="_Дустлик сводка 1-06-07 2" xfId="3876"/>
    <cellStyle name="_Дустлик сводка 1-06-07 2" xfId="3877"/>
    <cellStyle name="_Дустлик сводка 1-06-07 2" xfId="3878"/>
    <cellStyle name="_Дустлик сводка 1-06-07 2" xfId="3879"/>
    <cellStyle name="_Дустлик сводка 1-06-07 3" xfId="3880"/>
    <cellStyle name="_Дустлик сводка 1-06-07 3" xfId="3881"/>
    <cellStyle name="_Дустлик сводка 1-06-07 3" xfId="3882"/>
    <cellStyle name="_Дустлик сводка 1-06-07 3" xfId="3883"/>
    <cellStyle name="_Дустлик сводка 1-06-07_УХКМ ва БИО форма 01. 02. 09" xfId="3884"/>
    <cellStyle name="_Дустлик сводка 1-06-07_УХКМ ва БИО форма 01. 02. 09" xfId="3885"/>
    <cellStyle name="_Дустлик сводка 1-06-07_УХКМ ва БИО форма 01. 02. 09" xfId="3886"/>
    <cellStyle name="_Дустлик сводка 1-06-07_УХКМ ва БИО форма 01. 02. 09" xfId="3887"/>
    <cellStyle name="_Дустлик сводка 11-06-07 й Вилоятга" xfId="3888"/>
    <cellStyle name="_Дустлик сводка 11-06-07 й Вилоятга" xfId="3889"/>
    <cellStyle name="_Дустлик сводка 11-06-07 й Вилоятга" xfId="3890"/>
    <cellStyle name="_Дустлик сводка 11-06-07 й Вилоятга" xfId="3891"/>
    <cellStyle name="_Дустлик сводка 11-06-07 й Вилоятга 2" xfId="3892"/>
    <cellStyle name="_Дустлик сводка 11-06-07 й Вилоятга 2" xfId="3893"/>
    <cellStyle name="_Дустлик сводка 11-06-07 й Вилоятга 2" xfId="3894"/>
    <cellStyle name="_Дустлик сводка 11-06-07 й Вилоятга 2" xfId="3895"/>
    <cellStyle name="_Дустлик сводка 11-06-07 й Вилоятга 3" xfId="3896"/>
    <cellStyle name="_Дустлик сводка 11-06-07 й Вилоятга 3" xfId="3897"/>
    <cellStyle name="_Дустлик сводка 11-06-07 й Вилоятга 3" xfId="3898"/>
    <cellStyle name="_Дустлик сводка 11-06-07 й Вилоятга 3" xfId="3899"/>
    <cellStyle name="_Дустлик сводка 13-06-07 й Вилоятга" xfId="3900"/>
    <cellStyle name="_Дустлик сводка 13-06-07 й Вилоятга" xfId="3901"/>
    <cellStyle name="_Дустлик сводка 13-06-07 й Вилоятга" xfId="3902"/>
    <cellStyle name="_Дустлик сводка 13-06-07 й Вилоятга" xfId="3903"/>
    <cellStyle name="_Дустлик сводка 13-06-07 й Вилоятга 2" xfId="3904"/>
    <cellStyle name="_Дустлик сводка 13-06-07 й Вилоятга 2" xfId="3905"/>
    <cellStyle name="_Дустлик сводка 13-06-07 й Вилоятга 2" xfId="3906"/>
    <cellStyle name="_Дустлик сводка 13-06-07 й Вилоятга 2" xfId="3907"/>
    <cellStyle name="_Дустлик сводка 13-06-07 й Вилоятга 3" xfId="3908"/>
    <cellStyle name="_Дустлик сводка 13-06-07 й Вилоятга 3" xfId="3909"/>
    <cellStyle name="_Дустлик сводка 13-06-07 й Вилоятга 3" xfId="3910"/>
    <cellStyle name="_Дустлик сводка 13-06-07 й Вилоятга 3" xfId="3911"/>
    <cellStyle name="_Ёпилган форма туланган 13-03-07" xfId="3912"/>
    <cellStyle name="_Ёпилган форма туланган 13-03-07" xfId="3913"/>
    <cellStyle name="_Ёпилган форма туланган 13-03-07" xfId="3914"/>
    <cellStyle name="_Ёпилган форма туланган 13-03-07" xfId="3915"/>
    <cellStyle name="_Ёпилган форма туланган 13-03-07 2" xfId="3916"/>
    <cellStyle name="_Ёпилган форма туланган 13-03-07 2" xfId="3917"/>
    <cellStyle name="_Ёпилган форма туланган 13-03-07 2" xfId="3918"/>
    <cellStyle name="_Ёпилган форма туланган 13-03-07 2" xfId="3919"/>
    <cellStyle name="_Ёпилган форма туланган 13-03-07 3" xfId="3920"/>
    <cellStyle name="_Ёпилган форма туланган 13-03-07 3" xfId="3921"/>
    <cellStyle name="_Ёпилган форма туланган 13-03-07 3" xfId="3922"/>
    <cellStyle name="_Ёпилган форма туланган 13-03-07 3" xfId="3923"/>
    <cellStyle name="_Ёпилган форма туланган 13-03-07_УХКМ ва БИО форма 01. 02. 09" xfId="3924"/>
    <cellStyle name="_Ёпилган форма туланган 13-03-07_УХКМ ва БИО форма 01. 02. 09" xfId="3925"/>
    <cellStyle name="_Ёпилган форма туланган 13-03-07_УХКМ ва БИО форма 01. 02. 09" xfId="3926"/>
    <cellStyle name="_Ёпилган форма туланган 13-03-07_УХКМ ва БИО форма 01. 02. 09" xfId="3927"/>
    <cellStyle name="_Жадвал" xfId="3928"/>
    <cellStyle name="_Жадвал" xfId="3929"/>
    <cellStyle name="_Жадвал" xfId="3930"/>
    <cellStyle name="_Жадвал" xfId="3931"/>
    <cellStyle name="_Жадвал саноат 2009 ОХИРИ" xfId="3932"/>
    <cellStyle name="_Жадвал саноат 2009 ОХИРИ" xfId="3933"/>
    <cellStyle name="_Жадвал_2008 ОКТЯБР ишчи жадвал формула" xfId="3934"/>
    <cellStyle name="_Жадвал_2008 ОКТЯБР ишчи жадвал формула" xfId="3935"/>
    <cellStyle name="_Жадвал_2008 ОКТЯБР ишчи жадвал формула" xfId="3936"/>
    <cellStyle name="_Жадвал_2008 ОКТЯБР ишчи жадвал формула" xfId="3937"/>
    <cellStyle name="_Жадвал_2008 ОКТЯБР ишчи жадвал формула_2008 йил 1-декабр-сводлар-узгарди" xfId="3938"/>
    <cellStyle name="_Жадвал_2008 ОКТЯБР ишчи жадвал формула_2008 йил 1-декабр-сводлар-узгарди" xfId="3939"/>
    <cellStyle name="_Жадвал_2008 ОКТЯБР ишчи жадвал формула_2008 йил 1-декабр-сводлар-узгарди" xfId="3940"/>
    <cellStyle name="_Жадвал_2008 ОКТЯБР ишчи жадвал формула_2008 йил 1-декабр-сводлар-узгарди" xfId="3941"/>
    <cellStyle name="_Жадвал_2008 ОКТЯБР ишчи жадвал формула_2008 йил 1-ноябр-баланс билан" xfId="3942"/>
    <cellStyle name="_Жадвал_2008 ОКТЯБР ишчи жадвал формула_2008 йил 1-ноябр-баланс билан" xfId="3943"/>
    <cellStyle name="_Жадвал_2008 ОКТЯБР ишчи жадвал формула_2008 йил 1-ноябр-баланс билан" xfId="3944"/>
    <cellStyle name="_Жадвал_2008 ОКТЯБР ишчи жадвал формула_2008 йил 1-ноябр-баланс билан" xfId="3945"/>
    <cellStyle name="_Жадвал_2008_iil_APREL_ishchi_zhadval_formula2-СВОД" xfId="3946"/>
    <cellStyle name="_Жадвал_2008_iil_APREL_ishchi_zhadval_formula2-СВОД" xfId="3947"/>
    <cellStyle name="_Жадвал_2008_iil_APREL_ishchi_zhadval_formula2-СВОД" xfId="3948"/>
    <cellStyle name="_Жадвал_2008_iil_APREL_ishchi_zhadval_formula2-СВОД" xfId="3949"/>
    <cellStyle name="_Жадвал_Апрел кр такс иш хаки тулик 5.04.08 МБ га" xfId="3950"/>
    <cellStyle name="_Жадвал_Апрел кр такс иш хаки тулик 5.04.08 МБ га" xfId="3951"/>
    <cellStyle name="_Жадвал_Апрел кр такс иш хаки тулик 5.04.08 МБ га" xfId="3952"/>
    <cellStyle name="_Жадвал_Апрел кр такс иш хаки тулик 5.04.08 МБ га" xfId="3953"/>
    <cellStyle name="_Жадвал_ЛИЗИНГ МОНИТОРИНГИ-1.11.08й русумлар буйича" xfId="3954"/>
    <cellStyle name="_Жадвал_ЛИЗИНГ МОНИТОРИНГИ-1.11.08й русумлар буйича" xfId="3955"/>
    <cellStyle name="_Жадвал_ЛИЗИНГ МОНИТОРИНГИ-1.11.08й русумлар буйича" xfId="3956"/>
    <cellStyle name="_Жадвал_ЛИЗИНГ МОНИТОРИНГИ-1.11.08й русумлар буйича" xfId="3957"/>
    <cellStyle name="_Жадвал_УХКМ ва БИО форма 01. 02. 09" xfId="3958"/>
    <cellStyle name="_Жадвал_УХКМ ва БИО форма 01. 02. 09" xfId="3959"/>
    <cellStyle name="_Жадвал_УХКМ ва БИО форма 01. 02. 09" xfId="3960"/>
    <cellStyle name="_Жадвал_УХКМ ва БИО форма 01. 02. 09" xfId="3961"/>
    <cellStyle name="_Жиззах тумани" xfId="3962"/>
    <cellStyle name="_Жиззах тумани" xfId="3963"/>
    <cellStyle name="_Зарбдор туман" xfId="3964"/>
    <cellStyle name="_Зарбдор туман" xfId="3965"/>
    <cellStyle name="_Зарбдор туман" xfId="3966"/>
    <cellStyle name="_Зарбдор туман" xfId="3967"/>
    <cellStyle name="_Зафаробод Кредит1111" xfId="3968"/>
    <cellStyle name="_Зафаробод Кредит1111" xfId="3969"/>
    <cellStyle name="_Зафаробод Кредит1111" xfId="3970"/>
    <cellStyle name="_Зафаробод Кредит1111" xfId="3971"/>
    <cellStyle name="_Зафаробод Кредит1111_Апрел кр такс иш хаки тулик 5.04.08 МБ га" xfId="3972"/>
    <cellStyle name="_Зафаробод Кредит1111_Апрел кр такс иш хаки тулик 5.04.08 МБ га" xfId="3973"/>
    <cellStyle name="_Зафаробод Кредит1111_Апрел кр такс иш хаки тулик 5.04.08 МБ га" xfId="3974"/>
    <cellStyle name="_Зафаробод Кредит1111_Апрел кр такс иш хаки тулик 5.04.08 МБ га" xfId="3975"/>
    <cellStyle name="_Зафаробод Кредит1111_ЛИЗИНГ МОНИТОРИНГИ-1.11.08й русумлар буйича" xfId="3976"/>
    <cellStyle name="_Зафаробод Кредит1111_ЛИЗИНГ МОНИТОРИНГИ-1.11.08й русумлар буйича" xfId="3977"/>
    <cellStyle name="_Зафаробод Кредит1111_ЛИЗИНГ МОНИТОРИНГИ-1.11.08й русумлар буйича" xfId="3978"/>
    <cellStyle name="_Зафаробод Кредит1111_ЛИЗИНГ МОНИТОРИНГИ-1.11.08й русумлар буйича" xfId="3979"/>
    <cellStyle name="_Зафаробод Кредит1111_УХКМ ва БИО форма 01. 02. 09" xfId="3980"/>
    <cellStyle name="_Зафаробод Кредит1111_УХКМ ва БИО форма 01. 02. 09" xfId="3981"/>
    <cellStyle name="_Зафаробод Кредит1111_УХКМ ва БИО форма 01. 02. 09" xfId="3982"/>
    <cellStyle name="_Зафаробод Кредит1111_УХКМ ва БИО форма 01. 02. 09" xfId="3983"/>
    <cellStyle name="_Зафаробод ПТК 1 май" xfId="3984"/>
    <cellStyle name="_Зафаробод ПТК 1 май" xfId="3985"/>
    <cellStyle name="_Зафаробод ПТК 1 май" xfId="3986"/>
    <cellStyle name="_Зафаробод ПТК 1 май" xfId="3987"/>
    <cellStyle name="_Зафаробод ПТК 1 май 2" xfId="3988"/>
    <cellStyle name="_Зафаробод ПТК 1 май 2" xfId="3989"/>
    <cellStyle name="_Зафаробод ПТК 1 май 2" xfId="3990"/>
    <cellStyle name="_Зафаробод ПТК 1 май 2" xfId="3991"/>
    <cellStyle name="_Зафаробод ПТК 1 май 3" xfId="3992"/>
    <cellStyle name="_Зафаробод ПТК 1 май 3" xfId="3993"/>
    <cellStyle name="_Зафаробод ПТК 1 май 3" xfId="3994"/>
    <cellStyle name="_Зафаробод ПТК 1 май 3" xfId="3995"/>
    <cellStyle name="_Зафаробод ПТК 1 май_2008 йил 1-декабр-сводлар-узгарди" xfId="3996"/>
    <cellStyle name="_Зафаробод ПТК 1 май_2008 йил 1-декабр-сводлар-узгарди" xfId="3997"/>
    <cellStyle name="_Зафаробод ПТК 1 май_2008 йил 1-ноябр-баланс билан" xfId="3998"/>
    <cellStyle name="_Зафаробод ПТК 1 май_2008 йил 1-ноябр-баланс билан" xfId="3999"/>
    <cellStyle name="_Зафаробод ПТК 1 май_2008 ОКТЯБР ишчи жадвал формула" xfId="4000"/>
    <cellStyle name="_Зафаробод ПТК 1 май_2008 ОКТЯБР ишчи жадвал формула" xfId="4001"/>
    <cellStyle name="_Зафаробод ПТК 1 май_2008 ОКТЯБР ишчи жадвал формула" xfId="4002"/>
    <cellStyle name="_Зафаробод ПТК 1 май_2008 ОКТЯБР ишчи жадвал формула" xfId="4003"/>
    <cellStyle name="_Зафаробод ПТК 1 май_2008 ОКТЯБР ишчи жадвал формула_2008 йил 1-декабр-сводлар-узгарди" xfId="4004"/>
    <cellStyle name="_Зафаробод ПТК 1 май_2008 ОКТЯБР ишчи жадвал формула_2008 йил 1-декабр-сводлар-узгарди" xfId="4005"/>
    <cellStyle name="_Зафаробод ПТК 1 май_2008 ОКТЯБР ишчи жадвал формула_2008 йил 1-декабр-сводлар-узгарди" xfId="4006"/>
    <cellStyle name="_Зафаробод ПТК 1 май_2008 ОКТЯБР ишчи жадвал формула_2008 йил 1-декабр-сводлар-узгарди" xfId="4007"/>
    <cellStyle name="_Зафаробод ПТК 1 май_2008 ОКТЯБР ишчи жадвал формула_2008 йил 1-ноябр-баланс билан" xfId="4008"/>
    <cellStyle name="_Зафаробод ПТК 1 май_2008 ОКТЯБР ишчи жадвал формула_2008 йил 1-ноябр-баланс билан" xfId="4009"/>
    <cellStyle name="_Зафаробод ПТК 1 май_2008 ОКТЯБР ишчи жадвал формула_2008 йил 1-ноябр-баланс билан" xfId="4010"/>
    <cellStyle name="_Зафаробод ПТК 1 май_2008 ОКТЯБР ишчи жадвал формула_2008 йил 1-ноябр-баланс билан" xfId="4011"/>
    <cellStyle name="_Зафаробод ПТК 1 май_2008_iil_APREL_ishchi_zhadval_formula2-СВОД" xfId="4012"/>
    <cellStyle name="_Зафаробод ПТК 1 май_2008_iil_APREL_ishchi_zhadval_formula2-СВОД" xfId="4013"/>
    <cellStyle name="_Зафаробод ПТК 1 май_2008_iil_APREL_ishchi_zhadval_formula2-СВОД" xfId="4014"/>
    <cellStyle name="_Зафаробод ПТК 1 май_2008_iil_APREL_ishchi_zhadval_formula2-СВОД" xfId="4015"/>
    <cellStyle name="_Зафаробод ПТК 1 май_Апрел кр такс иш хаки тулик 5.04.08 МБ га" xfId="4016"/>
    <cellStyle name="_Зафаробод ПТК 1 май_Апрел кр такс иш хаки тулик 5.04.08 МБ га" xfId="4017"/>
    <cellStyle name="_Зафаробод ПТК 1 май_Марказга1" xfId="4018"/>
    <cellStyle name="_Зафаробод ПТК 1 май_Марказга1" xfId="4019"/>
    <cellStyle name="_Зафаробод-19-олтин" xfId="4020"/>
    <cellStyle name="_Зафаробод-19-олтин" xfId="4021"/>
    <cellStyle name="_Зафаробод-19-олтин" xfId="4022"/>
    <cellStyle name="_Зафаробод-19-олтин" xfId="4023"/>
    <cellStyle name="_Зафаробод-19-олтин 2" xfId="4024"/>
    <cellStyle name="_Зафаробод-19-олтин 2" xfId="4025"/>
    <cellStyle name="_Зафаробод-19-олтин 2" xfId="4026"/>
    <cellStyle name="_Зафаробод-19-олтин 2" xfId="4027"/>
    <cellStyle name="_Зафаробод-19-олтин 3" xfId="4028"/>
    <cellStyle name="_Зафаробод-19-олтин 3" xfId="4029"/>
    <cellStyle name="_Зафаробод-19-олтин 3" xfId="4030"/>
    <cellStyle name="_Зафаробод-19-олтин 3" xfId="4031"/>
    <cellStyle name="_иктисодга" xfId="4032"/>
    <cellStyle name="_иктисодга" xfId="4033"/>
    <cellStyle name="_Иссикхона 20 апрел" xfId="4034"/>
    <cellStyle name="_Иссикхона 20 апрел" xfId="4035"/>
    <cellStyle name="_Карор буйича 31 октябр" xfId="4036"/>
    <cellStyle name="_Карор буйича 31 октябр" xfId="4037"/>
    <cellStyle name="_Карор буйича 31 октябр_10" xfId="4038"/>
    <cellStyle name="_Карор буйича 31 октябр_10" xfId="4039"/>
    <cellStyle name="_Карор буйича 31 октябр_Кашкадарё 22.11.10." xfId="4040"/>
    <cellStyle name="_Карор буйича 31 октябр_Кашкадарё 22.11.10." xfId="4041"/>
    <cellStyle name="_Карор буйича 31 октябр_Кашкадарё охиргиси 26.08.10." xfId="4042"/>
    <cellStyle name="_Карор буйича 31 октябр_Кашкадарё охиргиси 26.08.10." xfId="4043"/>
    <cellStyle name="_Карор буйича 31 октябр_Кашкадарё ЯНГИ" xfId="4044"/>
    <cellStyle name="_Карор буйича 31 октябр_Кашкадарё ЯНГИ" xfId="4045"/>
    <cellStyle name="_Карор буйича 31 октябр_Кашкадарья экспорт  2011-2015 гг Отабекка" xfId="4046"/>
    <cellStyle name="_Карор буйича 31 октябр_Кашкадарья экспорт  2011-2015 гг Отабекка" xfId="4047"/>
    <cellStyle name="_Карор буйича 31 октябр_Кашкадарья экспорт  2011-2015 гг Отабекка 2" xfId="4048"/>
    <cellStyle name="_Карор буйича 31 октябр_Кашкадарья экспорт  2011-2015 гг Отабекка 2" xfId="4049"/>
    <cellStyle name="_Карор буйича 31 октябр_Кашкадарья экспорт  2011-2015 гг Отабекка 3" xfId="4050"/>
    <cellStyle name="_Карор буйича 31 октябр_Кашкадарья экспорт  2011-2015 гг Отабекка 3" xfId="4051"/>
    <cellStyle name="_Карор буйича 31 октябр_Кашкадарья экспорт  2011-2015 гг Отабекка 4" xfId="4052"/>
    <cellStyle name="_Карор буйича 31 октябр_Кашкадарья экспорт  2011-2015 гг Отабекка 4" xfId="4053"/>
    <cellStyle name="_Карор буйича 31 октябр_Кашкадарья экспорт  2011-2015 гг Отабекка_7 илова" xfId="4054"/>
    <cellStyle name="_Карор буйича 31 октябр_Кашкадарья экспорт  2011-2015 гг Отабекка_7 илова" xfId="4055"/>
    <cellStyle name="_Карор буйича 31 октябр_Кашкадарья экспорт  2011-2015 гг Отабекка_7 илова 2" xfId="4056"/>
    <cellStyle name="_Карор буйича 31 октябр_Кашкадарья экспорт  2011-2015 гг Отабекка_7 илова 2" xfId="4057"/>
    <cellStyle name="_Карор буйича 31 октябр_Кашкадарья экспорт  2011-2015 гг Отабекка_7 илова 3" xfId="4058"/>
    <cellStyle name="_Карор буйича 31 октябр_Кашкадарья экспорт  2011-2015 гг Отабекка_7 илова 3" xfId="4059"/>
    <cellStyle name="_Карор буйича 31 октябр_Кашкадарья экспорт  2011-2015 гг Отабекка_7 илова 4" xfId="4060"/>
    <cellStyle name="_Карор буйича 31 октябр_Кашкадарья экспорт  2011-2015 гг Отабекка_7 илова 4" xfId="4061"/>
    <cellStyle name="_Карор буйича 31 октябр_Кашкадарья экспорт  2011-2015 гг Отабекка_Хоразм 2013-2015 саноат дастури 12.11.2012. 19-4812" xfId="4062"/>
    <cellStyle name="_Карор буйича 31 октябр_Кашкадарья экспорт  2011-2015 гг Отабекка_Хоразм 2013-2015 саноат дастури 12.11.2012. 19-4812" xfId="4063"/>
    <cellStyle name="_Карор буйича 31 октябр_Макет 11-15 Кашкадарё охиргиси 27.08.10." xfId="4064"/>
    <cellStyle name="_Карор буйича 31 октябр_Макет 11-15 Кашкадарё охиргиси 27.08.10." xfId="4065"/>
    <cellStyle name="_Карор буйича 31 октябр_Макет 11-15 Охиргиси" xfId="4066"/>
    <cellStyle name="_Карор буйича 31 октябр_Макет 11-15 Охиргиси" xfId="4067"/>
    <cellStyle name="_Карор буйича 31 октябр_Макет 16.08 Кашкадарё..янги" xfId="4068"/>
    <cellStyle name="_Карор буйича 31 октябр_Макет 16.08 Кашкадарё..янги" xfId="4069"/>
    <cellStyle name="_Карор буйича 31 октябр_Макет 7.08" xfId="4070"/>
    <cellStyle name="_Карор буйича 31 октябр_Макет 7.08" xfId="4071"/>
    <cellStyle name="_Карор буйича 31 октябр_Макет 7.08 2" xfId="4072"/>
    <cellStyle name="_Карор буйича 31 октябр_Макет 7.08 2" xfId="4073"/>
    <cellStyle name="_Карор буйича 31 октябр_Макет 7.08 3" xfId="4074"/>
    <cellStyle name="_Карор буйича 31 октябр_Макет 7.08 3" xfId="4075"/>
    <cellStyle name="_Карор буйича 31 октябр_Макет 7.08 4" xfId="4076"/>
    <cellStyle name="_Карор буйича 31 октябр_Макет 7.08 4" xfId="4077"/>
    <cellStyle name="_Карор буйича 31 октябр_Макет 7.08_7 илова" xfId="4078"/>
    <cellStyle name="_Карор буйича 31 октябр_Макет 7.08_7 илова" xfId="4079"/>
    <cellStyle name="_Карор буйича 31 октябр_Макет 7.08_7 илова 2" xfId="4080"/>
    <cellStyle name="_Карор буйича 31 октябр_Макет 7.08_7 илова 2" xfId="4081"/>
    <cellStyle name="_Карор буйича 31 октябр_Макет 7.08_7 илова 3" xfId="4082"/>
    <cellStyle name="_Карор буйича 31 октябр_Макет 7.08_7 илова 3" xfId="4083"/>
    <cellStyle name="_Карор буйича 31 октябр_Макет 7.08_7 илова 4" xfId="4084"/>
    <cellStyle name="_Карор буйича 31 октябр_Макет 7.08_7 илова 4" xfId="4085"/>
    <cellStyle name="_Карор буйича 31 октябр_Макет 7.08_Хоразм 2013-2015 саноат дастури 12.11.2012. 19-4812" xfId="4086"/>
    <cellStyle name="_Карор буйича 31 октябр_Макет 7.08_Хоразм 2013-2015 саноат дастури 12.11.2012. 19-4812" xfId="4087"/>
    <cellStyle name="_Карор буйича 31 октябр_Наманган 2011-15  САНОАТ ДАСТУРИ" xfId="4088"/>
    <cellStyle name="_Карор буйича 31 октябр_Наманган 2011-15  САНОАТ ДАСТУРИ" xfId="4089"/>
    <cellStyle name="_Карор буйича 31 октябр_Наманган 2011-15  САНОАТ ДАСТУРИ 2" xfId="4090"/>
    <cellStyle name="_Карор буйича 31 октябр_Наманган 2011-15  САНОАТ ДАСТУРИ 2" xfId="4091"/>
    <cellStyle name="_Карор буйича 31 октябр_Наманган 2011-15  САНОАТ ДАСТУРИ 3" xfId="4092"/>
    <cellStyle name="_Карор буйича 31 октябр_Наманган 2011-15  САНОАТ ДАСТУРИ 3" xfId="4093"/>
    <cellStyle name="_Карор буйича 31 октябр_Наманган 2011-15  САНОАТ ДАСТУРИ 4" xfId="4094"/>
    <cellStyle name="_Карор буйича 31 октябр_Наманган 2011-15  САНОАТ ДАСТУРИ 4" xfId="4095"/>
    <cellStyle name="_Карор буйича 31 октябр_Наманган 2011-15  САНОАТ ДАСТУРИ_7 илова" xfId="4096"/>
    <cellStyle name="_Карор буйича 31 октябр_Наманган 2011-15  САНОАТ ДАСТУРИ_7 илова" xfId="4097"/>
    <cellStyle name="_Карор буйича 31 октябр_Наманган 2011-15  САНОАТ ДАСТУРИ_7 илова 2" xfId="4098"/>
    <cellStyle name="_Карор буйича 31 октябр_Наманган 2011-15  САНОАТ ДАСТУРИ_7 илова 2" xfId="4099"/>
    <cellStyle name="_Карор буйича 31 октябр_Наманган 2011-15  САНОАТ ДАСТУРИ_7 илова 3" xfId="4100"/>
    <cellStyle name="_Карор буйича 31 октябр_Наманган 2011-15  САНОАТ ДАСТУРИ_7 илова 3" xfId="4101"/>
    <cellStyle name="_Карор буйича 31 октябр_Наманган 2011-15  САНОАТ ДАСТУРИ_7 илова 4" xfId="4102"/>
    <cellStyle name="_Карор буйича 31 октябр_Наманган 2011-15  САНОАТ ДАСТУРИ_7 илова 4" xfId="4103"/>
    <cellStyle name="_Карор буйича 31 октябр_Наманган 2011-15  САНОАТ ДАСТУРИ_Хоразм 2013-2015 саноат дастури 12.11.2012. 19-4812" xfId="4104"/>
    <cellStyle name="_Карор буйича 31 октябр_Наманган 2011-15  САНОАТ ДАСТУРИ_Хоразм 2013-2015 саноат дастури 12.11.2012. 19-4812" xfId="4105"/>
    <cellStyle name="_Карор буйича охирги" xfId="4106"/>
    <cellStyle name="_Карор буйича охирги" xfId="4107"/>
    <cellStyle name="_ЛИЗИНГ МОНИТОРИНГИ-1.11.08й русумлар буйича" xfId="4108"/>
    <cellStyle name="_ЛИЗИНГ МОНИТОРИНГИ-1.11.08й русумлар буйича" xfId="4109"/>
    <cellStyle name="_ЛИЗИНГ МОНИТОРИНГИ-1.11.08й русумлар буйича" xfId="4110"/>
    <cellStyle name="_ЛИЗИНГ МОНИТОРИНГИ-1.11.08й русумлар буйича" xfId="4111"/>
    <cellStyle name="_МАЙ кредит таксимоти 7 май БАНКЛАРГА" xfId="4112"/>
    <cellStyle name="_МАЙ кредит таксимоти 7 май БАНКЛАРГА" xfId="4113"/>
    <cellStyle name="_МАЙ кредит таксимоти 7 май БАНКЛАРГА" xfId="4114"/>
    <cellStyle name="_МАЙ кредит таксимоти 7 май БАНКЛАРГА" xfId="4115"/>
    <cellStyle name="_МАЙ кредит таксимоти 7 май БАНКЛАРГА 2" xfId="4116"/>
    <cellStyle name="_МАЙ кредит таксимоти 7 май БАНКЛАРГА 2" xfId="4117"/>
    <cellStyle name="_МАЙ кредит таксимоти 7 май БАНКЛАРГА 2" xfId="4118"/>
    <cellStyle name="_МАЙ кредит таксимоти 7 май БАНКЛАРГА 2" xfId="4119"/>
    <cellStyle name="_МАЙ кредит таксимоти 7 май БАНКЛАРГА 3" xfId="4120"/>
    <cellStyle name="_МАЙ кредит таксимоти 7 май БАНКЛАРГА 3" xfId="4121"/>
    <cellStyle name="_МАЙ кредит таксимоти 7 май БАНКЛАРГА 3" xfId="4122"/>
    <cellStyle name="_МАЙ кредит таксимоти 7 май БАНКЛАРГА 3" xfId="4123"/>
    <cellStyle name="_МАЙ кредит таксимоти 7 май БАНКЛАРГА_2008 йил 1-декабр-сводлар-узгарди" xfId="4124"/>
    <cellStyle name="_МАЙ кредит таксимоти 7 май БАНКЛАРГА_2008 йил 1-декабр-сводлар-узгарди" xfId="4125"/>
    <cellStyle name="_МАЙ кредит таксимоти 7 май БАНКЛАРГА_2008 йил 1-ноябр-баланс билан" xfId="4126"/>
    <cellStyle name="_МАЙ кредит таксимоти 7 май БАНКЛАРГА_2008 йил 1-ноябр-баланс билан" xfId="4127"/>
    <cellStyle name="_МАЙ кредит таксимоти 7 май БАНКЛАРГА_2008 ОКТЯБР ишчи жадвал формула" xfId="4128"/>
    <cellStyle name="_МАЙ кредит таксимоти 7 май БАНКЛАРГА_2008 ОКТЯБР ишчи жадвал формула" xfId="4129"/>
    <cellStyle name="_МАЙ кредит таксимоти 7 май БАНКЛАРГА_2008 ОКТЯБР ишчи жадвал формула" xfId="4130"/>
    <cellStyle name="_МАЙ кредит таксимоти 7 май БАНКЛАРГА_2008 ОКТЯБР ишчи жадвал формула" xfId="4131"/>
    <cellStyle name="_МАЙ кредит таксимоти 7 май БАНКЛАРГА_2008 ОКТЯБР ишчи жадвал формула_2008 йил 1-декабр-сводлар-узгарди" xfId="4132"/>
    <cellStyle name="_МАЙ кредит таксимоти 7 май БАНКЛАРГА_2008 ОКТЯБР ишчи жадвал формула_2008 йил 1-декабр-сводлар-узгарди" xfId="4133"/>
    <cellStyle name="_МАЙ кредит таксимоти 7 май БАНКЛАРГА_2008 ОКТЯБР ишчи жадвал формула_2008 йил 1-декабр-сводлар-узгарди" xfId="4134"/>
    <cellStyle name="_МАЙ кредит таксимоти 7 май БАНКЛАРГА_2008 ОКТЯБР ишчи жадвал формула_2008 йил 1-декабр-сводлар-узгарди" xfId="4135"/>
    <cellStyle name="_МАЙ кредит таксимоти 7 май БАНКЛАРГА_2008 ОКТЯБР ишчи жадвал формула_2008 йил 1-ноябр-баланс билан" xfId="4136"/>
    <cellStyle name="_МАЙ кредит таксимоти 7 май БАНКЛАРГА_2008 ОКТЯБР ишчи жадвал формула_2008 йил 1-ноябр-баланс билан" xfId="4137"/>
    <cellStyle name="_МАЙ кредит таксимоти 7 май БАНКЛАРГА_2008 ОКТЯБР ишчи жадвал формула_2008 йил 1-ноябр-баланс билан" xfId="4138"/>
    <cellStyle name="_МАЙ кредит таксимоти 7 май БАНКЛАРГА_2008 ОКТЯБР ишчи жадвал формула_2008 йил 1-ноябр-баланс билан" xfId="4139"/>
    <cellStyle name="_МАЙ кредит таксимоти 7 май БАНКЛАРГА_2008_iil_APREL_ishchi_zhadval_formula2-СВОД" xfId="4140"/>
    <cellStyle name="_МАЙ кредит таксимоти 7 май БАНКЛАРГА_2008_iil_APREL_ishchi_zhadval_formula2-СВОД" xfId="4141"/>
    <cellStyle name="_МАЙ кредит таксимоти 7 май БАНКЛАРГА_2008_iil_APREL_ishchi_zhadval_formula2-СВОД" xfId="4142"/>
    <cellStyle name="_МАЙ кредит таксимоти 7 май БАНКЛАРГА_2008_iil_APREL_ishchi_zhadval_formula2-СВОД" xfId="4143"/>
    <cellStyle name="_МАЙ кредит таксимоти 7 май БАНКЛАРГА_Апрел кр такс иш хаки тулик 5.04.08 МБ га" xfId="4144"/>
    <cellStyle name="_МАЙ кредит таксимоти 7 май БАНКЛАРГА_Апрел кр такс иш хаки тулик 5.04.08 МБ га" xfId="4145"/>
    <cellStyle name="_Май ойи кредит 14-05-07" xfId="4146"/>
    <cellStyle name="_Май ойи кредит 14-05-07" xfId="4147"/>
    <cellStyle name="_Май ойи кредит 14-05-07" xfId="4148"/>
    <cellStyle name="_Май ойи кредит 14-05-07" xfId="4149"/>
    <cellStyle name="_Май ойи кредит 14-05-07 2" xfId="4150"/>
    <cellStyle name="_Май ойи кредит 14-05-07 2" xfId="4151"/>
    <cellStyle name="_Май ойи кредит 14-05-07 2" xfId="4152"/>
    <cellStyle name="_Май ойи кредит 14-05-07 2" xfId="4153"/>
    <cellStyle name="_Май ойи кредит 14-05-07 3" xfId="4154"/>
    <cellStyle name="_Май ойи кредит 14-05-07 3" xfId="4155"/>
    <cellStyle name="_Май ойи кредит 14-05-07 3" xfId="4156"/>
    <cellStyle name="_Май ойи кредит 14-05-07 3" xfId="4157"/>
    <cellStyle name="_Май ойи кредит 15-05-07 Вилоятга" xfId="4158"/>
    <cellStyle name="_Май ойи кредит 15-05-07 Вилоятга" xfId="4159"/>
    <cellStyle name="_Май ойи кредит 15-05-07 Вилоятга" xfId="4160"/>
    <cellStyle name="_Май ойи кредит 15-05-07 Вилоятга" xfId="4161"/>
    <cellStyle name="_Май ойи кредит 15-05-07 Вилоятга 2" xfId="4162"/>
    <cellStyle name="_Май ойи кредит 15-05-07 Вилоятга 2" xfId="4163"/>
    <cellStyle name="_Май ойи кредит 15-05-07 Вилоятга 2" xfId="4164"/>
    <cellStyle name="_Май ойи кредит 15-05-07 Вилоятга 2" xfId="4165"/>
    <cellStyle name="_Май ойи кредит 15-05-07 Вилоятга 3" xfId="4166"/>
    <cellStyle name="_Май ойи кредит 15-05-07 Вилоятга 3" xfId="4167"/>
    <cellStyle name="_Май ойи кредит 15-05-07 Вилоятга 3" xfId="4168"/>
    <cellStyle name="_Май ойи кредит 15-05-07 Вилоятга 3" xfId="4169"/>
    <cellStyle name="_Май ойи кредит 23-05-07 Вилоятга" xfId="4170"/>
    <cellStyle name="_Май ойи кредит 23-05-07 Вилоятга" xfId="4171"/>
    <cellStyle name="_Май ойи кредит 23-05-07 Вилоятга" xfId="4172"/>
    <cellStyle name="_Май ойи кредит 23-05-07 Вилоятга" xfId="4173"/>
    <cellStyle name="_Май ойи кредит 23-05-07 Вилоятга 2" xfId="4174"/>
    <cellStyle name="_Май ойи кредит 23-05-07 Вилоятга 2" xfId="4175"/>
    <cellStyle name="_Май ойи кредит 23-05-07 Вилоятга 2" xfId="4176"/>
    <cellStyle name="_Май ойи кредит 23-05-07 Вилоятга 2" xfId="4177"/>
    <cellStyle name="_Май ойи кредит 23-05-07 Вилоятга 3" xfId="4178"/>
    <cellStyle name="_Май ойи кредит 23-05-07 Вилоятга 3" xfId="4179"/>
    <cellStyle name="_Май ойи кредит 23-05-07 Вилоятга 3" xfId="4180"/>
    <cellStyle name="_Май ойи кредит 23-05-07 Вилоятга 3" xfId="4181"/>
    <cellStyle name="_Макет мониторинг 2009" xfId="4182"/>
    <cellStyle name="_Макет мониторинг 2009" xfId="4183"/>
    <cellStyle name="_Макет мониторинг 2009_10" xfId="4184"/>
    <cellStyle name="_Макет мониторинг 2009_10" xfId="4185"/>
    <cellStyle name="_Макет мониторинг 2009_Карор буйича охирги" xfId="4186"/>
    <cellStyle name="_Макет мониторинг 2009_Карор буйича охирги" xfId="4187"/>
    <cellStyle name="_Макет мониторинг 2009_Кашкадарё 22.11.10." xfId="4188"/>
    <cellStyle name="_Макет мониторинг 2009_Кашкадарё 22.11.10." xfId="4189"/>
    <cellStyle name="_Макет мониторинг 2009_Кашкадарё охиргиси 26.08.10." xfId="4190"/>
    <cellStyle name="_Макет мониторинг 2009_Кашкадарё охиргиси 26.08.10." xfId="4191"/>
    <cellStyle name="_Макет мониторинг 2009_Кашкадарё ЯНГИ" xfId="4192"/>
    <cellStyle name="_Макет мониторинг 2009_Кашкадарё ЯНГИ" xfId="4193"/>
    <cellStyle name="_Макет мониторинг 2009_Кашкадарья экспорт  2011-2015 гг Отабекка" xfId="4194"/>
    <cellStyle name="_Макет мониторинг 2009_Кашкадарья экспорт  2011-2015 гг Отабекка" xfId="4195"/>
    <cellStyle name="_Макет мониторинг 2009_Кашкадарья экспорт  2011-2015 гг Отабекка 2" xfId="4196"/>
    <cellStyle name="_Макет мониторинг 2009_Кашкадарья экспорт  2011-2015 гг Отабекка 2" xfId="4197"/>
    <cellStyle name="_Макет мониторинг 2009_Кашкадарья экспорт  2011-2015 гг Отабекка 3" xfId="4198"/>
    <cellStyle name="_Макет мониторинг 2009_Кашкадарья экспорт  2011-2015 гг Отабекка 3" xfId="4199"/>
    <cellStyle name="_Макет мониторинг 2009_Кашкадарья экспорт  2011-2015 гг Отабекка 4" xfId="4200"/>
    <cellStyle name="_Макет мониторинг 2009_Кашкадарья экспорт  2011-2015 гг Отабекка 4" xfId="4201"/>
    <cellStyle name="_Макет мониторинг 2009_Кашкадарья экспорт  2011-2015 гг Отабекка_7 илова" xfId="4202"/>
    <cellStyle name="_Макет мониторинг 2009_Кашкадарья экспорт  2011-2015 гг Отабекка_7 илова" xfId="4203"/>
    <cellStyle name="_Макет мониторинг 2009_Кашкадарья экспорт  2011-2015 гг Отабекка_7 илова 2" xfId="4204"/>
    <cellStyle name="_Макет мониторинг 2009_Кашкадарья экспорт  2011-2015 гг Отабекка_7 илова 2" xfId="4205"/>
    <cellStyle name="_Макет мониторинг 2009_Кашкадарья экспорт  2011-2015 гг Отабекка_7 илова 3" xfId="4206"/>
    <cellStyle name="_Макет мониторинг 2009_Кашкадарья экспорт  2011-2015 гг Отабекка_7 илова 3" xfId="4207"/>
    <cellStyle name="_Макет мониторинг 2009_Кашкадарья экспорт  2011-2015 гг Отабекка_7 илова 4" xfId="4208"/>
    <cellStyle name="_Макет мониторинг 2009_Кашкадарья экспорт  2011-2015 гг Отабекка_7 илова 4" xfId="4209"/>
    <cellStyle name="_Макет мониторинг 2009_Кашкадарья экспорт  2011-2015 гг Отабекка_Хоразм 2013-2015 саноат дастури 12.11.2012. 19-4812" xfId="4210"/>
    <cellStyle name="_Макет мониторинг 2009_Кашкадарья экспорт  2011-2015 гг Отабекка_Хоразм 2013-2015 саноат дастури 12.11.2012. 19-4812" xfId="4211"/>
    <cellStyle name="_Макет мониторинг 2009_Макет 11-15 Кашкадарё охиргиси 27.08.10." xfId="4212"/>
    <cellStyle name="_Макет мониторинг 2009_Макет 11-15 Кашкадарё охиргиси 27.08.10." xfId="4213"/>
    <cellStyle name="_Макет мониторинг 2009_Макет 11-15 Охиргиси" xfId="4214"/>
    <cellStyle name="_Макет мониторинг 2009_Макет 11-15 Охиргиси" xfId="4215"/>
    <cellStyle name="_Макет мониторинг 2009_Макет 16.08 Кашкадарё..янги" xfId="4216"/>
    <cellStyle name="_Макет мониторинг 2009_Макет 16.08 Кашкадарё..янги" xfId="4217"/>
    <cellStyle name="_Макет мониторинг 2009_Макет 7.08" xfId="4218"/>
    <cellStyle name="_Макет мониторинг 2009_Макет 7.08" xfId="4219"/>
    <cellStyle name="_Макет мониторинг 2009_Макет 7.08 2" xfId="4220"/>
    <cellStyle name="_Макет мониторинг 2009_Макет 7.08 2" xfId="4221"/>
    <cellStyle name="_Макет мониторинг 2009_Макет 7.08 3" xfId="4222"/>
    <cellStyle name="_Макет мониторинг 2009_Макет 7.08 3" xfId="4223"/>
    <cellStyle name="_Макет мониторинг 2009_Макет 7.08 4" xfId="4224"/>
    <cellStyle name="_Макет мониторинг 2009_Макет 7.08 4" xfId="4225"/>
    <cellStyle name="_Макет мониторинг 2009_Макет 7.08_7 илова" xfId="4226"/>
    <cellStyle name="_Макет мониторинг 2009_Макет 7.08_7 илова" xfId="4227"/>
    <cellStyle name="_Макет мониторинг 2009_Макет 7.08_7 илова 2" xfId="4228"/>
    <cellStyle name="_Макет мониторинг 2009_Макет 7.08_7 илова 2" xfId="4229"/>
    <cellStyle name="_Макет мониторинг 2009_Макет 7.08_7 илова 3" xfId="4230"/>
    <cellStyle name="_Макет мониторинг 2009_Макет 7.08_7 илова 3" xfId="4231"/>
    <cellStyle name="_Макет мониторинг 2009_Макет 7.08_7 илова 4" xfId="4232"/>
    <cellStyle name="_Макет мониторинг 2009_Макет 7.08_7 илова 4" xfId="4233"/>
    <cellStyle name="_Макет мониторинг 2009_Макет 7.08_Хоразм 2013-2015 саноат дастури 12.11.2012. 19-4812" xfId="4234"/>
    <cellStyle name="_Макет мониторинг 2009_Макет 7.08_Хоразм 2013-2015 саноат дастури 12.11.2012. 19-4812" xfId="4235"/>
    <cellStyle name="_Макет мониторинг 2009_Наманган 2011-15  САНОАТ ДАСТУРИ" xfId="4236"/>
    <cellStyle name="_Макет мониторинг 2009_Наманган 2011-15  САНОАТ ДАСТУРИ" xfId="4237"/>
    <cellStyle name="_Макет мониторинг 2009_Наманган 2011-15  САНОАТ ДАСТУРИ 2" xfId="4238"/>
    <cellStyle name="_Макет мониторинг 2009_Наманган 2011-15  САНОАТ ДАСТУРИ 2" xfId="4239"/>
    <cellStyle name="_Макет мониторинг 2009_Наманган 2011-15  САНОАТ ДАСТУРИ 3" xfId="4240"/>
    <cellStyle name="_Макет мониторинг 2009_Наманган 2011-15  САНОАТ ДАСТУРИ 3" xfId="4241"/>
    <cellStyle name="_Макет мониторинг 2009_Наманган 2011-15  САНОАТ ДАСТУРИ 4" xfId="4242"/>
    <cellStyle name="_Макет мониторинг 2009_Наманган 2011-15  САНОАТ ДАСТУРИ 4" xfId="4243"/>
    <cellStyle name="_Макет мониторинг 2009_Наманган 2011-15  САНОАТ ДАСТУРИ_7 илова" xfId="4244"/>
    <cellStyle name="_Макет мониторинг 2009_Наманган 2011-15  САНОАТ ДАСТУРИ_7 илова" xfId="4245"/>
    <cellStyle name="_Макет мониторинг 2009_Наманган 2011-15  САНОАТ ДАСТУРИ_7 илова 2" xfId="4246"/>
    <cellStyle name="_Макет мониторинг 2009_Наманган 2011-15  САНОАТ ДАСТУРИ_7 илова 2" xfId="4247"/>
    <cellStyle name="_Макет мониторинг 2009_Наманган 2011-15  САНОАТ ДАСТУРИ_7 илова 3" xfId="4248"/>
    <cellStyle name="_Макет мониторинг 2009_Наманган 2011-15  САНОАТ ДАСТУРИ_7 илова 3" xfId="4249"/>
    <cellStyle name="_Макет мониторинг 2009_Наманган 2011-15  САНОАТ ДАСТУРИ_7 илова 4" xfId="4250"/>
    <cellStyle name="_Макет мониторинг 2009_Наманган 2011-15  САНОАТ ДАСТУРИ_7 илова 4" xfId="4251"/>
    <cellStyle name="_Макет мониторинг 2009_Наманган 2011-15  САНОАТ ДАСТУРИ_Хоразм 2013-2015 саноат дастури 12.11.2012. 19-4812" xfId="4252"/>
    <cellStyle name="_Макет мониторинг 2009_Наманган 2011-15  САНОАТ ДАСТУРИ_Хоразм 2013-2015 саноат дастури 12.11.2012. 19-4812" xfId="4253"/>
    <cellStyle name="_Март ойи талаби вилоят" xfId="4254"/>
    <cellStyle name="_Март ойи талаби вилоят" xfId="4255"/>
    <cellStyle name="_Март ойи талаби вилоят" xfId="4256"/>
    <cellStyle name="_Март ойи талаби вилоят" xfId="4257"/>
    <cellStyle name="_Март ойига талаб арнасой" xfId="4258"/>
    <cellStyle name="_Март ойига талаб арнасой" xfId="4259"/>
    <cellStyle name="_Март ойига талаб арнасой" xfId="4260"/>
    <cellStyle name="_Март ойига талаб арнасой" xfId="4261"/>
    <cellStyle name="_Март ойига талаб арнасой_УХКМ ва БИО форма 01. 02. 09" xfId="4262"/>
    <cellStyle name="_Март ойига талаб арнасой_УХКМ ва БИО форма 01. 02. 09" xfId="4263"/>
    <cellStyle name="_Март ойига талаб арнасой_УХКМ ва БИО форма 01. 02. 09" xfId="4264"/>
    <cellStyle name="_Март ойига талаб арнасой_УХКМ ва БИО форма 01. 02. 09" xfId="4265"/>
    <cellStyle name="_МАРТ-СВОД-01" xfId="4266"/>
    <cellStyle name="_МАРТ-СВОД-01" xfId="4267"/>
    <cellStyle name="_МАРТ-СВОД-01" xfId="4268"/>
    <cellStyle name="_МАРТ-СВОД-01" xfId="4269"/>
    <cellStyle name="_МВЭС Хусанбой" xfId="4270"/>
    <cellStyle name="_МВЭС Хусанбой" xfId="4271"/>
    <cellStyle name="_МВЭС2" xfId="4272"/>
    <cellStyle name="_МВЭС2" xfId="4273"/>
    <cellStyle name="_минитех 27 талик" xfId="4274"/>
    <cellStyle name="_минитех 27 талик" xfId="4275"/>
    <cellStyle name="_Минитехнология - 2009" xfId="4276"/>
    <cellStyle name="_Минитехнология - 2009" xfId="4277"/>
    <cellStyle name="_Мирзачул 24-10-2007 йил" xfId="4278"/>
    <cellStyle name="_Мирзачул 24-10-2007 йил" xfId="4279"/>
    <cellStyle name="_Мирзачул 24-10-2007 йил" xfId="4280"/>
    <cellStyle name="_Мирзачул 24-10-2007 йил" xfId="4281"/>
    <cellStyle name="_Мирзачул 24-10-2007 йил 2" xfId="4282"/>
    <cellStyle name="_Мирзачул 24-10-2007 йил 2" xfId="4283"/>
    <cellStyle name="_Мирзачул 24-10-2007 йил 2" xfId="4284"/>
    <cellStyle name="_Мирзачул 24-10-2007 йил 2" xfId="4285"/>
    <cellStyle name="_Мирзачул 24-10-2007 йил 3" xfId="4286"/>
    <cellStyle name="_Мирзачул 24-10-2007 йил 3" xfId="4287"/>
    <cellStyle name="_Мирзачул 24-10-2007 йил 3" xfId="4288"/>
    <cellStyle name="_Мирзачул 24-10-2007 йил 3" xfId="4289"/>
    <cellStyle name="_Мирзачул 27-10-2007 йил" xfId="4290"/>
    <cellStyle name="_Мирзачул 27-10-2007 йил" xfId="4291"/>
    <cellStyle name="_Мирзачул 27-10-2007 йил" xfId="4292"/>
    <cellStyle name="_Мирзачул 27-10-2007 йил" xfId="4293"/>
    <cellStyle name="_Мирзачул 27-10-2007 йил 2" xfId="4294"/>
    <cellStyle name="_Мирзачул 27-10-2007 йил 2" xfId="4295"/>
    <cellStyle name="_Мирзачул 27-10-2007 йил 2" xfId="4296"/>
    <cellStyle name="_Мирзачул 27-10-2007 йил 2" xfId="4297"/>
    <cellStyle name="_Мирзачул 27-10-2007 йил 3" xfId="4298"/>
    <cellStyle name="_Мирзачул 27-10-2007 йил 3" xfId="4299"/>
    <cellStyle name="_Мирзачул 27-10-2007 йил 3" xfId="4300"/>
    <cellStyle name="_Мирзачул 27-10-2007 йил 3" xfId="4301"/>
    <cellStyle name="_Мирзачул пахта 07-06-07" xfId="4302"/>
    <cellStyle name="_Мирзачул пахта 07-06-07" xfId="4303"/>
    <cellStyle name="_Мирзачул пахта 07-06-07" xfId="4304"/>
    <cellStyle name="_Мирзачул пахта 07-06-07" xfId="4305"/>
    <cellStyle name="_Мирзачул пахта 07-06-07 2" xfId="4306"/>
    <cellStyle name="_Мирзачул пахта 07-06-07 2" xfId="4307"/>
    <cellStyle name="_Мирзачул пахта 07-06-07 2" xfId="4308"/>
    <cellStyle name="_Мирзачул пахта 07-06-07 2" xfId="4309"/>
    <cellStyle name="_Мирзачул пахта 07-06-07 3" xfId="4310"/>
    <cellStyle name="_Мирзачул пахта 07-06-07 3" xfId="4311"/>
    <cellStyle name="_Мирзачул пахта 07-06-07 3" xfId="4312"/>
    <cellStyle name="_Мирзачул пахта 07-06-07 3" xfId="4313"/>
    <cellStyle name="_Мирзачул пахта 07-06-07_2008 йил 1-декабр-сводлар-узгарди" xfId="4314"/>
    <cellStyle name="_Мирзачул пахта 07-06-07_2008 йил 1-декабр-сводлар-узгарди" xfId="4315"/>
    <cellStyle name="_Мирзачул пахта 07-06-07_2008 йил 1-ноябр-баланс билан" xfId="4316"/>
    <cellStyle name="_Мирзачул пахта 07-06-07_2008 йил 1-ноябр-баланс билан" xfId="4317"/>
    <cellStyle name="_Мирзачул пахта 07-06-07_2008 ОКТЯБР ишчи жадвал формула" xfId="4318"/>
    <cellStyle name="_Мирзачул пахта 07-06-07_2008 ОКТЯБР ишчи жадвал формула" xfId="4319"/>
    <cellStyle name="_Мирзачул пахта 07-06-07_2008 ОКТЯБР ишчи жадвал формула" xfId="4320"/>
    <cellStyle name="_Мирзачул пахта 07-06-07_2008 ОКТЯБР ишчи жадвал формула" xfId="4321"/>
    <cellStyle name="_Мирзачул пахта 07-06-07_2008 ОКТЯБР ишчи жадвал формула_2008 йил 1-декабр-сводлар-узгарди" xfId="4322"/>
    <cellStyle name="_Мирзачул пахта 07-06-07_2008 ОКТЯБР ишчи жадвал формула_2008 йил 1-декабр-сводлар-узгарди" xfId="4323"/>
    <cellStyle name="_Мирзачул пахта 07-06-07_2008 ОКТЯБР ишчи жадвал формула_2008 йил 1-декабр-сводлар-узгарди" xfId="4324"/>
    <cellStyle name="_Мирзачул пахта 07-06-07_2008 ОКТЯБР ишчи жадвал формула_2008 йил 1-декабр-сводлар-узгарди" xfId="4325"/>
    <cellStyle name="_Мирзачул пахта 07-06-07_2008 ОКТЯБР ишчи жадвал формула_2008 йил 1-ноябр-баланс билан" xfId="4326"/>
    <cellStyle name="_Мирзачул пахта 07-06-07_2008 ОКТЯБР ишчи жадвал формула_2008 йил 1-ноябр-баланс билан" xfId="4327"/>
    <cellStyle name="_Мирзачул пахта 07-06-07_2008 ОКТЯБР ишчи жадвал формула_2008 йил 1-ноябр-баланс билан" xfId="4328"/>
    <cellStyle name="_Мирзачул пахта 07-06-07_2008 ОКТЯБР ишчи жадвал формула_2008 йил 1-ноябр-баланс билан" xfId="4329"/>
    <cellStyle name="_Мирзачул пахта 07-06-07_2008_iil_APREL_ishchi_zhadval_formula2-СВОД" xfId="4330"/>
    <cellStyle name="_Мирзачул пахта 07-06-07_2008_iil_APREL_ishchi_zhadval_formula2-СВОД" xfId="4331"/>
    <cellStyle name="_Мирзачул пахта 07-06-07_2008_iil_APREL_ishchi_zhadval_formula2-СВОД" xfId="4332"/>
    <cellStyle name="_Мирзачул пахта 07-06-07_2008_iil_APREL_ishchi_zhadval_formula2-СВОД" xfId="4333"/>
    <cellStyle name="_Мирзачул пахта 07-06-07_Апрел кр такс иш хаки тулик 5.04.08 МБ га" xfId="4334"/>
    <cellStyle name="_Мирзачул пахта 07-06-07_Апрел кр такс иш хаки тулик 5.04.08 МБ га" xfId="4335"/>
    <cellStyle name="_Мирзачул пахта 07-06-07_Марказга1" xfId="4336"/>
    <cellStyle name="_Мирзачул пахта 07-06-07_Марказга1" xfId="4337"/>
    <cellStyle name="_Мирзачул пахта 16-06-07" xfId="4338"/>
    <cellStyle name="_Мирзачул пахта 16-06-07" xfId="4339"/>
    <cellStyle name="_Мирзачул пахта 16-06-07" xfId="4340"/>
    <cellStyle name="_Мирзачул пахта 16-06-07" xfId="4341"/>
    <cellStyle name="_Мирзачул пахта 16-06-07 2" xfId="4342"/>
    <cellStyle name="_Мирзачул пахта 16-06-07 2" xfId="4343"/>
    <cellStyle name="_Мирзачул пахта 16-06-07 2" xfId="4344"/>
    <cellStyle name="_Мирзачул пахта 16-06-07 2" xfId="4345"/>
    <cellStyle name="_Мирзачул пахта 16-06-07 3" xfId="4346"/>
    <cellStyle name="_Мирзачул пахта 16-06-07 3" xfId="4347"/>
    <cellStyle name="_Мирзачул пахта 16-06-07 3" xfId="4348"/>
    <cellStyle name="_Мирзачул пахта 16-06-07 3" xfId="4349"/>
    <cellStyle name="_Мирзачул-16-11-07" xfId="4350"/>
    <cellStyle name="_Мирзачул-16-11-07" xfId="4351"/>
    <cellStyle name="_Мирзачул-16-11-07" xfId="4352"/>
    <cellStyle name="_Мирзачул-16-11-07" xfId="4353"/>
    <cellStyle name="_Мирзачул-16-11-07 2" xfId="4354"/>
    <cellStyle name="_Мирзачул-16-11-07 2" xfId="4355"/>
    <cellStyle name="_Мирзачул-16-11-07 2" xfId="4356"/>
    <cellStyle name="_Мирзачул-16-11-07 2" xfId="4357"/>
    <cellStyle name="_Мирзачул-16-11-07 3" xfId="4358"/>
    <cellStyle name="_Мирзачул-16-11-07 3" xfId="4359"/>
    <cellStyle name="_Мирзачул-16-11-07 3" xfId="4360"/>
    <cellStyle name="_Мирзачул-16-11-07 3" xfId="4361"/>
    <cellStyle name="_Мирзачул-19-олтин" xfId="4362"/>
    <cellStyle name="_Мирзачул-19-олтин" xfId="4363"/>
    <cellStyle name="_Мирзачул-19-олтин" xfId="4364"/>
    <cellStyle name="_Мирзачул-19-олтин" xfId="4365"/>
    <cellStyle name="_Мирзачул-19-олтин 2" xfId="4366"/>
    <cellStyle name="_Мирзачул-19-олтин 2" xfId="4367"/>
    <cellStyle name="_Мирзачул-19-олтин 2" xfId="4368"/>
    <cellStyle name="_Мирзачул-19-олтин 2" xfId="4369"/>
    <cellStyle name="_Мирзачул-19-олтин 3" xfId="4370"/>
    <cellStyle name="_Мирзачул-19-олтин 3" xfId="4371"/>
    <cellStyle name="_Мирзачул-19-олтин 3" xfId="4372"/>
    <cellStyle name="_Мирзачул-19-олтин 3" xfId="4373"/>
    <cellStyle name="_Мониторинг 01-05-07 Вилоят" xfId="4374"/>
    <cellStyle name="_Мониторинг 01-05-07 Вилоят" xfId="4375"/>
    <cellStyle name="_Мониторинг 01-05-07 Вилоят" xfId="4376"/>
    <cellStyle name="_Мониторинг 01-05-07 Вилоят" xfId="4377"/>
    <cellStyle name="_Мониторинг 01-05-07 Вилоят 2" xfId="4378"/>
    <cellStyle name="_Мониторинг 01-05-07 Вилоят 2" xfId="4379"/>
    <cellStyle name="_Мониторинг 01-05-07 Вилоят 2" xfId="4380"/>
    <cellStyle name="_Мониторинг 01-05-07 Вилоят 2" xfId="4381"/>
    <cellStyle name="_Мониторинг 01-05-07 Вилоят 3" xfId="4382"/>
    <cellStyle name="_Мониторинг 01-05-07 Вилоят 3" xfId="4383"/>
    <cellStyle name="_Мониторинг 01-05-07 Вилоят 3" xfId="4384"/>
    <cellStyle name="_Мониторинг 01-05-07 Вилоят 3" xfId="4385"/>
    <cellStyle name="_Мониторинг 30-04-07 Вилоят" xfId="4386"/>
    <cellStyle name="_Мониторинг 30-04-07 Вилоят" xfId="4387"/>
    <cellStyle name="_Мониторинг 30-04-07 Вилоят" xfId="4388"/>
    <cellStyle name="_Мониторинг 30-04-07 Вилоят" xfId="4389"/>
    <cellStyle name="_Мониторинг 30-04-07 Вилоят 2" xfId="4390"/>
    <cellStyle name="_Мониторинг 30-04-07 Вилоят 2" xfId="4391"/>
    <cellStyle name="_Мониторинг 30-04-07 Вилоят 2" xfId="4392"/>
    <cellStyle name="_Мониторинг 30-04-07 Вилоят 2" xfId="4393"/>
    <cellStyle name="_Мониторинг 30-04-07 Вилоят 3" xfId="4394"/>
    <cellStyle name="_Мониторинг 30-04-07 Вилоят 3" xfId="4395"/>
    <cellStyle name="_Мониторинг 30-04-07 Вилоят 3" xfId="4396"/>
    <cellStyle name="_Мониторинг 30-04-07 Вилоят 3" xfId="4397"/>
    <cellStyle name="_Мониторинг 31,08,06" xfId="4398"/>
    <cellStyle name="_Мониторинг 31,08,06" xfId="4399"/>
    <cellStyle name="_Мониторинг 31,08,06" xfId="4400"/>
    <cellStyle name="_Мониторинг 31,08,06" xfId="4401"/>
    <cellStyle name="_Мониторинг 31,08,06 2" xfId="4402"/>
    <cellStyle name="_Мониторинг 31,08,06 2" xfId="4403"/>
    <cellStyle name="_Мониторинг 31,08,06 3" xfId="4404"/>
    <cellStyle name="_Мониторинг 31,08,06 3" xfId="4405"/>
    <cellStyle name="_Мониторинг 31,08,06_УХКМ ва БИО форма 01. 02. 09" xfId="4406"/>
    <cellStyle name="_Мониторинг 31,08,06_УХКМ ва БИО форма 01. 02. 09" xfId="4407"/>
    <cellStyle name="_Мониторинг 31,08,06_УХКМ ва БИО форма 01. 02. 09" xfId="4408"/>
    <cellStyle name="_Мониторинг 31,08,06_УХКМ ва БИО форма 01. 02. 09" xfId="4409"/>
    <cellStyle name="_ОКИБ" xfId="4410"/>
    <cellStyle name="_ОКИБ" xfId="4411"/>
    <cellStyle name="_Октябр СВОД 01.10.2008й.холатига" xfId="4412"/>
    <cellStyle name="_Октябр СВОД 01.10.2008й.холатига" xfId="4413"/>
    <cellStyle name="_олтингугут" xfId="4414"/>
    <cellStyle name="_олтингугут" xfId="4415"/>
    <cellStyle name="_олтингугут" xfId="4416"/>
    <cellStyle name="_олтингугут" xfId="4417"/>
    <cellStyle name="_олтингугут 2" xfId="4418"/>
    <cellStyle name="_олтингугут 2" xfId="4419"/>
    <cellStyle name="_олтингугут 2" xfId="4420"/>
    <cellStyle name="_олтингугут 2" xfId="4421"/>
    <cellStyle name="_олтингугут 3" xfId="4422"/>
    <cellStyle name="_олтингугут 3" xfId="4423"/>
    <cellStyle name="_олтингугут 3" xfId="4424"/>
    <cellStyle name="_олтингугут 3" xfId="4425"/>
    <cellStyle name="_олтингугут_УХКМ ва БИО форма 01. 02. 09" xfId="4426"/>
    <cellStyle name="_олтингугут_УХКМ ва БИО форма 01. 02. 09" xfId="4427"/>
    <cellStyle name="_олтингугут_УХКМ ва БИО форма 01. 02. 09" xfId="4428"/>
    <cellStyle name="_олтингугут_УХКМ ва БИО форма 01. 02. 09" xfId="4429"/>
    <cellStyle name="_П+Г-2007 апрел_форма" xfId="4430"/>
    <cellStyle name="_П+Г-2007 апрел_форма" xfId="4431"/>
    <cellStyle name="_П+Г-2007 апрел_форма" xfId="4432"/>
    <cellStyle name="_П+Г-2007 апрел_форма" xfId="4433"/>
    <cellStyle name="_П+Г-2007 апрел_форма_2008 йил 1-декабр-сводлар-узгарди" xfId="4434"/>
    <cellStyle name="_П+Г-2007 апрел_форма_2008 йил 1-декабр-сводлар-узгарди" xfId="4435"/>
    <cellStyle name="_П+Г-2007 апрел_форма_2008 йил 1-ноябр-баланс билан" xfId="4436"/>
    <cellStyle name="_П+Г-2007 апрел_форма_2008 йил 1-ноябр-баланс билан" xfId="4437"/>
    <cellStyle name="_П+Г-2007 апрел_форма_2008 ОКТЯБР ишчи жадвал формула" xfId="4438"/>
    <cellStyle name="_П+Г-2007 апрел_форма_2008 ОКТЯБР ишчи жадвал формула" xfId="4439"/>
    <cellStyle name="_П+Г-2007 апрел_форма_2008 ОКТЯБР ишчи жадвал формула" xfId="4440"/>
    <cellStyle name="_П+Г-2007 апрел_форма_2008 ОКТЯБР ишчи жадвал формула" xfId="4441"/>
    <cellStyle name="_П+Г-2007 апрел_форма_2008 ОКТЯБР ишчи жадвал формула_2008 йил 1-декабр-сводлар-узгарди" xfId="4442"/>
    <cellStyle name="_П+Г-2007 апрел_форма_2008 ОКТЯБР ишчи жадвал формула_2008 йил 1-декабр-сводлар-узгарди" xfId="4443"/>
    <cellStyle name="_П+Г-2007 апрел_форма_2008 ОКТЯБР ишчи жадвал формула_2008 йил 1-декабр-сводлар-узгарди" xfId="4444"/>
    <cellStyle name="_П+Г-2007 апрел_форма_2008 ОКТЯБР ишчи жадвал формула_2008 йил 1-декабр-сводлар-узгарди" xfId="4445"/>
    <cellStyle name="_П+Г-2007 апрел_форма_2008 ОКТЯБР ишчи жадвал формула_2008 йил 1-ноябр-баланс билан" xfId="4446"/>
    <cellStyle name="_П+Г-2007 апрел_форма_2008 ОКТЯБР ишчи жадвал формула_2008 йил 1-ноябр-баланс билан" xfId="4447"/>
    <cellStyle name="_П+Г-2007 апрел_форма_2008 ОКТЯБР ишчи жадвал формула_2008 йил 1-ноябр-баланс билан" xfId="4448"/>
    <cellStyle name="_П+Г-2007 апрел_форма_2008 ОКТЯБР ишчи жадвал формула_2008 йил 1-ноябр-баланс билан" xfId="4449"/>
    <cellStyle name="_П+Г-2007 апрел_форма_2008_iil_APREL_ishchi_zhadval_formula2-СВОД" xfId="4450"/>
    <cellStyle name="_П+Г-2007 апрел_форма_2008_iil_APREL_ishchi_zhadval_formula2-СВОД" xfId="4451"/>
    <cellStyle name="_П+Г-2007 апрел_форма_2008_iil_APREL_ishchi_zhadval_formula2-СВОД" xfId="4452"/>
    <cellStyle name="_П+Г-2007 апрел_форма_2008_iil_APREL_ishchi_zhadval_formula2-СВОД" xfId="4453"/>
    <cellStyle name="_П+Г-2007 апрел_форма_Апрел кр такс иш хаки тулик 5.04.08 МБ га" xfId="4454"/>
    <cellStyle name="_П+Г-2007 апрел_форма_Апрел кр такс иш хаки тулик 5.04.08 МБ га" xfId="4455"/>
    <cellStyle name="_П+Г-2007 МАЙ_18" xfId="4456"/>
    <cellStyle name="_П+Г-2007 МАЙ_18" xfId="4457"/>
    <cellStyle name="_П+Г-2007 МАЙ_18" xfId="4458"/>
    <cellStyle name="_П+Г-2007 МАЙ_18" xfId="4459"/>
    <cellStyle name="_П+Г-2007 МАЙ_18_2008 йил 1-декабр-сводлар-узгарди" xfId="4460"/>
    <cellStyle name="_П+Г-2007 МАЙ_18_2008 йил 1-декабр-сводлар-узгарди" xfId="4461"/>
    <cellStyle name="_П+Г-2007 МАЙ_18_2008 йил 1-ноябр-баланс билан" xfId="4462"/>
    <cellStyle name="_П+Г-2007 МАЙ_18_2008 йил 1-ноябр-баланс билан" xfId="4463"/>
    <cellStyle name="_П+Г-2007 МАЙ_18_2008 ОКТЯБР ишчи жадвал формула" xfId="4464"/>
    <cellStyle name="_П+Г-2007 МАЙ_18_2008 ОКТЯБР ишчи жадвал формула" xfId="4465"/>
    <cellStyle name="_П+Г-2007 МАЙ_18_2008 ОКТЯБР ишчи жадвал формула" xfId="4466"/>
    <cellStyle name="_П+Г-2007 МАЙ_18_2008 ОКТЯБР ишчи жадвал формула" xfId="4467"/>
    <cellStyle name="_П+Г-2007 МАЙ_18_2008 ОКТЯБР ишчи жадвал формула_2008 йил 1-декабр-сводлар-узгарди" xfId="4468"/>
    <cellStyle name="_П+Г-2007 МАЙ_18_2008 ОКТЯБР ишчи жадвал формула_2008 йил 1-декабр-сводлар-узгарди" xfId="4469"/>
    <cellStyle name="_П+Г-2007 МАЙ_18_2008 ОКТЯБР ишчи жадвал формула_2008 йил 1-декабр-сводлар-узгарди" xfId="4470"/>
    <cellStyle name="_П+Г-2007 МАЙ_18_2008 ОКТЯБР ишчи жадвал формула_2008 йил 1-декабр-сводлар-узгарди" xfId="4471"/>
    <cellStyle name="_П+Г-2007 МАЙ_18_2008 ОКТЯБР ишчи жадвал формула_2008 йил 1-ноябр-баланс билан" xfId="4472"/>
    <cellStyle name="_П+Г-2007 МАЙ_18_2008 ОКТЯБР ишчи жадвал формула_2008 йил 1-ноябр-баланс билан" xfId="4473"/>
    <cellStyle name="_П+Г-2007 МАЙ_18_2008 ОКТЯБР ишчи жадвал формула_2008 йил 1-ноябр-баланс билан" xfId="4474"/>
    <cellStyle name="_П+Г-2007 МАЙ_18_2008 ОКТЯБР ишчи жадвал формула_2008 йил 1-ноябр-баланс билан" xfId="4475"/>
    <cellStyle name="_П+Г-2007 МАЙ_18_2008_iil_APREL_ishchi_zhadval_formula2-СВОД" xfId="4476"/>
    <cellStyle name="_П+Г-2007 МАЙ_18_2008_iil_APREL_ishchi_zhadval_formula2-СВОД" xfId="4477"/>
    <cellStyle name="_П+Г-2007 МАЙ_18_2008_iil_APREL_ishchi_zhadval_formula2-СВОД" xfId="4478"/>
    <cellStyle name="_П+Г-2007 МАЙ_18_2008_iil_APREL_ishchi_zhadval_formula2-СВОД" xfId="4479"/>
    <cellStyle name="_П+Г-2007 МАЙ_18_Апрел кр такс иш хаки тулик 5.04.08 МБ га" xfId="4480"/>
    <cellStyle name="_П+Г-2007 МАЙ_18_Апрел кр такс иш хаки тулик 5.04.08 МБ га" xfId="4481"/>
    <cellStyle name="_П+Г-2007 МАЙ_янги" xfId="4482"/>
    <cellStyle name="_П+Г-2007 МАЙ_янги" xfId="4483"/>
    <cellStyle name="_П+Г-2007 МАЙ_янги" xfId="4484"/>
    <cellStyle name="_П+Г-2007 МАЙ_янги" xfId="4485"/>
    <cellStyle name="_П+Г-2007 МАЙ_янги_2008 йил 1-декабр-сводлар-узгарди" xfId="4486"/>
    <cellStyle name="_П+Г-2007 МАЙ_янги_2008 йил 1-декабр-сводлар-узгарди" xfId="4487"/>
    <cellStyle name="_П+Г-2007 МАЙ_янги_2008 йил 1-ноябр-баланс билан" xfId="4488"/>
    <cellStyle name="_П+Г-2007 МАЙ_янги_2008 йил 1-ноябр-баланс билан" xfId="4489"/>
    <cellStyle name="_П+Г-2007 МАЙ_янги_2008 ОКТЯБР ишчи жадвал формула" xfId="4490"/>
    <cellStyle name="_П+Г-2007 МАЙ_янги_2008 ОКТЯБР ишчи жадвал формула" xfId="4491"/>
    <cellStyle name="_П+Г-2007 МАЙ_янги_2008 ОКТЯБР ишчи жадвал формула" xfId="4492"/>
    <cellStyle name="_П+Г-2007 МАЙ_янги_2008 ОКТЯБР ишчи жадвал формула" xfId="4493"/>
    <cellStyle name="_П+Г-2007 МАЙ_янги_2008 ОКТЯБР ишчи жадвал формула_2008 йил 1-декабр-сводлар-узгарди" xfId="4494"/>
    <cellStyle name="_П+Г-2007 МАЙ_янги_2008 ОКТЯБР ишчи жадвал формула_2008 йил 1-декабр-сводлар-узгарди" xfId="4495"/>
    <cellStyle name="_П+Г-2007 МАЙ_янги_2008 ОКТЯБР ишчи жадвал формула_2008 йил 1-декабр-сводлар-узгарди" xfId="4496"/>
    <cellStyle name="_П+Г-2007 МАЙ_янги_2008 ОКТЯБР ишчи жадвал формула_2008 йил 1-декабр-сводлар-узгарди" xfId="4497"/>
    <cellStyle name="_П+Г-2007 МАЙ_янги_2008 ОКТЯБР ишчи жадвал формула_2008 йил 1-ноябр-баланс билан" xfId="4498"/>
    <cellStyle name="_П+Г-2007 МАЙ_янги_2008 ОКТЯБР ишчи жадвал формула_2008 йил 1-ноябр-баланс билан" xfId="4499"/>
    <cellStyle name="_П+Г-2007 МАЙ_янги_2008 ОКТЯБР ишчи жадвал формула_2008 йил 1-ноябр-баланс билан" xfId="4500"/>
    <cellStyle name="_П+Г-2007 МАЙ_янги_2008 ОКТЯБР ишчи жадвал формула_2008 йил 1-ноябр-баланс билан" xfId="4501"/>
    <cellStyle name="_П+Г-2007 МАЙ_янги_2008_iil_APREL_ishchi_zhadval_formula2-СВОД" xfId="4502"/>
    <cellStyle name="_П+Г-2007 МАЙ_янги_2008_iil_APREL_ishchi_zhadval_formula2-СВОД" xfId="4503"/>
    <cellStyle name="_П+Г-2007 МАЙ_янги_2008_iil_APREL_ishchi_zhadval_formula2-СВОД" xfId="4504"/>
    <cellStyle name="_П+Г-2007 МАЙ_янги_2008_iil_APREL_ishchi_zhadval_formula2-СВОД" xfId="4505"/>
    <cellStyle name="_П+Г-2007 МАЙ_янги_Апрел кр такс иш хаки тулик 5.04.08 МБ га" xfId="4506"/>
    <cellStyle name="_П+Г-2007 МАЙ_янги_Апрел кр такс иш хаки тулик 5.04.08 МБ га" xfId="4507"/>
    <cellStyle name="_парранда ииискхона балик асал" xfId="4508"/>
    <cellStyle name="_парранда ииискхона балик асал" xfId="4509"/>
    <cellStyle name="_ПАХТА КРЕДИТ 2008 МАРТ " xfId="4510"/>
    <cellStyle name="_ПАХТА КРЕДИТ 2008 МАРТ " xfId="4511"/>
    <cellStyle name="_ПАХТА КРЕДИТ 2008 МАРТ " xfId="4512"/>
    <cellStyle name="_ПАХТА КРЕДИТ 2008 МАРТ " xfId="4513"/>
    <cellStyle name="_Пахта-2007 апрел кредит" xfId="4514"/>
    <cellStyle name="_Пахта-2007 апрел кредит" xfId="4515"/>
    <cellStyle name="_Пахта-2007 апрел кредит" xfId="4516"/>
    <cellStyle name="_Пахта-2007 апрел кредит" xfId="4517"/>
    <cellStyle name="_Пахта-2007 апрел кредит_2008 ОКТЯБР ишчи жадвал формула" xfId="4518"/>
    <cellStyle name="_Пахта-2007 апрел кредит_2008 ОКТЯБР ишчи жадвал формула" xfId="4519"/>
    <cellStyle name="_Пахта-2007 апрел кредит_2008 ОКТЯБР ишчи жадвал формула" xfId="4520"/>
    <cellStyle name="_Пахта-2007 апрел кредит_2008 ОКТЯБР ишчи жадвал формула" xfId="4521"/>
    <cellStyle name="_Пахта-2007 апрел кредит_2008 ОКТЯБР ишчи жадвал формула_2008 йил 1-декабр-сводлар-узгарди" xfId="4522"/>
    <cellStyle name="_Пахта-2007 апрел кредит_2008 ОКТЯБР ишчи жадвал формула_2008 йил 1-декабр-сводлар-узгарди" xfId="4523"/>
    <cellStyle name="_Пахта-2007 апрел кредит_2008 ОКТЯБР ишчи жадвал формула_2008 йил 1-декабр-сводлар-узгарди" xfId="4524"/>
    <cellStyle name="_Пахта-2007 апрел кредит_2008 ОКТЯБР ишчи жадвал формула_2008 йил 1-декабр-сводлар-узгарди" xfId="4525"/>
    <cellStyle name="_Пахта-2007 апрел кредит_2008 ОКТЯБР ишчи жадвал формула_2008 йил 1-ноябр-баланс билан" xfId="4526"/>
    <cellStyle name="_Пахта-2007 апрел кредит_2008 ОКТЯБР ишчи жадвал формула_2008 йил 1-ноябр-баланс билан" xfId="4527"/>
    <cellStyle name="_Пахта-2007 апрел кредит_2008 ОКТЯБР ишчи жадвал формула_2008 йил 1-ноябр-баланс билан" xfId="4528"/>
    <cellStyle name="_Пахта-2007 апрел кредит_2008 ОКТЯБР ишчи жадвал формула_2008 йил 1-ноябр-баланс билан" xfId="4529"/>
    <cellStyle name="_Пахта-2007 апрел кредит_2008_iil_APREL_ishchi_zhadval_formula2-СВОД" xfId="4530"/>
    <cellStyle name="_Пахта-2007 апрел кредит_2008_iil_APREL_ishchi_zhadval_formula2-СВОД" xfId="4531"/>
    <cellStyle name="_Пахта-2007 апрел кредит_2008_iil_APREL_ishchi_zhadval_formula2-СВОД" xfId="4532"/>
    <cellStyle name="_Пахта-2007 апрел кредит_2008_iil_APREL_ishchi_zhadval_formula2-СВОД" xfId="4533"/>
    <cellStyle name="_Пахта-2007 апрел кредит_Апрел кр такс иш хаки тулик 5.04.08 МБ га" xfId="4534"/>
    <cellStyle name="_Пахта-2007 апрел кредит_Апрел кр такс иш хаки тулик 5.04.08 МБ га" xfId="4535"/>
    <cellStyle name="_Пахта-2007 апрел кредит_Апрел кр такс иш хаки тулик 5.04.08 МБ га" xfId="4536"/>
    <cellStyle name="_Пахта-2007 апрел кредит_Апрел кр такс иш хаки тулик 5.04.08 МБ га" xfId="4537"/>
    <cellStyle name="_Пахта-2007 апрел кредит_ЛИЗИНГ МОНИТОРИНГИ-1.11.08й русумлар буйича" xfId="4538"/>
    <cellStyle name="_Пахта-2007 апрел кредит_ЛИЗИНГ МОНИТОРИНГИ-1.11.08й русумлар буйича" xfId="4539"/>
    <cellStyle name="_Пахта-2007 апрел кредит_ЛИЗИНГ МОНИТОРИНГИ-1.11.08й русумлар буйича" xfId="4540"/>
    <cellStyle name="_Пахта-2007 апрел кредит_ЛИЗИНГ МОНИТОРИНГИ-1.11.08й русумлар буйича" xfId="4541"/>
    <cellStyle name="_Пахта-2007 апрел кредит_УХКМ ва БИО форма 01. 02. 09" xfId="4542"/>
    <cellStyle name="_Пахта-2007 апрел кредит_УХКМ ва БИО форма 01. 02. 09" xfId="4543"/>
    <cellStyle name="_Пахта-2007 апрел кредит_УХКМ ва БИО форма 01. 02. 09" xfId="4544"/>
    <cellStyle name="_Пахта-2007 апрел кредит_УХКМ ва БИО форма 01. 02. 09" xfId="4545"/>
    <cellStyle name="_Пахта-Галла-Апрел-Кредит" xfId="4546"/>
    <cellStyle name="_Пахта-Галла-Апрел-Кредит" xfId="4547"/>
    <cellStyle name="_Пахта-Галла-Апрел-Кредит" xfId="4548"/>
    <cellStyle name="_Пахта-Галла-Апрел-Кредит" xfId="4549"/>
    <cellStyle name="_Пахта-Галла-Апрел-Кредит_2008 ОКТЯБР ишчи жадвал формула" xfId="4550"/>
    <cellStyle name="_Пахта-Галла-Апрел-Кредит_2008 ОКТЯБР ишчи жадвал формула" xfId="4551"/>
    <cellStyle name="_Пахта-Галла-Апрел-Кредит_2008 ОКТЯБР ишчи жадвал формула" xfId="4552"/>
    <cellStyle name="_Пахта-Галла-Апрел-Кредит_2008 ОКТЯБР ишчи жадвал формула" xfId="4553"/>
    <cellStyle name="_Пахта-Галла-Апрел-Кредит_2008 ОКТЯБР ишчи жадвал формула_2008 йил 1-декабр-сводлар-узгарди" xfId="4554"/>
    <cellStyle name="_Пахта-Галла-Апрел-Кредит_2008 ОКТЯБР ишчи жадвал формула_2008 йил 1-декабр-сводлар-узгарди" xfId="4555"/>
    <cellStyle name="_Пахта-Галла-Апрел-Кредит_2008 ОКТЯБР ишчи жадвал формула_2008 йил 1-декабр-сводлар-узгарди" xfId="4556"/>
    <cellStyle name="_Пахта-Галла-Апрел-Кредит_2008 ОКТЯБР ишчи жадвал формула_2008 йил 1-декабр-сводлар-узгарди" xfId="4557"/>
    <cellStyle name="_Пахта-Галла-Апрел-Кредит_2008 ОКТЯБР ишчи жадвал формула_2008 йил 1-ноябр-баланс билан" xfId="4558"/>
    <cellStyle name="_Пахта-Галла-Апрел-Кредит_2008 ОКТЯБР ишчи жадвал формула_2008 йил 1-ноябр-баланс билан" xfId="4559"/>
    <cellStyle name="_Пахта-Галла-Апрел-Кредит_2008 ОКТЯБР ишчи жадвал формула_2008 йил 1-ноябр-баланс билан" xfId="4560"/>
    <cellStyle name="_Пахта-Галла-Апрел-Кредит_2008 ОКТЯБР ишчи жадвал формула_2008 йил 1-ноябр-баланс билан" xfId="4561"/>
    <cellStyle name="_Пахта-Галла-Апрел-Кредит_2008_iil_APREL_ishchi_zhadval_formula2-СВОД" xfId="4562"/>
    <cellStyle name="_Пахта-Галла-Апрел-Кредит_2008_iil_APREL_ishchi_zhadval_formula2-СВОД" xfId="4563"/>
    <cellStyle name="_Пахта-Галла-Апрел-Кредит_2008_iil_APREL_ishchi_zhadval_formula2-СВОД" xfId="4564"/>
    <cellStyle name="_Пахта-Галла-Апрел-Кредит_2008_iil_APREL_ishchi_zhadval_formula2-СВОД" xfId="4565"/>
    <cellStyle name="_Пахта-Галла-Апрел-Кредит_Апрел кр такс иш хаки тулик 5.04.08 МБ га" xfId="4566"/>
    <cellStyle name="_Пахта-Галла-Апрел-Кредит_Апрел кр такс иш хаки тулик 5.04.08 МБ га" xfId="4567"/>
    <cellStyle name="_Пахта-Галла-Апрел-Кредит_Апрел кр такс иш хаки тулик 5.04.08 МБ га" xfId="4568"/>
    <cellStyle name="_Пахта-Галла-Апрел-Кредит_Апрел кр такс иш хаки тулик 5.04.08 МБ га" xfId="4569"/>
    <cellStyle name="_Пахта-Галла-Апрел-Кредит_ЛИЗИНГ МОНИТОРИНГИ-1.11.08й русумлар буйича" xfId="4570"/>
    <cellStyle name="_Пахта-Галла-Апрел-Кредит_ЛИЗИНГ МОНИТОРИНГИ-1.11.08й русумлар буйича" xfId="4571"/>
    <cellStyle name="_Пахта-Галла-Апрел-Кредит_ЛИЗИНГ МОНИТОРИНГИ-1.11.08й русумлар буйича" xfId="4572"/>
    <cellStyle name="_Пахта-Галла-Апрел-Кредит_ЛИЗИНГ МОНИТОРИНГИ-1.11.08й русумлар буйича" xfId="4573"/>
    <cellStyle name="_Пахта-Галла-Апрел-Кредит_УХКМ ва БИО форма 01. 02. 09" xfId="4574"/>
    <cellStyle name="_Пахта-Галла-Апрел-Кредит_УХКМ ва БИО форма 01. 02. 09" xfId="4575"/>
    <cellStyle name="_Пахта-Галла-Апрел-Кредит_УХКМ ва БИО форма 01. 02. 09" xfId="4576"/>
    <cellStyle name="_Пахта-Галла-Апрел-Кредит_УХКМ ва БИО форма 01. 02. 09" xfId="4577"/>
    <cellStyle name="_Пахта-Галла-Май-Кредит" xfId="4578"/>
    <cellStyle name="_Пахта-Галла-Май-Кредит" xfId="4579"/>
    <cellStyle name="_Пахта-Галла-Май-Кредит" xfId="4580"/>
    <cellStyle name="_Пахта-Галла-Май-Кредит" xfId="4581"/>
    <cellStyle name="_Пахта-Галла-Май-Кредит_2008 ОКТЯБР ишчи жадвал формула" xfId="4582"/>
    <cellStyle name="_Пахта-Галла-Май-Кредит_2008 ОКТЯБР ишчи жадвал формула" xfId="4583"/>
    <cellStyle name="_Пахта-Галла-Май-Кредит_2008 ОКТЯБР ишчи жадвал формула" xfId="4584"/>
    <cellStyle name="_Пахта-Галла-Май-Кредит_2008 ОКТЯБР ишчи жадвал формула" xfId="4585"/>
    <cellStyle name="_Пахта-Галла-Май-Кредит_2008 ОКТЯБР ишчи жадвал формула_2008 йил 1-декабр-сводлар-узгарди" xfId="4586"/>
    <cellStyle name="_Пахта-Галла-Май-Кредит_2008 ОКТЯБР ишчи жадвал формула_2008 йил 1-декабр-сводлар-узгарди" xfId="4587"/>
    <cellStyle name="_Пахта-Галла-Май-Кредит_2008 ОКТЯБР ишчи жадвал формула_2008 йил 1-декабр-сводлар-узгарди" xfId="4588"/>
    <cellStyle name="_Пахта-Галла-Май-Кредит_2008 ОКТЯБР ишчи жадвал формула_2008 йил 1-декабр-сводлар-узгарди" xfId="4589"/>
    <cellStyle name="_Пахта-Галла-Май-Кредит_2008 ОКТЯБР ишчи жадвал формула_2008 йил 1-ноябр-баланс билан" xfId="4590"/>
    <cellStyle name="_Пахта-Галла-Май-Кредит_2008 ОКТЯБР ишчи жадвал формула_2008 йил 1-ноябр-баланс билан" xfId="4591"/>
    <cellStyle name="_Пахта-Галла-Май-Кредит_2008 ОКТЯБР ишчи жадвал формула_2008 йил 1-ноябр-баланс билан" xfId="4592"/>
    <cellStyle name="_Пахта-Галла-Май-Кредит_2008 ОКТЯБР ишчи жадвал формула_2008 йил 1-ноябр-баланс билан" xfId="4593"/>
    <cellStyle name="_Пахта-Галла-Май-Кредит_2008_iil_APREL_ishchi_zhadval_formula2-СВОД" xfId="4594"/>
    <cellStyle name="_Пахта-Галла-Май-Кредит_2008_iil_APREL_ishchi_zhadval_formula2-СВОД" xfId="4595"/>
    <cellStyle name="_Пахта-Галла-Май-Кредит_2008_iil_APREL_ishchi_zhadval_formula2-СВОД" xfId="4596"/>
    <cellStyle name="_Пахта-Галла-Май-Кредит_2008_iil_APREL_ishchi_zhadval_formula2-СВОД" xfId="4597"/>
    <cellStyle name="_Пахта-Галла-Май-Кредит_Апрел кр такс иш хаки тулик 5.04.08 МБ га" xfId="4598"/>
    <cellStyle name="_Пахта-Галла-Май-Кредит_Апрел кр такс иш хаки тулик 5.04.08 МБ га" xfId="4599"/>
    <cellStyle name="_Пахта-Галла-Май-Кредит_Апрел кр такс иш хаки тулик 5.04.08 МБ га" xfId="4600"/>
    <cellStyle name="_Пахта-Галла-Май-Кредит_Апрел кр такс иш хаки тулик 5.04.08 МБ га" xfId="4601"/>
    <cellStyle name="_Пахта-Галла-Май-Кредит_ЛИЗИНГ МОНИТОРИНГИ-1.11.08й русумлар буйича" xfId="4602"/>
    <cellStyle name="_Пахта-Галла-Май-Кредит_ЛИЗИНГ МОНИТОРИНГИ-1.11.08й русумлар буйича" xfId="4603"/>
    <cellStyle name="_Пахта-Галла-Май-Кредит_ЛИЗИНГ МОНИТОРИНГИ-1.11.08й русумлар буйича" xfId="4604"/>
    <cellStyle name="_Пахта-Галла-Май-Кредит_ЛИЗИНГ МОНИТОРИНГИ-1.11.08й русумлар буйича" xfId="4605"/>
    <cellStyle name="_Пахта-Галла-Май-Кредит_УХКМ ва БИО форма 01. 02. 09" xfId="4606"/>
    <cellStyle name="_Пахта-Галла-Май-Кредит_УХКМ ва БИО форма 01. 02. 09" xfId="4607"/>
    <cellStyle name="_Пахта-Галла-Май-Кредит_УХКМ ва БИО форма 01. 02. 09" xfId="4608"/>
    <cellStyle name="_Пахта-Галла-Май-Кредит_УХКМ ва БИО форма 01. 02. 09" xfId="4609"/>
    <cellStyle name="_Пахта-Сентябр" xfId="4610"/>
    <cellStyle name="_Пахта-Сентябр" xfId="4611"/>
    <cellStyle name="_Пахта-Сентябр" xfId="4612"/>
    <cellStyle name="_Пахта-Сентябр" xfId="4613"/>
    <cellStyle name="_Пахта-Сентябр_2008 йил 1-декабр-сводлар-узгарди" xfId="4614"/>
    <cellStyle name="_Пахта-Сентябр_2008 йил 1-декабр-сводлар-узгарди" xfId="4615"/>
    <cellStyle name="_Пахта-Сентябр_2008 йил 1-ноябр-баланс билан" xfId="4616"/>
    <cellStyle name="_Пахта-Сентябр_2008 йил 1-ноябр-баланс билан" xfId="4617"/>
    <cellStyle name="_Пахта-Сентябр_2008 ОКТЯБР ишчи жадвал формула" xfId="4618"/>
    <cellStyle name="_Пахта-Сентябр_2008 ОКТЯБР ишчи жадвал формула" xfId="4619"/>
    <cellStyle name="_Пахта-Сентябр_2008 ОКТЯБР ишчи жадвал формула" xfId="4620"/>
    <cellStyle name="_Пахта-Сентябр_2008 ОКТЯБР ишчи жадвал формула" xfId="4621"/>
    <cellStyle name="_Пахта-Сентябр_2008 ОКТЯБР ишчи жадвал формула_2008 йил 1-декабр-сводлар-узгарди" xfId="4622"/>
    <cellStyle name="_Пахта-Сентябр_2008 ОКТЯБР ишчи жадвал формула_2008 йил 1-декабр-сводлар-узгарди" xfId="4623"/>
    <cellStyle name="_Пахта-Сентябр_2008 ОКТЯБР ишчи жадвал формула_2008 йил 1-декабр-сводлар-узгарди" xfId="4624"/>
    <cellStyle name="_Пахта-Сентябр_2008 ОКТЯБР ишчи жадвал формула_2008 йил 1-декабр-сводлар-узгарди" xfId="4625"/>
    <cellStyle name="_Пахта-Сентябр_2008 ОКТЯБР ишчи жадвал формула_2008 йил 1-ноябр-баланс билан" xfId="4626"/>
    <cellStyle name="_Пахта-Сентябр_2008 ОКТЯБР ишчи жадвал формула_2008 йил 1-ноябр-баланс билан" xfId="4627"/>
    <cellStyle name="_Пахта-Сентябр_2008 ОКТЯБР ишчи жадвал формула_2008 йил 1-ноябр-баланс билан" xfId="4628"/>
    <cellStyle name="_Пахта-Сентябр_2008 ОКТЯБР ишчи жадвал формула_2008 йил 1-ноябр-баланс билан" xfId="4629"/>
    <cellStyle name="_Пахта-Сентябр_2008_iil_APREL_ishchi_zhadval_formula2-СВОД" xfId="4630"/>
    <cellStyle name="_Пахта-Сентябр_2008_iil_APREL_ishchi_zhadval_formula2-СВОД" xfId="4631"/>
    <cellStyle name="_Пахта-Сентябр_2008_iil_APREL_ishchi_zhadval_formula2-СВОД" xfId="4632"/>
    <cellStyle name="_Пахта-Сентябр_2008_iil_APREL_ishchi_zhadval_formula2-СВОД" xfId="4633"/>
    <cellStyle name="_Пахта-Сентябр_Апрел кр такс иш хаки тулик 5.04.08 МБ га" xfId="4634"/>
    <cellStyle name="_Пахта-Сентябр_Апрел кр такс иш хаки тулик 5.04.08 МБ га" xfId="4635"/>
    <cellStyle name="_ПАХТА-Тех.карта" xfId="4636"/>
    <cellStyle name="_ПАХТА-Тех.карта" xfId="4637"/>
    <cellStyle name="_ПАХТА-Тех.карта" xfId="4638"/>
    <cellStyle name="_ПАХТА-Тех.карта" xfId="4639"/>
    <cellStyle name="_ПАХТА-Тех.карта_УХКМ ва БИО форма 01. 02. 09" xfId="4640"/>
    <cellStyle name="_ПАХТА-Тех.карта_УХКМ ва БИО форма 01. 02. 09" xfId="4641"/>
    <cellStyle name="_ПАХТА-Тех.карта_УХКМ ва БИО форма 01. 02. 09" xfId="4642"/>
    <cellStyle name="_ПАХТА-Тех.карта_УХКМ ва БИО форма 01. 02. 09" xfId="4643"/>
    <cellStyle name="_П-Г-Апрел-2 ЯРМИ" xfId="4644"/>
    <cellStyle name="_П-Г-Апрел-2 ЯРМИ" xfId="4645"/>
    <cellStyle name="_П-Г-Апрел-2 ЯРМИ" xfId="4646"/>
    <cellStyle name="_П-Г-Апрел-2 ЯРМИ" xfId="4647"/>
    <cellStyle name="_П-Г-Апрел-2 ЯРМИ_2008 ОКТЯБР ишчи жадвал формула" xfId="4648"/>
    <cellStyle name="_П-Г-Апрел-2 ЯРМИ_2008 ОКТЯБР ишчи жадвал формула" xfId="4649"/>
    <cellStyle name="_П-Г-Апрел-2 ЯРМИ_2008 ОКТЯБР ишчи жадвал формула" xfId="4650"/>
    <cellStyle name="_П-Г-Апрел-2 ЯРМИ_2008 ОКТЯБР ишчи жадвал формула" xfId="4651"/>
    <cellStyle name="_П-Г-Апрел-2 ЯРМИ_2008 ОКТЯБР ишчи жадвал формула_2008 йил 1-декабр-сводлар-узгарди" xfId="4652"/>
    <cellStyle name="_П-Г-Апрел-2 ЯРМИ_2008 ОКТЯБР ишчи жадвал формула_2008 йил 1-декабр-сводлар-узгарди" xfId="4653"/>
    <cellStyle name="_П-Г-Апрел-2 ЯРМИ_2008 ОКТЯБР ишчи жадвал формула_2008 йил 1-декабр-сводлар-узгарди" xfId="4654"/>
    <cellStyle name="_П-Г-Апрел-2 ЯРМИ_2008 ОКТЯБР ишчи жадвал формула_2008 йил 1-декабр-сводлар-узгарди" xfId="4655"/>
    <cellStyle name="_П-Г-Апрел-2 ЯРМИ_2008 ОКТЯБР ишчи жадвал формула_2008 йил 1-ноябр-баланс билан" xfId="4656"/>
    <cellStyle name="_П-Г-Апрел-2 ЯРМИ_2008 ОКТЯБР ишчи жадвал формула_2008 йил 1-ноябр-баланс билан" xfId="4657"/>
    <cellStyle name="_П-Г-Апрел-2 ЯРМИ_2008 ОКТЯБР ишчи жадвал формула_2008 йил 1-ноябр-баланс билан" xfId="4658"/>
    <cellStyle name="_П-Г-Апрел-2 ЯРМИ_2008 ОКТЯБР ишчи жадвал формула_2008 йил 1-ноябр-баланс билан" xfId="4659"/>
    <cellStyle name="_П-Г-Апрел-2 ЯРМИ_2008_iil_APREL_ishchi_zhadval_formula2-СВОД" xfId="4660"/>
    <cellStyle name="_П-Г-Апрел-2 ЯРМИ_2008_iil_APREL_ishchi_zhadval_formula2-СВОД" xfId="4661"/>
    <cellStyle name="_П-Г-Апрел-2 ЯРМИ_2008_iil_APREL_ishchi_zhadval_formula2-СВОД" xfId="4662"/>
    <cellStyle name="_П-Г-Апрел-2 ЯРМИ_2008_iil_APREL_ishchi_zhadval_formula2-СВОД" xfId="4663"/>
    <cellStyle name="_П-Г-Апрел-2 ЯРМИ_Апрел кр такс иш хаки тулик 5.04.08 МБ га" xfId="4664"/>
    <cellStyle name="_П-Г-Апрел-2 ЯРМИ_Апрел кр такс иш хаки тулик 5.04.08 МБ га" xfId="4665"/>
    <cellStyle name="_П-Г-Апрел-2 ЯРМИ_Апрел кр такс иш хаки тулик 5.04.08 МБ га" xfId="4666"/>
    <cellStyle name="_П-Г-Апрел-2 ЯРМИ_Апрел кр такс иш хаки тулик 5.04.08 МБ га" xfId="4667"/>
    <cellStyle name="_П-Г-Апрел-2 ЯРМИ_ЛИЗИНГ МОНИТОРИНГИ-1.11.08й русумлар буйича" xfId="4668"/>
    <cellStyle name="_П-Г-Апрел-2 ЯРМИ_ЛИЗИНГ МОНИТОРИНГИ-1.11.08й русумлар буйича" xfId="4669"/>
    <cellStyle name="_П-Г-Апрел-2 ЯРМИ_ЛИЗИНГ МОНИТОРИНГИ-1.11.08й русумлар буйича" xfId="4670"/>
    <cellStyle name="_П-Г-Апрел-2 ЯРМИ_ЛИЗИНГ МОНИТОРИНГИ-1.11.08й русумлар буйича" xfId="4671"/>
    <cellStyle name="_П-Г-Апрел-2 ЯРМИ_УХКМ ва БИО форма 01. 02. 09" xfId="4672"/>
    <cellStyle name="_П-Г-Апрел-2 ЯРМИ_УХКМ ва БИО форма 01. 02. 09" xfId="4673"/>
    <cellStyle name="_П-Г-Апрел-2 ЯРМИ_УХКМ ва БИО форма 01. 02. 09" xfId="4674"/>
    <cellStyle name="_П-Г-Апрел-2 ЯРМИ_УХКМ ва БИО форма 01. 02. 09" xfId="4675"/>
    <cellStyle name="_ПРОГНОЗ  2009  ЙИЛ 22" xfId="4676"/>
    <cellStyle name="_ПРОГНОЗ  2009  ЙИЛ 22" xfId="4677"/>
    <cellStyle name="_Пром  - № 1-2" xfId="4678"/>
    <cellStyle name="_Пром  - № 1-2" xfId="4679"/>
    <cellStyle name="_ПРОМ 2010-1чорак-жадваллар 23.03" xfId="4680"/>
    <cellStyle name="_ПРОМ 2010-1чорак-жадваллар 23.03" xfId="4681"/>
    <cellStyle name="_ПРОМ 2010-1чорак-жадваллар 23.03_11-жадвал Акбарга" xfId="4682"/>
    <cellStyle name="_ПРОМ 2010-1чорак-жадваллар 23.03_11-жадвал Акбарга" xfId="4683"/>
    <cellStyle name="_ПРОМ 2010-1чорак-жадваллар 23.03_11-жадвал Акбарга_Салохият 47та 24.07.2012" xfId="4684"/>
    <cellStyle name="_ПРОМ 2010-1чорак-жадваллар 23.03_11-жадвал Акбарга_Салохият 47та 24.07.2012" xfId="4685"/>
    <cellStyle name="_ПРОМ 2010-1чорак-жадваллар 23.03_11-жадвал Акбарга_Саноат Салохият 02.10.2012й ҳолатига" xfId="4686"/>
    <cellStyle name="_ПРОМ 2010-1чорак-жадваллар 23.03_11-жадвал Акбарга_Саноат Салохият 02.10.2012й ҳолатига" xfId="4687"/>
    <cellStyle name="_ПРОМ 2010-1чорак-жадваллар 23.03_11-жадвал Акбарга_Саноат Салохият 03.10.2012й ҳолатига" xfId="4688"/>
    <cellStyle name="_ПРОМ 2010-1чорак-жадваллар 23.03_11-жадвал Акбарга_Саноат Салохият 03.10.2012й ҳолатига" xfId="4689"/>
    <cellStyle name="_ПРОМ 2010-1чорак-жадваллар 23.03_11-жадвал Акбарга_Саноат Салохият 47 та 06.10.2012й ҳолатига" xfId="4690"/>
    <cellStyle name="_ПРОМ 2010-1чорак-жадваллар 23.03_11-жадвал Акбарга_Саноат Салохият 47 та 06.10.2012й ҳолатига" xfId="4691"/>
    <cellStyle name="_ПРОМ 2010-1чорак-жадваллар 23.03_11-жадвал Акбарга_Саноат Салохият 47а та 06.10.2012й ҳолатига" xfId="4692"/>
    <cellStyle name="_ПРОМ 2010-1чорак-жадваллар 23.03_11-жадвал Акбарга_Саноат Салохият 47а та 06.10.2012й ҳолатига" xfId="4693"/>
    <cellStyle name="_ПРОМ 2010-1чорак-жадваллар 23.03_11-жадвал Акбарга_СИРДАРЁ СС 05.07.2012й ҳолатига" xfId="4694"/>
    <cellStyle name="_ПРОМ 2010-1чорак-жадваллар 23.03_11-жадвал Акбарга_СИРДАРЁ СС 05.07.2012й ҳолатига" xfId="4695"/>
    <cellStyle name="_ПРОМ 2010-1чорак-жадваллар 23.03_озиқ-овқат" xfId="4696"/>
    <cellStyle name="_ПРОМ 2010-1чорак-жадваллар 23.03_озиқ-овқат" xfId="4697"/>
    <cellStyle name="_ПРОМ 2010-1чорак-жадваллар 23.03_озиқ-овқат_Салохият 47та 24.07.2012" xfId="4698"/>
    <cellStyle name="_ПРОМ 2010-1чорак-жадваллар 23.03_озиқ-овқат_Салохият 47та 24.07.2012" xfId="4699"/>
    <cellStyle name="_ПРОМ 2010-1чорак-жадваллар 23.03_озиқ-овқат_Саноат Салохият 02.10.2012й ҳолатига" xfId="4700"/>
    <cellStyle name="_ПРОМ 2010-1чорак-жадваллар 23.03_озиқ-овқат_Саноат Салохият 02.10.2012й ҳолатига" xfId="4701"/>
    <cellStyle name="_ПРОМ 2010-1чорак-жадваллар 23.03_озиқ-овқат_Саноат Салохият 03.10.2012й ҳолатига" xfId="4702"/>
    <cellStyle name="_ПРОМ 2010-1чорак-жадваллар 23.03_озиқ-овқат_Саноат Салохият 03.10.2012й ҳолатига" xfId="4703"/>
    <cellStyle name="_ПРОМ 2010-1чорак-жадваллар 23.03_озиқ-овқат_Саноат Салохият 47 та 06.10.2012й ҳолатига" xfId="4704"/>
    <cellStyle name="_ПРОМ 2010-1чорак-жадваллар 23.03_озиқ-овқат_Саноат Салохият 47 та 06.10.2012й ҳолатига" xfId="4705"/>
    <cellStyle name="_ПРОМ 2010-1чорак-жадваллар 23.03_озиқ-овқат_Саноат Салохият 47а та 06.10.2012й ҳолатига" xfId="4706"/>
    <cellStyle name="_ПРОМ 2010-1чорак-жадваллар 23.03_озиқ-овқат_Саноат Салохият 47а та 06.10.2012й ҳолатига" xfId="4707"/>
    <cellStyle name="_ПРОМ 2010-1чорак-жадваллар 23.03_озиқ-овқат_СИРДАРЁ СС 05.07.2012й ҳолатига" xfId="4708"/>
    <cellStyle name="_ПРОМ 2010-1чорак-жадваллар 23.03_озиқ-овқат_СИРДАРЁ СС 05.07.2012й ҳолатига" xfId="4709"/>
    <cellStyle name="_ПРОМ 2010-1чорак-жадваллар 23.03_Салохият 47та 24.07.2012" xfId="4710"/>
    <cellStyle name="_ПРОМ 2010-1чорак-жадваллар 23.03_Салохият 47та 24.07.2012" xfId="4711"/>
    <cellStyle name="_ПРОМ 2010-1чорак-жадваллар 23.03_Саноат Салохият 02.10.2012й ҳолатига" xfId="4712"/>
    <cellStyle name="_ПРОМ 2010-1чорак-жадваллар 23.03_Саноат Салохият 02.10.2012й ҳолатига" xfId="4713"/>
    <cellStyle name="_ПРОМ 2010-1чорак-жадваллар 23.03_Саноат Салохият 03.10.2012й ҳолатига" xfId="4714"/>
    <cellStyle name="_ПРОМ 2010-1чорак-жадваллар 23.03_Саноат Салохият 03.10.2012й ҳолатига" xfId="4715"/>
    <cellStyle name="_ПРОМ 2010-1чорак-жадваллар 23.03_Саноат Салохият 47 та 06.10.2012й ҳолатига" xfId="4716"/>
    <cellStyle name="_ПРОМ 2010-1чорак-жадваллар 23.03_Саноат Салохият 47 та 06.10.2012й ҳолатига" xfId="4717"/>
    <cellStyle name="_ПРОМ 2010-1чорак-жадваллар 23.03_Саноат Салохият 47а та 06.10.2012й ҳолатига" xfId="4718"/>
    <cellStyle name="_ПРОМ 2010-1чорак-жадваллар 23.03_Саноат Салохият 47а та 06.10.2012й ҳолатига" xfId="4719"/>
    <cellStyle name="_ПРОМ 2010-1чорак-жадваллар 23.03_СИРДАРЁ СС 05.07.2012й ҳолатига" xfId="4720"/>
    <cellStyle name="_ПРОМ 2010-1чорак-жадваллар 23.03_СИРДАРЁ СС 05.07.2012й ҳолатига" xfId="4721"/>
    <cellStyle name="_Режа апрел кредит 19-04-07 гача" xfId="4722"/>
    <cellStyle name="_Режа апрел кредит 19-04-07 гача" xfId="4723"/>
    <cellStyle name="_Режа апрел кредит 19-04-07 гача" xfId="4724"/>
    <cellStyle name="_Режа апрел кредит 19-04-07 гача" xfId="4725"/>
    <cellStyle name="_Режа апрел кредит 19-04-07 гача 2" xfId="4726"/>
    <cellStyle name="_Режа апрел кредит 19-04-07 гача 2" xfId="4727"/>
    <cellStyle name="_Режа апрел кредит 19-04-07 гача 2" xfId="4728"/>
    <cellStyle name="_Режа апрел кредит 19-04-07 гача 2" xfId="4729"/>
    <cellStyle name="_Режа апрел кредит 19-04-07 гача 3" xfId="4730"/>
    <cellStyle name="_Режа апрел кредит 19-04-07 гача 3" xfId="4731"/>
    <cellStyle name="_Режа апрел кредит 19-04-07 гача 3" xfId="4732"/>
    <cellStyle name="_Режа апрел кредит 19-04-07 гача 3" xfId="4733"/>
    <cellStyle name="_СВОД Жадваллар 2008-2012й" xfId="4734"/>
    <cellStyle name="_СВОД Жадваллар 2008-2012й" xfId="4735"/>
    <cellStyle name="_СВОД Жадваллар 2008-2012й_СВОД Прогноз 2008-2012й" xfId="4736"/>
    <cellStyle name="_СВОД Жадваллар 2008-2012й_СВОД Прогноз 2008-2012й" xfId="4737"/>
    <cellStyle name="_СВОД жадваллар-2009 6 ой" xfId="4738"/>
    <cellStyle name="_СВОД жадваллар-2009 6 ой" xfId="4739"/>
    <cellStyle name="_Свод Макет" xfId="4740"/>
    <cellStyle name="_Свод Макет" xfId="4741"/>
    <cellStyle name="_Свод Макет 1" xfId="4742"/>
    <cellStyle name="_Свод Макет 1" xfId="4743"/>
    <cellStyle name="_Свод Макет 2" xfId="4744"/>
    <cellStyle name="_Свод Макет 2" xfId="4745"/>
    <cellStyle name="_Свод Макет 3" xfId="4746"/>
    <cellStyle name="_Свод Макет 3" xfId="4747"/>
    <cellStyle name="_СВОД Прогноз 2008-2012й" xfId="4748"/>
    <cellStyle name="_СВОД Прогноз 2008-2012й" xfId="4749"/>
    <cellStyle name="_Солик_форма_епилган_умумий" xfId="4750"/>
    <cellStyle name="_Солик_форма_епилган_умумий" xfId="4751"/>
    <cellStyle name="_Солик_форма_епилган_умумий" xfId="4752"/>
    <cellStyle name="_Солик_форма_епилган_умумий" xfId="4753"/>
    <cellStyle name="_Солик_форма_умумий" xfId="4754"/>
    <cellStyle name="_Солик_форма_умумий" xfId="4755"/>
    <cellStyle name="_Солик_форма_умумий" xfId="4756"/>
    <cellStyle name="_Солик_форма_умумий" xfId="4757"/>
    <cellStyle name="_С-р , П Б, Х Б ва бошка банк 1,01,06 дан 25,05,06гача" xfId="4758"/>
    <cellStyle name="_С-р , П Б, Х Б ва бошка банк 1,01,06 дан 25,05,06гача" xfId="4759"/>
    <cellStyle name="_С-р , П Б, Х Б ва бошка банк 1,01,06 дан 25,05,06гача" xfId="4760"/>
    <cellStyle name="_С-р , П Б, Х Б ва бошка банк 1,01,06 дан 25,05,06гача" xfId="4761"/>
    <cellStyle name="_С-р , П Б, Х Б ва бошка банк 1,01,06 дан 25,05,06гача 2" xfId="4762"/>
    <cellStyle name="_С-р , П Б, Х Б ва бошка банк 1,01,06 дан 25,05,06гача 2" xfId="4763"/>
    <cellStyle name="_С-р , П Б, Х Б ва бошка банк 1,01,06 дан 25,05,06гача 3" xfId="4764"/>
    <cellStyle name="_С-р , П Б, Х Б ва бошка банк 1,01,06 дан 25,05,06гача 3" xfId="4765"/>
    <cellStyle name="_С-р , П Б, Х Б ва бошка банк 1,01,06 дан 25,05,06гача_2008_iil_APREL_ishchi_zhadval_formula2-СВОД" xfId="4766"/>
    <cellStyle name="_С-р , П Б, Х Б ва бошка банк 1,01,06 дан 25,05,06гача_2008_iil_APREL_ishchi_zhadval_formula2-СВОД" xfId="4767"/>
    <cellStyle name="_С-р , П Б, Х Б ва бошка банк 1,01,06 дан 25,05,06гача_Апрел кр такс иш хаки тулик 5.04.08 МБ га" xfId="4768"/>
    <cellStyle name="_С-р , П Б, Х Б ва бошка банк 1,01,06 дан 25,05,06гача_Апрел кр такс иш хаки тулик 5.04.08 МБ га" xfId="4769"/>
    <cellStyle name="_С-р , П Б, Х Б ва бошка банк 1,01,06 дан 25,05,06гача_ЛИЗИНГ МОНИТОРИНГИ-1.11.08й русумлар буйича" xfId="4770"/>
    <cellStyle name="_С-р , П Б, Х Б ва бошка банк 1,01,06 дан 25,05,06гача_ЛИЗИНГ МОНИТОРИНГИ-1.11.08й русумлар буйича" xfId="4771"/>
    <cellStyle name="_С-р , П Б, Х Б ва бошка банк 1,01,06 дан 25,05,06гача_УХКМ ва БИО форма 01. 02. 09" xfId="4772"/>
    <cellStyle name="_С-р , П Б, Х Б ва бошка банк 1,01,06 дан 25,05,06гача_УХКМ ва БИО форма 01. 02. 09" xfId="4773"/>
    <cellStyle name="_С-р , П Б, Х Б ва бошка банк 1,01,06 дан 25,05,06гача_УХКМ ва БИО форма 01. 02. 09" xfId="4774"/>
    <cellStyle name="_С-р , П Б, Х Б ва бошка банк 1,01,06 дан 25,05,06гача_УХКМ ва БИО форма 01. 02. 09" xfId="4775"/>
    <cellStyle name="_С-р , П Б, Х Б ва бошка банк 1,01,06 дан 25,05,06гача00" xfId="4776"/>
    <cellStyle name="_С-р , П Б, Х Б ва бошка банк 1,01,06 дан 25,05,06гача00" xfId="4777"/>
    <cellStyle name="_С-р , П Б, Х Б ва бошка банк 1,01,06 дан 25,05,06гача00" xfId="4778"/>
    <cellStyle name="_С-р , П Б, Х Б ва бошка банк 1,01,06 дан 25,05,06гача00" xfId="4779"/>
    <cellStyle name="_С-р , П Б, Х Б ва бошка банк 1,01,06 дан 25,05,06гача00 2" xfId="4780"/>
    <cellStyle name="_С-р , П Б, Х Б ва бошка банк 1,01,06 дан 25,05,06гача00 2" xfId="4781"/>
    <cellStyle name="_С-р , П Б, Х Б ва бошка банк 1,01,06 дан 25,05,06гача00 3" xfId="4782"/>
    <cellStyle name="_С-р , П Б, Х Б ва бошка банк 1,01,06 дан 25,05,06гача00 3" xfId="4783"/>
    <cellStyle name="_С-р , П Б, Х Б ва бошка банк 1,01,06 дан 25,05,06гача00_УХКМ ва БИО форма 01. 02. 09" xfId="4784"/>
    <cellStyle name="_С-р , П Б, Х Б ва бошка банк 1,01,06 дан 25,05,06гача00_УХКМ ва БИО форма 01. 02. 09" xfId="4785"/>
    <cellStyle name="_С-р , П Б, Х Б ва бошка банк 1,01,06 дан 25,05,06гача00_УХКМ ва БИО форма 01. 02. 09" xfId="4786"/>
    <cellStyle name="_С-р , П Б, Х Б ва бошка банк 1,01,06 дан 25,05,06гача00_УХКМ ва БИО форма 01. 02. 09" xfId="4787"/>
    <cellStyle name="_Сухроб Вилоят свод" xfId="4788"/>
    <cellStyle name="_Сухроб Вилоят свод" xfId="4789"/>
    <cellStyle name="_Тош.Вил. Суд,Инкасса 01.05.09й" xfId="4790"/>
    <cellStyle name="_Тош.Вил. Суд,Инкасса 01.05.09й" xfId="4791"/>
    <cellStyle name="_Узгартириш Саноат сал Макет" xfId="4792"/>
    <cellStyle name="_Узгартириш Саноат сал Макет" xfId="4793"/>
    <cellStyle name="_УХКМ ва БИО форма 01. 02. 09" xfId="4794"/>
    <cellStyle name="_УХКМ ва БИО форма 01. 02. 09" xfId="4795"/>
    <cellStyle name="_УХКМ ва БИО форма 01. 02. 09" xfId="4796"/>
    <cellStyle name="_УХКМ ва БИО форма 01. 02. 09" xfId="4797"/>
    <cellStyle name="_Факт 2006 йилга олганлар" xfId="4798"/>
    <cellStyle name="_Факт 2006 йилга олганлар" xfId="4799"/>
    <cellStyle name="_Факт 2006 йилга олганлар" xfId="4800"/>
    <cellStyle name="_Факт 2006 йилга олганлар" xfId="4801"/>
    <cellStyle name="_Факт 2006 йилга олганлар 2" xfId="4802"/>
    <cellStyle name="_Факт 2006 йилга олганлар 2" xfId="4803"/>
    <cellStyle name="_Факт 2006 йилга олганлар 3" xfId="4804"/>
    <cellStyle name="_Факт 2006 йилга олганлар 3" xfId="4805"/>
    <cellStyle name="_Факт 2006 йилга олганлар_2008 ОКТЯБР ишчи жадвал формула" xfId="4806"/>
    <cellStyle name="_Факт 2006 йилга олганлар_2008 ОКТЯБР ишчи жадвал формула" xfId="4807"/>
    <cellStyle name="_Факт 2006 йилга олганлар_2008 ОКТЯБР ишчи жадвал формула_2008 йил 1-декабр-сводлар-узгарди" xfId="4808"/>
    <cellStyle name="_Факт 2006 йилга олганлар_2008 ОКТЯБР ишчи жадвал формула_2008 йил 1-декабр-сводлар-узгарди" xfId="4809"/>
    <cellStyle name="_Факт 2006 йилга олганлар_2008 ОКТЯБР ишчи жадвал формула_2008 йил 1-ноябр-баланс билан" xfId="4810"/>
    <cellStyle name="_Факт 2006 йилга олганлар_2008 ОКТЯБР ишчи жадвал формула_2008 йил 1-ноябр-баланс билан" xfId="4811"/>
    <cellStyle name="_Факт 2006 йилга олганлар_2008_iil_APREL_ishchi_zhadval_formula2-СВОД" xfId="4812"/>
    <cellStyle name="_Факт 2006 йилга олганлар_2008_iil_APREL_ishchi_zhadval_formula2-СВОД" xfId="4813"/>
    <cellStyle name="_Факт 2006 йилга олганлар_2008_iil_APREL_ishchi_zhadval_formula2-СВОД" xfId="4814"/>
    <cellStyle name="_Факт 2006 йилга олганлар_2008_iil_APREL_ishchi_zhadval_formula2-СВОД" xfId="4815"/>
    <cellStyle name="_Факт 2006 йилга олганлар_Апрел кр такс иш хаки тулик 5.04.08 МБ га" xfId="4816"/>
    <cellStyle name="_Факт 2006 йилга олганлар_Апрел кр такс иш хаки тулик 5.04.08 МБ га" xfId="4817"/>
    <cellStyle name="_Факт 2006 йилга олганлар_Апрел кр такс иш хаки тулик 5.04.08 МБ га" xfId="4818"/>
    <cellStyle name="_Факт 2006 йилга олганлар_Апрел кр такс иш хаки тулик 5.04.08 МБ га" xfId="4819"/>
    <cellStyle name="_Факт 2006 йилга олганлар_ЛИЗИНГ МОНИТОРИНГИ-1.11.08й русумлар буйича" xfId="4820"/>
    <cellStyle name="_Факт 2006 йилга олганлар_ЛИЗИНГ МОНИТОРИНГИ-1.11.08й русумлар буйича" xfId="4821"/>
    <cellStyle name="_Факт 2006 йилга олганлар_ЛИЗИНГ МОНИТОРИНГИ-1.11.08й русумлар буйича" xfId="4822"/>
    <cellStyle name="_Факт 2006 йилга олганлар_ЛИЗИНГ МОНИТОРИНГИ-1.11.08й русумлар буйича" xfId="4823"/>
    <cellStyle name="_Факт 2006 йилга олганлар_УХКМ ва БИО форма 01. 02. 09" xfId="4824"/>
    <cellStyle name="_Факт 2006 йилга олганлар_УХКМ ва БИО форма 01. 02. 09" xfId="4825"/>
    <cellStyle name="_Факт 2006 йилга олганлар_УХКМ ва БИО форма 01. 02. 09" xfId="4826"/>
    <cellStyle name="_Факт 2006 йилга олганлар_УХКМ ва БИО форма 01. 02. 09" xfId="4827"/>
    <cellStyle name="_Фарғона" xfId="4828"/>
    <cellStyle name="_Фарғона" xfId="4829"/>
    <cellStyle name="_Фарғона_11-жадвал Акбарга" xfId="4830"/>
    <cellStyle name="_Фарғона_11-жадвал Акбарга" xfId="4831"/>
    <cellStyle name="_Фарғона_11-жадвал Акбарга_Салохият 47та 24.07.2012" xfId="4832"/>
    <cellStyle name="_Фарғона_11-жадвал Акбарга_Салохият 47та 24.07.2012" xfId="4833"/>
    <cellStyle name="_Фарғона_11-жадвал Акбарга_Саноат Салохият 02.10.2012й ҳолатига" xfId="4834"/>
    <cellStyle name="_Фарғона_11-жадвал Акбарга_Саноат Салохият 02.10.2012й ҳолатига" xfId="4835"/>
    <cellStyle name="_Фарғона_11-жадвал Акбарга_Саноат Салохият 03.10.2012й ҳолатига" xfId="4836"/>
    <cellStyle name="_Фарғона_11-жадвал Акбарга_Саноат Салохият 03.10.2012й ҳолатига" xfId="4837"/>
    <cellStyle name="_Фарғона_11-жадвал Акбарга_Саноат Салохият 47 та 06.10.2012й ҳолатига" xfId="4838"/>
    <cellStyle name="_Фарғона_11-жадвал Акбарга_Саноат Салохият 47 та 06.10.2012й ҳолатига" xfId="4839"/>
    <cellStyle name="_Фарғона_11-жадвал Акбарга_Саноат Салохият 47а та 06.10.2012й ҳолатига" xfId="4840"/>
    <cellStyle name="_Фарғона_11-жадвал Акбарга_Саноат Салохият 47а та 06.10.2012й ҳолатига" xfId="4841"/>
    <cellStyle name="_Фарғона_11-жадвал Акбарга_СИРДАРЁ СС 05.07.2012й ҳолатига" xfId="4842"/>
    <cellStyle name="_Фарғона_11-жадвал Акбарга_СИРДАРЁ СС 05.07.2012й ҳолатига" xfId="4843"/>
    <cellStyle name="_Фарғона_1-кисм 1-свод" xfId="4844"/>
    <cellStyle name="_Фарғона_1-кисм 1-свод" xfId="4845"/>
    <cellStyle name="_Фарғона_озиқ-овқат" xfId="4846"/>
    <cellStyle name="_Фарғона_озиқ-овқат" xfId="4847"/>
    <cellStyle name="_Фарғона_озиқ-овқат_Салохият 47та 24.07.2012" xfId="4848"/>
    <cellStyle name="_Фарғона_озиқ-овқат_Салохият 47та 24.07.2012" xfId="4849"/>
    <cellStyle name="_Фарғона_озиқ-овқат_Саноат Салохият 02.10.2012й ҳолатига" xfId="4850"/>
    <cellStyle name="_Фарғона_озиқ-овқат_Саноат Салохият 02.10.2012й ҳолатига" xfId="4851"/>
    <cellStyle name="_Фарғона_озиқ-овқат_Саноат Салохият 03.10.2012й ҳолатига" xfId="4852"/>
    <cellStyle name="_Фарғона_озиқ-овқат_Саноат Салохият 03.10.2012й ҳолатига" xfId="4853"/>
    <cellStyle name="_Фарғона_озиқ-овқат_Саноат Салохият 47 та 06.10.2012й ҳолатига" xfId="4854"/>
    <cellStyle name="_Фарғона_озиқ-овқат_Саноат Салохият 47 та 06.10.2012й ҳолатига" xfId="4855"/>
    <cellStyle name="_Фарғона_озиқ-овқат_Саноат Салохият 47а та 06.10.2012й ҳолатига" xfId="4856"/>
    <cellStyle name="_Фарғона_озиқ-овқат_Саноат Салохият 47а та 06.10.2012й ҳолатига" xfId="4857"/>
    <cellStyle name="_Фарғона_озиқ-овқат_СИРДАРЁ СС 05.07.2012й ҳолатига" xfId="4858"/>
    <cellStyle name="_Фарғона_озиқ-овқат_СИРДАРЁ СС 05.07.2012й ҳолатига" xfId="4859"/>
    <cellStyle name="_Фарғона_Салохият 47та 24.07.2012" xfId="4860"/>
    <cellStyle name="_Фарғона_Салохият 47та 24.07.2012" xfId="4861"/>
    <cellStyle name="_Фарғона_Саноат Салохият 02.10.2012й ҳолатига" xfId="4862"/>
    <cellStyle name="_Фарғона_Саноат Салохият 02.10.2012й ҳолатига" xfId="4863"/>
    <cellStyle name="_Фарғона_Саноат Салохият 03.10.2012й ҳолатига" xfId="4864"/>
    <cellStyle name="_Фарғона_Саноат Салохият 03.10.2012й ҳолатига" xfId="4865"/>
    <cellStyle name="_Фарғона_Саноат Салохият 47 та 06.10.2012й ҳолатига" xfId="4866"/>
    <cellStyle name="_Фарғона_Саноат Салохият 47 та 06.10.2012й ҳолатига" xfId="4867"/>
    <cellStyle name="_Фарғона_Саноат Салохият 47а та 06.10.2012й ҳолатига" xfId="4868"/>
    <cellStyle name="_Фарғона_Саноат Салохият 47а та 06.10.2012й ҳолатига" xfId="4869"/>
    <cellStyle name="_Фарғона_СИРДАРЁ СС 05.07.2012й ҳолатига" xfId="4870"/>
    <cellStyle name="_Фарғона_СИРДАРЁ СС 05.07.2012й ҳолатига" xfId="4871"/>
    <cellStyle name="_форма 1" xfId="4872"/>
    <cellStyle name="_форма 1" xfId="4873"/>
    <cellStyle name="_Химия-11" xfId="4874"/>
    <cellStyle name="_Химия-11" xfId="4875"/>
    <cellStyle name="_Химия-11" xfId="4876"/>
    <cellStyle name="_Химия-11" xfId="4877"/>
    <cellStyle name="_Химия-11_2008 йил 1-декабр-сводлар-узгарди" xfId="4878"/>
    <cellStyle name="_Химия-11_2008 йил 1-декабр-сводлар-узгарди" xfId="4879"/>
    <cellStyle name="_Химия-11_2008 йил 1-ноябр-баланс билан" xfId="4880"/>
    <cellStyle name="_Химия-11_2008 йил 1-ноябр-баланс билан" xfId="4881"/>
    <cellStyle name="_Химия-11_2008 ОКТЯБР ишчи жадвал формула" xfId="4882"/>
    <cellStyle name="_Химия-11_2008 ОКТЯБР ишчи жадвал формула" xfId="4883"/>
    <cellStyle name="_Химия-11_2008 ОКТЯБР ишчи жадвал формула" xfId="4884"/>
    <cellStyle name="_Химия-11_2008 ОКТЯБР ишчи жадвал формула" xfId="4885"/>
    <cellStyle name="_Химия-11_2008 ОКТЯБР ишчи жадвал формула_2008 йил 1-декабр-сводлар-узгарди" xfId="4886"/>
    <cellStyle name="_Химия-11_2008 ОКТЯБР ишчи жадвал формула_2008 йил 1-декабр-сводлар-узгарди" xfId="4887"/>
    <cellStyle name="_Химия-11_2008 ОКТЯБР ишчи жадвал формула_2008 йил 1-декабр-сводлар-узгарди" xfId="4888"/>
    <cellStyle name="_Химия-11_2008 ОКТЯБР ишчи жадвал формула_2008 йил 1-декабр-сводлар-узгарди" xfId="4889"/>
    <cellStyle name="_Химия-11_2008 ОКТЯБР ишчи жадвал формула_2008 йил 1-ноябр-баланс билан" xfId="4890"/>
    <cellStyle name="_Химия-11_2008 ОКТЯБР ишчи жадвал формула_2008 йил 1-ноябр-баланс билан" xfId="4891"/>
    <cellStyle name="_Химия-11_2008 ОКТЯБР ишчи жадвал формула_2008 йил 1-ноябр-баланс билан" xfId="4892"/>
    <cellStyle name="_Химия-11_2008 ОКТЯБР ишчи жадвал формула_2008 йил 1-ноябр-баланс билан" xfId="4893"/>
    <cellStyle name="_Химия-11_2008_iil_APREL_ishchi_zhadval_formula2-СВОД" xfId="4894"/>
    <cellStyle name="_Химия-11_2008_iil_APREL_ishchi_zhadval_formula2-СВОД" xfId="4895"/>
    <cellStyle name="_Химия-11_2008_iil_APREL_ishchi_zhadval_formula2-СВОД" xfId="4896"/>
    <cellStyle name="_Химия-11_2008_iil_APREL_ishchi_zhadval_formula2-СВОД" xfId="4897"/>
    <cellStyle name="_Химия-11_Апрел кр такс иш хаки тулик 5.04.08 МБ га" xfId="4898"/>
    <cellStyle name="_Химия-11_Апрел кр такс иш хаки тулик 5.04.08 МБ га" xfId="4899"/>
    <cellStyle name="_Чиким Апрел ойи котди" xfId="4900"/>
    <cellStyle name="_Чиким Апрел ойи котди" xfId="4901"/>
    <cellStyle name="_Чиким Апрел ойи котди" xfId="4902"/>
    <cellStyle name="_Чиким Апрел ойи котди" xfId="4903"/>
    <cellStyle name="_Чиким Апрел ойи котди 2" xfId="4904"/>
    <cellStyle name="_Чиким Апрел ойи котди 2" xfId="4905"/>
    <cellStyle name="_Чиким Апрел ойи котди 2" xfId="4906"/>
    <cellStyle name="_Чиким Апрел ойи котди 2" xfId="4907"/>
    <cellStyle name="_Чиким Апрел ойи котди 3" xfId="4908"/>
    <cellStyle name="_Чиким Апрел ойи котди 3" xfId="4909"/>
    <cellStyle name="_Чиким Апрел ойи котди 3" xfId="4910"/>
    <cellStyle name="_Чиким Апрел ойи котди 3" xfId="4911"/>
    <cellStyle name="_Чиким Апрел ойи котди_УХКМ ва БИО форма 01. 02. 09" xfId="4912"/>
    <cellStyle name="_Чиким Апрел ойи котди_УХКМ ва БИО форма 01. 02. 09" xfId="4913"/>
    <cellStyle name="_Чиким Апрел ойи котди_УХКМ ва БИО форма 01. 02. 09" xfId="4914"/>
    <cellStyle name="_Чиким Апрел ойи котди_УХКМ ва БИО форма 01. 02. 09" xfId="4915"/>
    <cellStyle name="_Чиким июн" xfId="4916"/>
    <cellStyle name="_Чиким июн" xfId="4917"/>
    <cellStyle name="_Чиким июн" xfId="4918"/>
    <cellStyle name="_Чиким июн" xfId="4919"/>
    <cellStyle name="_Чиким июн 2" xfId="4920"/>
    <cellStyle name="_Чиким июн 2" xfId="4921"/>
    <cellStyle name="_Чиким июн 2" xfId="4922"/>
    <cellStyle name="_Чиким июн 2" xfId="4923"/>
    <cellStyle name="_Чиким июн 3" xfId="4924"/>
    <cellStyle name="_Чиким июн 3" xfId="4925"/>
    <cellStyle name="_Чиким июн 3" xfId="4926"/>
    <cellStyle name="_Чиким июн 3" xfId="4927"/>
    <cellStyle name="_Чиким июн_2008 ОКТЯБР ишчи жадвал формула" xfId="4928"/>
    <cellStyle name="_Чиким июн_2008 ОКТЯБР ишчи жадвал формула" xfId="4929"/>
    <cellStyle name="_Чиким июн_2008 ОКТЯБР ишчи жадвал формула" xfId="4930"/>
    <cellStyle name="_Чиким июн_2008 ОКТЯБР ишчи жадвал формула" xfId="4931"/>
    <cellStyle name="_Чиким июн_2008 ОКТЯБР ишчи жадвал формула_2008 йил 1-декабр-сводлар-узгарди" xfId="4932"/>
    <cellStyle name="_Чиким июн_2008 ОКТЯБР ишчи жадвал формула_2008 йил 1-декабр-сводлар-узгарди" xfId="4933"/>
    <cellStyle name="_Чиким июн_2008 ОКТЯБР ишчи жадвал формула_2008 йил 1-декабр-сводлар-узгарди" xfId="4934"/>
    <cellStyle name="_Чиким июн_2008 ОКТЯБР ишчи жадвал формула_2008 йил 1-декабр-сводлар-узгарди" xfId="4935"/>
    <cellStyle name="_Чиким июн_2008 ОКТЯБР ишчи жадвал формула_2008 йил 1-ноябр-баланс билан" xfId="4936"/>
    <cellStyle name="_Чиким июн_2008 ОКТЯБР ишчи жадвал формула_2008 йил 1-ноябр-баланс билан" xfId="4937"/>
    <cellStyle name="_Чиким июн_2008 ОКТЯБР ишчи жадвал формула_2008 йил 1-ноябр-баланс билан" xfId="4938"/>
    <cellStyle name="_Чиким июн_2008 ОКТЯБР ишчи жадвал формула_2008 йил 1-ноябр-баланс билан" xfId="4939"/>
    <cellStyle name="_Чиким июн_2008_iil_APREL_ishchi_zhadval_formula2-СВОД" xfId="4940"/>
    <cellStyle name="_Чиким июн_2008_iil_APREL_ishchi_zhadval_formula2-СВОД" xfId="4941"/>
    <cellStyle name="_Чиким июн_2008_iil_APREL_ishchi_zhadval_formula2-СВОД" xfId="4942"/>
    <cellStyle name="_Чиким июн_2008_iil_APREL_ishchi_zhadval_formula2-СВОД" xfId="4943"/>
    <cellStyle name="_Чиким июн_Апрел кр такс иш хаки тулик 5.04.08 МБ га" xfId="4944"/>
    <cellStyle name="_Чиким июн_Апрел кр такс иш хаки тулик 5.04.08 МБ га" xfId="4945"/>
    <cellStyle name="_Чиким июн_Апрел кр такс иш хаки тулик 5.04.08 МБ га" xfId="4946"/>
    <cellStyle name="_Чиким июн_Апрел кр такс иш хаки тулик 5.04.08 МБ га" xfId="4947"/>
    <cellStyle name="_Чиким июн_ЛИЗИНГ МОНИТОРИНГИ-1.11.08й русумлар буйича" xfId="4948"/>
    <cellStyle name="_Чиким июн_ЛИЗИНГ МОНИТОРИНГИ-1.11.08й русумлар буйича" xfId="4949"/>
    <cellStyle name="_Чиким июн_ЛИЗИНГ МОНИТОРИНГИ-1.11.08й русумлар буйича" xfId="4950"/>
    <cellStyle name="_Чиким июн_ЛИЗИНГ МОНИТОРИНГИ-1.11.08й русумлар буйича" xfId="4951"/>
    <cellStyle name="_Чиким июн_УХКМ ва БИО форма 01. 02. 09" xfId="4952"/>
    <cellStyle name="_Чиким июн_УХКМ ва БИО форма 01. 02. 09" xfId="4953"/>
    <cellStyle name="_Чиким июн_УХКМ ва БИО форма 01. 02. 09" xfId="4954"/>
    <cellStyle name="_Чиким июн_УХКМ ва БИО форма 01. 02. 09" xfId="4955"/>
    <cellStyle name="_Энг охирги экипаж-1" xfId="4956"/>
    <cellStyle name="_Энг охирги экипаж-1" xfId="4957"/>
    <cellStyle name="_Энг охирги экипаж-1" xfId="4958"/>
    <cellStyle name="_Энг охирги экипаж-1" xfId="4959"/>
    <cellStyle name="_Энг охирги экипаж-1 2" xfId="4960"/>
    <cellStyle name="_Энг охирги экипаж-1 2" xfId="4961"/>
    <cellStyle name="_Энг охирги экипаж-1 2" xfId="4962"/>
    <cellStyle name="_Энг охирги экипаж-1 2" xfId="4963"/>
    <cellStyle name="_Энг охирги экипаж-1 3" xfId="4964"/>
    <cellStyle name="_Энг охирги экипаж-1 3" xfId="4965"/>
    <cellStyle name="_Энг охирги экипаж-1 3" xfId="4966"/>
    <cellStyle name="_Энг охирги экипаж-1 3" xfId="4967"/>
    <cellStyle name="_Энг охирги экипаж-1_УХКМ ва БИО форма 01. 02. 09" xfId="4968"/>
    <cellStyle name="_Энг охирги экипаж-1_УХКМ ва БИО форма 01. 02. 09" xfId="4969"/>
    <cellStyle name="_Энг охирги экипаж-1_УХКМ ва БИО форма 01. 02. 09" xfId="4970"/>
    <cellStyle name="_Энг охирги экипаж-1_УХКМ ва БИО форма 01. 02. 09" xfId="4971"/>
    <cellStyle name="" xfId="4972"/>
    <cellStyle name="" xfId="4973"/>
    <cellStyle name=" 2" xfId="4974"/>
    <cellStyle name=" 2" xfId="4975"/>
    <cellStyle name=" 3" xfId="4976"/>
    <cellStyle name=" 3" xfId="4977"/>
    <cellStyle name="_+СВОД  Узбекча Кашкадарё" xfId="4978"/>
    <cellStyle name="_05,06,2007 йилга сводка Дустлик 2" xfId="4979"/>
    <cellStyle name="_05,06,2007 йилга сводка Дустлик 2 2" xfId="4980"/>
    <cellStyle name="_05,06,2007 йилга сводка Дустлик 2 2" xfId="4981"/>
    <cellStyle name="_05,06,2007 йилга сводка Дустлик 2 3" xfId="4982"/>
    <cellStyle name="_05,06,2007 йилга сводка Дустлик 2 3" xfId="4983"/>
    <cellStyle name="_1 август 2006 йилдан" xfId="4984"/>
    <cellStyle name="_1 август 2006 йилдан" xfId="4985"/>
    <cellStyle name="_1 август 2006 йилдан 2" xfId="4986"/>
    <cellStyle name="_1 август 2006 йилдан 2" xfId="4987"/>
    <cellStyle name="_1 август 2006 йилдан 3" xfId="4988"/>
    <cellStyle name="_1 август 2006 йилдан 3" xfId="4989"/>
    <cellStyle name="_1 август 2006 йилдан_УХКМ ва БИО форма 01. 02. 09" xfId="4990"/>
    <cellStyle name="_1 август 2006 йилдан_УХКМ ва БИО форма 01. 02. 09" xfId="4991"/>
    <cellStyle name="_1 августга бешта формани бошкатдан тайёрланди" xfId="4992"/>
    <cellStyle name="_1 августга бешта формани бошкатдан тайёрланди" xfId="4993"/>
    <cellStyle name="_1 августга бешта формани бошкатдан тайёрланди 2" xfId="4994"/>
    <cellStyle name="_1 августга бешта формани бошкатдан тайёрланди 2" xfId="4995"/>
    <cellStyle name="_1 августга бешта формани бошкатдан тайёрланди 3" xfId="4996"/>
    <cellStyle name="_1 августга бешта формани бошкатдан тайёрланди 3" xfId="4997"/>
    <cellStyle name="_1 августга бешта формани бошкатдан тайёрланди_УХКМ ва БИО форма 01. 02. 09" xfId="4998"/>
    <cellStyle name="_1 августга бешта формани бошкатдан тайёрланди_УХКМ ва БИО форма 01. 02. 09" xfId="4999"/>
    <cellStyle name="_12.05.06" xfId="5000"/>
    <cellStyle name="_12.05.06" xfId="5001"/>
    <cellStyle name="_12.05.06_2008_iil_APREL_ishchi_zhadval_formula2-СВОД" xfId="5002"/>
    <cellStyle name="_12.05.06_2008_iil_APREL_ishchi_zhadval_formula2-СВОД" xfId="5003"/>
    <cellStyle name="_12.05.06_Апрел кр такс иш хаки тулик 5.04.08 МБ га" xfId="5004"/>
    <cellStyle name="_12.05.06_Апрел кр такс иш хаки тулик 5.04.08 МБ га" xfId="5005"/>
    <cellStyle name="_12.05.06_ЛИЗИНГ МОНИТОРИНГИ-1.11.08й русумлар буйича" xfId="5006"/>
    <cellStyle name="_12.05.06_ЛИЗИНГ МОНИТОРИНГИ-1.11.08й русумлар буйича" xfId="5007"/>
    <cellStyle name="_12.05.06_УХКМ ва БИО форма 01. 02. 09" xfId="5008"/>
    <cellStyle name="_12.05.06_УХКМ ва БИО форма 01. 02. 09" xfId="5009"/>
    <cellStyle name="_15-05-07 га форма" xfId="5010"/>
    <cellStyle name="_15-05-07 га форма" xfId="5011"/>
    <cellStyle name="_15-05-07 га форма 2" xfId="5012"/>
    <cellStyle name="_15-05-07 га форма 2" xfId="5013"/>
    <cellStyle name="_15-05-07 га форма 3" xfId="5014"/>
    <cellStyle name="_15-05-07 га форма 3" xfId="5015"/>
    <cellStyle name="_15-05-07 га форма_УХКМ ва БИО форма 01. 02. 09" xfId="5016"/>
    <cellStyle name="_15-05-07 га форма_УХКМ ва БИО форма 01. 02. 09" xfId="5017"/>
    <cellStyle name="_17,09,2006" xfId="5018"/>
    <cellStyle name="_17,09,2006" xfId="5019"/>
    <cellStyle name="_17,09,2006_УХКМ ва БИО форма 01. 02. 09" xfId="5020"/>
    <cellStyle name="_17,09,2006_УХКМ ва БИО форма 01. 02. 09" xfId="5021"/>
    <cellStyle name="_18 жадвал сан" xfId="5022"/>
    <cellStyle name="_2006 йил хосили учун чиким Счёт фактура" xfId="5023"/>
    <cellStyle name="_2006 йил хосили учун чиким Счёт фактура 2" xfId="5024"/>
    <cellStyle name="_2006 йил хосили учун чиким Счёт фактура 2" xfId="5025"/>
    <cellStyle name="_2006 йил хосили учун чиким Счёт фактура 3" xfId="5026"/>
    <cellStyle name="_2006 йил хосили учун чиким Счёт фактура 3" xfId="5027"/>
    <cellStyle name="_2006 йил хосили учун чиким Счёт фактура_2008 ОКТЯБР ишчи жадвал формула" xfId="5028"/>
    <cellStyle name="_2006 йил хосили учун чиким Счёт фактура_2008 ОКТЯБР ишчи жадвал формула" xfId="5029"/>
    <cellStyle name="_2006 йил хосили учун чиким Счёт фактура_2008 ОКТЯБР ишчи жадвал формула_2008 йил 1-декабр-сводлар-узгарди" xfId="5030"/>
    <cellStyle name="_2006 йил хосили учун чиким Счёт фактура_2008 ОКТЯБР ишчи жадвал формула_2008 йил 1-декабр-сводлар-узгарди" xfId="5031"/>
    <cellStyle name="_2006 йил хосили учун чиким Счёт фактура_2008 ОКТЯБР ишчи жадвал формула_2008 йил 1-ноябр-баланс билан" xfId="5032"/>
    <cellStyle name="_2006 йил хосили учун чиким Счёт фактура_2008 ОКТЯБР ишчи жадвал формула_2008 йил 1-ноябр-баланс билан" xfId="5033"/>
    <cellStyle name="_2006 йил хосили учун чиким Счёт фактура_2008_iil_APREL_ishchi_zhadval_formula2-СВОД" xfId="5034"/>
    <cellStyle name="_2006 йил хосили учун чиким Счёт фактура_2008_iil_APREL_ishchi_zhadval_formula2-СВОД" xfId="5035"/>
    <cellStyle name="_2006 йил хосили учун чиким Счёт фактура_Апрел кр такс иш хаки тулик 5.04.08 МБ га" xfId="5036"/>
    <cellStyle name="_2006 йил хосили учун чиким Счёт фактура_Апрел кр такс иш хаки тулик 5.04.08 МБ га" xfId="5037"/>
    <cellStyle name="_2006 йил хосили учун чиким Счёт фактура_ЛИЗИНГ МОНИТОРИНГИ-1.11.08й русумлар буйича" xfId="5038"/>
    <cellStyle name="_2006 йил хосили учун чиким Счёт фактура_ЛИЗИНГ МОНИТОРИНГИ-1.11.08й русумлар буйича" xfId="5039"/>
    <cellStyle name="_2006 йил хосили учун чиким Счёт фактура_УХКМ ва БИО форма 01. 02. 09" xfId="5040"/>
    <cellStyle name="_2006 йил хосили учун чиким Счёт фактура_УХКМ ва БИО форма 01. 02. 09" xfId="5041"/>
    <cellStyle name="_2007 йил январ чиким котди" xfId="5042"/>
    <cellStyle name="_2007 йил январ чиким котди" xfId="5043"/>
    <cellStyle name="_2007 йил январ чиким котди 2" xfId="5044"/>
    <cellStyle name="_2007 йил январ чиким котди 2" xfId="5045"/>
    <cellStyle name="_2007 йил январ чиким котди 3" xfId="5046"/>
    <cellStyle name="_2007 йил январ чиким котди 3" xfId="5047"/>
    <cellStyle name="_2007 йил январ чиким котди_УХКМ ва БИО форма 01. 02. 09" xfId="5048"/>
    <cellStyle name="_2007 йил январ чиким котди_УХКМ ва БИО форма 01. 02. 09" xfId="5049"/>
    <cellStyle name="_2008 ОКТЯБР ишчи жадвал формула" xfId="5050"/>
    <cellStyle name="_2008 ОКТЯБР ишчи жадвал формула" xfId="5051"/>
    <cellStyle name="_2008 ОКТЯБР ишчи жадвал формула_2008 йил 1-декабр-сводлар-узгарди" xfId="5052"/>
    <cellStyle name="_2008 ОКТЯБР ишчи жадвал формула_2008 йил 1-декабр-сводлар-узгарди" xfId="5053"/>
    <cellStyle name="_2008 ОКТЯБР ишчи жадвал формула_2008 йил 1-ноябр-баланс билан" xfId="5054"/>
    <cellStyle name="_2008 ОКТЯБР ишчи жадвал формула_2008 йил 1-ноябр-баланс билан" xfId="5055"/>
    <cellStyle name="_2008 ФЕВРАЛ ишчи жадвал формула СВОД" xfId="5056"/>
    <cellStyle name="_2008 ФЕВРАЛ ишчи жадвал формула СВОД" xfId="5057"/>
    <cellStyle name="_2008_iil_APREL_ishchi_zhadval_formula2-СВОД" xfId="5058"/>
    <cellStyle name="_2008_iil_APREL_ishchi_zhadval_formula2-СВОД" xfId="5059"/>
    <cellStyle name="_2010 йил 1-ярим йиллик лойихалар" xfId="5060"/>
    <cellStyle name="_3 Сводка 16,04,07" xfId="5061"/>
    <cellStyle name="_3 Сводка 16,04,07_2008 ОКТЯБР ишчи жадвал формула" xfId="5062"/>
    <cellStyle name="_3 Сводка 16,04,07_2008 ОКТЯБР ишчи жадвал формула" xfId="5063"/>
    <cellStyle name="_3 Сводка 16,04,07_2008 ОКТЯБР ишчи жадвал формула_2008 йил 1-декабр-сводлар-узгарди" xfId="5064"/>
    <cellStyle name="_3 Сводка 16,04,07_2008 ОКТЯБР ишчи жадвал формула_2008 йил 1-декабр-сводлар-узгарди" xfId="5065"/>
    <cellStyle name="_3 Сводка 16,04,07_2008 ОКТЯБР ишчи жадвал формула_2008 йил 1-ноябр-баланс билан" xfId="5066"/>
    <cellStyle name="_3 Сводка 16,04,07_2008 ОКТЯБР ишчи жадвал формула_2008 йил 1-ноябр-баланс билан" xfId="5067"/>
    <cellStyle name="_3 Сводка 16,04,07_2008_iil_APREL_ishchi_zhadval_formula2-СВОД" xfId="5068"/>
    <cellStyle name="_3 Сводка 16,04,07_2008_iil_APREL_ishchi_zhadval_formula2-СВОД" xfId="5069"/>
    <cellStyle name="_3 Сводка 16,04,07_Апрел кр такс иш хаки тулик 5.04.08 МБ га" xfId="5070"/>
    <cellStyle name="_3 Сводка 16,04,07_Апрел кр такс иш хаки тулик 5.04.08 МБ га" xfId="5071"/>
    <cellStyle name="_3 Сводка 16,04,07_ЛИЗИНГ МОНИТОРИНГИ-1.11.08й русумлар буйича" xfId="5072"/>
    <cellStyle name="_3 Сводка 16,04,07_ЛИЗИНГ МОНИТОРИНГИ-1.11.08й русумлар буйича" xfId="5073"/>
    <cellStyle name="_3 Сводка 16,04,07_УХКМ ва БИО форма 01. 02. 09" xfId="5074"/>
    <cellStyle name="_3 Сводка 16,04,07_УХКМ ва БИО форма 01. 02. 09" xfId="5075"/>
    <cellStyle name="_MONITOR 08-05-07 Вилоятга" xfId="5076"/>
    <cellStyle name="_MONITOR 08-05-07 Вилоятга" xfId="5077"/>
    <cellStyle name="_MONITOR 08-05-07 Вилоятга 2" xfId="5078"/>
    <cellStyle name="_MONITOR 08-05-07 Вилоятга 2" xfId="5079"/>
    <cellStyle name="_MONITOR 08-05-07 Вилоятга 3" xfId="5080"/>
    <cellStyle name="_MONITOR 08-05-07 Вилоятга 3" xfId="5081"/>
    <cellStyle name="_MONITOR 08-05-07 Вилоятга_УХКМ ва БИО форма 01. 02. 09" xfId="5082"/>
    <cellStyle name="_MONITOR 08-05-07 Вилоятга_УХКМ ва БИО форма 01. 02. 09" xfId="5083"/>
    <cellStyle name="_MONITOR 15-05-07 ВилоятгаААА" xfId="5084"/>
    <cellStyle name="_MONITOR 15-05-07 ВилоятгаААА" xfId="5085"/>
    <cellStyle name="_MONITOR 15-05-07 ВилоятгаААА 2" xfId="5086"/>
    <cellStyle name="_MONITOR 15-05-07 ВилоятгаААА 2" xfId="5087"/>
    <cellStyle name="_MONITOR 15-05-07 ВилоятгаААА 3" xfId="5088"/>
    <cellStyle name="_MONITOR 15-05-07 ВилоятгаААА 3" xfId="5089"/>
    <cellStyle name="_MONITOR 15-05-07 ВилоятгаААА_УХКМ ва БИО форма 01. 02. 09" xfId="5090"/>
    <cellStyle name="_MONITOR 15-05-07 ВилоятгаААА_УХКМ ва БИО форма 01. 02. 09" xfId="5091"/>
    <cellStyle name="_MONITOR 17-05-07 Вилоятгааа" xfId="5092"/>
    <cellStyle name="_MONITOR 17-05-07 Вилоятгааа" xfId="5093"/>
    <cellStyle name="_MONITOR 17-05-07 Вилоятгааа 2" xfId="5094"/>
    <cellStyle name="_MONITOR 17-05-07 Вилоятгааа 2" xfId="5095"/>
    <cellStyle name="_MONITOR 17-05-07 Вилоятгааа 3" xfId="5096"/>
    <cellStyle name="_MONITOR 17-05-07 Вилоятгааа 3" xfId="5097"/>
    <cellStyle name="_MONITOR 24-02-07 JJJ Охиргиси" xfId="5098"/>
    <cellStyle name="_MONITOR 24-02-07 JJJ Охиргиси" xfId="5099"/>
    <cellStyle name="_MONITOR 24-02-07 JJJ Охиргиси 2" xfId="5100"/>
    <cellStyle name="_MONITOR 24-02-07 JJJ Охиргиси 2" xfId="5101"/>
    <cellStyle name="_MONITOR 24-02-07 JJJ Охиргиси 3" xfId="5102"/>
    <cellStyle name="_MONITOR 24-02-07 JJJ Охиргиси 3" xfId="5103"/>
    <cellStyle name="_MONITOR 24-02-07 JJJ Охиргиси_УХКМ ва БИО форма 01. 02. 09" xfId="5104"/>
    <cellStyle name="_MONITOR 24-02-07 JJJ Охиргиси_УХКМ ва БИО форма 01. 02. 09" xfId="5105"/>
    <cellStyle name="_SVOD SHINA" xfId="5106"/>
    <cellStyle name="_SVOD SHINA" xfId="5107"/>
    <cellStyle name="_SVOD SHINA_УХКМ ва БИО форма 01. 02. 09" xfId="5108"/>
    <cellStyle name="_SVOD SHINA_УХКМ ва БИО форма 01. 02. 09" xfId="5109"/>
    <cellStyle name="_АКЧАБОЙ АКАГА 1-озиклантириш фонд" xfId="5110"/>
    <cellStyle name="_АКЧАБОЙ АКАГА 1-озиклантириш фонд" xfId="5111"/>
    <cellStyle name="_АКЧАБОЙ АКАГА 1-озиклантириш фонд 2" xfId="5112"/>
    <cellStyle name="_АКЧАБОЙ АКАГА 1-озиклантириш фонд 2" xfId="5113"/>
    <cellStyle name="_АКЧАБОЙ АКАГА 1-озиклантириш фонд 3" xfId="5114"/>
    <cellStyle name="_АКЧАБОЙ АКАГА 1-озиклантириш фонд 3" xfId="5115"/>
    <cellStyle name="_Апрел кр такс иш хаки тулик 5.04.08 МБ га" xfId="5116"/>
    <cellStyle name="_Апрел кр такс иш хаки тулик 5.04.08 МБ га" xfId="5117"/>
    <cellStyle name="_Апрел кредитдан тушди 19-04" xfId="5118"/>
    <cellStyle name="_Апрел кредитдан тушди 19-04" xfId="5119"/>
    <cellStyle name="_Апрел кредитдан тушди 19-04_2008 ОКТЯБР ишчи жадвал формула" xfId="5120"/>
    <cellStyle name="_Апрел кредитдан тушди 19-04_2008 ОКТЯБР ишчи жадвал формула" xfId="5121"/>
    <cellStyle name="_Апрел кредитдан тушди 19-04_2008 ОКТЯБР ишчи жадвал формула_2008 йил 1-декабр-сводлар-узгарди" xfId="5122"/>
    <cellStyle name="_Апрел кредитдан тушди 19-04_2008 ОКТЯБР ишчи жадвал формула_2008 йил 1-декабр-сводлар-узгарди" xfId="5123"/>
    <cellStyle name="_Апрел кредитдан тушди 19-04_2008 ОКТЯБР ишчи жадвал формула_2008 йил 1-ноябр-баланс билан" xfId="5124"/>
    <cellStyle name="_Апрел кредитдан тушди 19-04_2008 ОКТЯБР ишчи жадвал формула_2008 йил 1-ноябр-баланс билан" xfId="5125"/>
    <cellStyle name="_Апрел кредитдан тушди 19-04_2008_iil_APREL_ishchi_zhadval_formula2-СВОД" xfId="5126"/>
    <cellStyle name="_Апрел кредитдан тушди 19-04_2008_iil_APREL_ishchi_zhadval_formula2-СВОД" xfId="5127"/>
    <cellStyle name="_Апрел-режа-ксхб" xfId="5128"/>
    <cellStyle name="_Апрел-режа-ксхб" xfId="5129"/>
    <cellStyle name="_Апрел-режа-ксхб_2008 ОКТЯБР ишчи жадвал формула" xfId="5130"/>
    <cellStyle name="_Апрел-режа-ксхб_2008 ОКТЯБР ишчи жадвал формула" xfId="5131"/>
    <cellStyle name="_Апрел-режа-ксхб_2008 ОКТЯБР ишчи жадвал формула_2008 йил 1-декабр-сводлар-узгарди" xfId="5132"/>
    <cellStyle name="_Апрел-режа-ксхб_2008 ОКТЯБР ишчи жадвал формула_2008 йил 1-декабр-сводлар-узгарди" xfId="5133"/>
    <cellStyle name="_Апрел-режа-ксхб_2008 ОКТЯБР ишчи жадвал формула_2008 йил 1-ноябр-баланс билан" xfId="5134"/>
    <cellStyle name="_Апрел-режа-ксхб_2008 ОКТЯБР ишчи жадвал формула_2008 йил 1-ноябр-баланс билан" xfId="5135"/>
    <cellStyle name="_Апрел-режа-ксхб_2008_iil_APREL_ishchi_zhadval_formula2-СВОД" xfId="5136"/>
    <cellStyle name="_Апрел-режа-ксхб_2008_iil_APREL_ishchi_zhadval_formula2-СВОД" xfId="5137"/>
    <cellStyle name="_АХБОРОТ ТАХЛИЛГАга жадваллар (по туманам)" xfId="5138"/>
    <cellStyle name="_Вахобга галла кредит буйича 30 май" xfId="5139"/>
    <cellStyle name="_Вахобга галла кредит буйича 30 май_2008 ОКТЯБР ишчи жадвал формула" xfId="5140"/>
    <cellStyle name="_Вахобга галла кредит буйича 30 май_2008 ОКТЯБР ишчи жадвал формула" xfId="5141"/>
    <cellStyle name="_Вахобга галла кредит буйича 30 май_2008 ОКТЯБР ишчи жадвал формула_2008 йил 1-декабр-сводлар-узгарди" xfId="5142"/>
    <cellStyle name="_Вахобга галла кредит буйича 30 май_2008 ОКТЯБР ишчи жадвал формула_2008 йил 1-декабр-сводлар-узгарди" xfId="5143"/>
    <cellStyle name="_Вахобга галла кредит буйича 30 май_2008 ОКТЯБР ишчи жадвал формула_2008 йил 1-ноябр-баланс билан" xfId="5144"/>
    <cellStyle name="_Вахобга галла кредит буйича 30 май_2008 ОКТЯБР ишчи жадвал формула_2008 йил 1-ноябр-баланс билан" xfId="5145"/>
    <cellStyle name="_Вахобга галла кредит буйича 30 май_2008_iil_APREL_ishchi_zhadval_formula2-СВОД" xfId="5146"/>
    <cellStyle name="_Вахобга галла кредит буйича 30 май_2008_iil_APREL_ishchi_zhadval_formula2-СВОД" xfId="5147"/>
    <cellStyle name="_Вилоят 2012-Дастури ИТОГ 2-вариант" xfId="5148"/>
    <cellStyle name="_Вилоят буйича 9-форма лизинг" xfId="5149"/>
    <cellStyle name="_Вилоят буйича март ойи 2.03.08 факт банкка талаб" xfId="5150"/>
    <cellStyle name="_Вилоят буйича март ойи 2.03.08 факт банкка талаб" xfId="5151"/>
    <cellStyle name="_Вилоят охирги мониторинг 18-04-07 кейинги" xfId="5152"/>
    <cellStyle name="_Вилоят охирги мониторинг 18-04-07 кейинги" xfId="5153"/>
    <cellStyle name="_Вилоят охирги мониторинг 18-04-07 кейинги_УХКМ ва БИО форма 01. 02. 09" xfId="5154"/>
    <cellStyle name="_Вилоят охирги мониторинг 18-04-07 кейинги_УХКМ ва БИО форма 01. 02. 09" xfId="5155"/>
    <cellStyle name="_Вилоят охирги мониторинг 20-04-07 кейинги" xfId="5156"/>
    <cellStyle name="_Вилоят охирги мониторинг 20-04-07 кейинги" xfId="5157"/>
    <cellStyle name="_Вилоят охирги мониторинг 20-04-07 кейинги 2" xfId="5158"/>
    <cellStyle name="_Вилоят охирги мониторинг 20-04-07 кейинги 2" xfId="5159"/>
    <cellStyle name="_Вилоят охирги мониторинг 20-04-07 кейинги 3" xfId="5160"/>
    <cellStyle name="_Вилоят охирги мониторинг 20-04-07 кейинги 3" xfId="5161"/>
    <cellStyle name="_Вилоят охирги мониторинг 20-04-07 кейинги_УХКМ ва БИО форма 01. 02. 09" xfId="5162"/>
    <cellStyle name="_Вилоят охирги мониторинг 20-04-07 кейинги_УХКМ ва БИО форма 01. 02. 09" xfId="5163"/>
    <cellStyle name="_Вилоятга Эканамис маълумотлари" xfId="5164"/>
    <cellStyle name="_Вилоятга Эканамис маълумотлари" xfId="5165"/>
    <cellStyle name="_Вилоятга Эканамис маълумотлари 2" xfId="5166"/>
    <cellStyle name="_Вилоятга Эканамис маълумотлари 2" xfId="5167"/>
    <cellStyle name="_Вилоятга Эканамис маълумотлари 3" xfId="5168"/>
    <cellStyle name="_Вилоятга Эканамис маълумотлари 3" xfId="5169"/>
    <cellStyle name="_Вилоятга Эканамис маълумотлари_УХКМ ва БИО форма 01. 02. 09" xfId="5170"/>
    <cellStyle name="_Вилоятга Эканамис маълумотлари_УХКМ ва БИО форма 01. 02. 09" xfId="5171"/>
    <cellStyle name="_Вилоят-химия-монитор-камай-21-04-07-агп" xfId="5172"/>
    <cellStyle name="_Вилоят-химия-монитор-камай-21-04-07-агп" xfId="5173"/>
    <cellStyle name="_Вилоят-химия-монитор-камай-21-04-07-агп 2" xfId="5174"/>
    <cellStyle name="_Вилоят-химия-монитор-камай-21-04-07-агп 2" xfId="5175"/>
    <cellStyle name="_Вилоят-химия-монитор-камай-21-04-07-агп 3" xfId="5176"/>
    <cellStyle name="_Вилоят-химия-монитор-камай-21-04-07-агп 3" xfId="5177"/>
    <cellStyle name="_Вилоят-химия-монитор-камай-21-04-07-агп_УХКМ ва БИО форма 01. 02. 09" xfId="5178"/>
    <cellStyle name="_Вилоят-химия-монитор-камай-21-04-07-агп_УХКМ ва БИО форма 01. 02. 09" xfId="5179"/>
    <cellStyle name="_Галла -2008 (Сентябр,октябр) -00121" xfId="5180"/>
    <cellStyle name="_Галла -2008 (Сентябр,октябр) -00121" xfId="5181"/>
    <cellStyle name="_Галла -2008 (Сентябр,октябр) -00121_2008 ОКТЯБР ишчи жадвал формула" xfId="5182"/>
    <cellStyle name="_Галла -2008 (Сентябр,октябр) -00121_2008 ОКТЯБР ишчи жадвал формула" xfId="5183"/>
    <cellStyle name="_Галла -2008 (Сентябр,октябр) -00121_2008 ОКТЯБР ишчи жадвал формула_2008 йил 1-декабр-сводлар-узгарди" xfId="5184"/>
    <cellStyle name="_Галла -2008 (Сентябр,октябр) -00121_2008 ОКТЯБР ишчи жадвал формула_2008 йил 1-декабр-сводлар-узгарди" xfId="5185"/>
    <cellStyle name="_Галла -2008 (Сентябр,октябр) -00121_2008 ОКТЯБР ишчи жадвал формула_2008 йил 1-ноябр-баланс билан" xfId="5186"/>
    <cellStyle name="_Галла -2008 (Сентябр,октябр) -00121_2008 ОКТЯБР ишчи жадвал формула_2008 йил 1-ноябр-баланс билан" xfId="5187"/>
    <cellStyle name="_Галла -2008 (Сентябр,октябр) -00121_2008_iil_APREL_ishchi_zhadval_formula2-СВОД" xfId="5188"/>
    <cellStyle name="_Галла -2008 (Сентябр,октябр) -00121_2008_iil_APREL_ishchi_zhadval_formula2-СВОД" xfId="5189"/>
    <cellStyle name="_Галла -2008 (Сентябр,октябр) -00138" xfId="5190"/>
    <cellStyle name="_Галла -2008 (Сентябр,октябр) -00138" xfId="5191"/>
    <cellStyle name="_Галла -2008 (Сентябр,октябр) -00138_2008 ОКТЯБР ишчи жадвал формула" xfId="5192"/>
    <cellStyle name="_Галла -2008 (Сентябр,октябр) -00138_2008 ОКТЯБР ишчи жадвал формула" xfId="5193"/>
    <cellStyle name="_Галла -2008 (Сентябр,октябр) -00138_2008 ОКТЯБР ишчи жадвал формула_2008 йил 1-декабр-сводлар-узгарди" xfId="5194"/>
    <cellStyle name="_Галла -2008 (Сентябр,октябр) -00138_2008 ОКТЯБР ишчи жадвал формула_2008 йил 1-декабр-сводлар-узгарди" xfId="5195"/>
    <cellStyle name="_Галла -2008 (Сентябр,октябр) -00138_2008 ОКТЯБР ишчи жадвал формула_2008 йил 1-ноябр-баланс билан" xfId="5196"/>
    <cellStyle name="_Галла -2008 (Сентябр,октябр) -00138_2008 ОКТЯБР ишчи жадвал формула_2008 йил 1-ноябр-баланс билан" xfId="5197"/>
    <cellStyle name="_Галла -2008 (Сентябр,октябр) -00138_2008_iil_APREL_ishchi_zhadval_formula2-СВОД" xfId="5198"/>
    <cellStyle name="_Галла -2008 (Сентябр,октябр) -00138_2008_iil_APREL_ishchi_zhadval_formula2-СВОД" xfId="5199"/>
    <cellStyle name="_Галла -2008 (Сентябр,октябр)-00140" xfId="5200"/>
    <cellStyle name="_Галла -2008 (Сентябр,октябр)-00140" xfId="5201"/>
    <cellStyle name="_Галла -2008 (Сентябр,октябр)-00140_2008 ОКТЯБР ишчи жадвал формула" xfId="5202"/>
    <cellStyle name="_Галла -2008 (Сентябр,октябр)-00140_2008 ОКТЯБР ишчи жадвал формула" xfId="5203"/>
    <cellStyle name="_Галла -2008 (Сентябр,октябр)-00140_2008 ОКТЯБР ишчи жадвал формула_2008 йил 1-декабр-сводлар-узгарди" xfId="5204"/>
    <cellStyle name="_Галла -2008 (Сентябр,октябр)-00140_2008 ОКТЯБР ишчи жадвал формула_2008 йил 1-декабр-сводлар-узгарди" xfId="5205"/>
    <cellStyle name="_Галла -2008 (Сентябр,октябр)-00140_2008 ОКТЯБР ишчи жадвал формула_2008 йил 1-ноябр-баланс билан" xfId="5206"/>
    <cellStyle name="_Галла -2008 (Сентябр,октябр)-00140_2008 ОКТЯБР ишчи жадвал формула_2008 йил 1-ноябр-баланс билан" xfId="5207"/>
    <cellStyle name="_Галла -2008 (Сентябр,октябр)-00140_2008_iil_APREL_ishchi_zhadval_formula2-СВОД" xfId="5208"/>
    <cellStyle name="_Галла -2008 (Сентябр,октябр)-00140_2008_iil_APREL_ishchi_zhadval_formula2-СВОД" xfId="5209"/>
    <cellStyle name="_ГАЛЛА МАРТ (Низом)" xfId="5210"/>
    <cellStyle name="_ГАЛЛА МАРТ (Низом)" xfId="5211"/>
    <cellStyle name="_ГАЛЛА МАРТ (Низом)_УХКМ ва БИО форма 01. 02. 09" xfId="5212"/>
    <cellStyle name="_ГАЛЛА МАРТ (Низом)_УХКМ ва БИО форма 01. 02. 09" xfId="5213"/>
    <cellStyle name="_График буйича сабзавот экиш" xfId="5214"/>
    <cellStyle name="_Дискетга аа" xfId="5215"/>
    <cellStyle name="_Дискетга аа_УХКМ ва БИО форма 01. 02. 09" xfId="5216"/>
    <cellStyle name="_Дискетга аа_УХКМ ва БИО форма 01. 02. 09" xfId="5217"/>
    <cellStyle name="_Дустлик 01,10,06" xfId="5218"/>
    <cellStyle name="_Дустлик 01,10,06" xfId="5219"/>
    <cellStyle name="_Дустлик 01,10,06 2" xfId="5220"/>
    <cellStyle name="_Дустлик 01,10,06 2" xfId="5221"/>
    <cellStyle name="_Дустлик 01,10,06 3" xfId="5222"/>
    <cellStyle name="_Дустлик 01,10,06 3" xfId="5223"/>
    <cellStyle name="_Дустлик 01,10,06_УХКМ ва БИО форма 01. 02. 09" xfId="5224"/>
    <cellStyle name="_Дустлик 01,10,06_УХКМ ва БИО форма 01. 02. 09" xfId="5225"/>
    <cellStyle name="_Дустлик 13,10,061 га " xfId="5226"/>
    <cellStyle name="_Дустлик 13,10,061 га " xfId="5227"/>
    <cellStyle name="_Дустлик 13,10,061 га _УХКМ ва БИО форма 01. 02. 09" xfId="5228"/>
    <cellStyle name="_Дустлик 13,10,061 га _УХКМ ва БИО форма 01. 02. 09" xfId="5229"/>
    <cellStyle name="_Дустлик 15,09,06 мониторинг" xfId="5230"/>
    <cellStyle name="_Дустлик 15,09,06 мониторинг" xfId="5231"/>
    <cellStyle name="_Дустлик 15,09,06 мониторинг_УХКМ ва БИО форма 01. 02. 09" xfId="5232"/>
    <cellStyle name="_Дустлик 15,09,06 мониторинг_УХКМ ва БИО форма 01. 02. 09" xfId="5233"/>
    <cellStyle name="_Дустлик 2-05-07 мониторинг янг" xfId="5234"/>
    <cellStyle name="_Дустлик 2-05-07 мониторинг янг" xfId="5235"/>
    <cellStyle name="_Дустлик 2-05-07 мониторинг янг 2" xfId="5236"/>
    <cellStyle name="_Дустлик 2-05-07 мониторинг янг 2" xfId="5237"/>
    <cellStyle name="_Дустлик 2-05-07 мониторинг янг 3" xfId="5238"/>
    <cellStyle name="_Дустлик 2-05-07 мониторинг янг 3" xfId="5239"/>
    <cellStyle name="_Дустлик 31-05-07 Вилоятга" xfId="5240"/>
    <cellStyle name="_Дустлик 31-05-07 Вилоятга" xfId="5241"/>
    <cellStyle name="_Дустлик 31-05-07 Вилоятга 2" xfId="5242"/>
    <cellStyle name="_Дустлик 31-05-07 Вилоятга 2" xfId="5243"/>
    <cellStyle name="_Дустлик 31-05-07 Вилоятга 3" xfId="5244"/>
    <cellStyle name="_Дустлик 31-05-07 Вилоятга 3" xfId="5245"/>
    <cellStyle name="_Дустлик 31-05-07 Вилоятга_УХКМ ва БИО форма 01. 02. 09" xfId="5246"/>
    <cellStyle name="_Дустлик 31-05-07 Вилоятга_УХКМ ва БИО форма 01. 02. 09" xfId="5247"/>
    <cellStyle name="_Дустлик анализ 30-07-06" xfId="5248"/>
    <cellStyle name="_Дустлик анализ 30-07-06" xfId="5249"/>
    <cellStyle name="_Дустлик анализ 30-07-06 2" xfId="5250"/>
    <cellStyle name="_Дустлик анализ 30-07-06 2" xfId="5251"/>
    <cellStyle name="_Дустлик анализ 30-07-06 3" xfId="5252"/>
    <cellStyle name="_Дустлик анализ 30-07-06 3" xfId="5253"/>
    <cellStyle name="_Дустлик анализ 30-07-06_УХКМ ва БИО форма 01. 02. 09" xfId="5254"/>
    <cellStyle name="_Дустлик анализ 30-07-06_УХКМ ва БИО форма 01. 02. 09" xfId="5255"/>
    <cellStyle name="_Дустлик пахта 04-06-07" xfId="5256"/>
    <cellStyle name="_Дустлик пахта 04-06-07" xfId="5257"/>
    <cellStyle name="_Дустлик пахта 16-06-07" xfId="5258"/>
    <cellStyle name="_Дустлик пахта 16-06-07" xfId="5259"/>
    <cellStyle name="_Дустлик пахта 16-06-07 2" xfId="5260"/>
    <cellStyle name="_Дустлик пахта 16-06-07 2" xfId="5261"/>
    <cellStyle name="_Дустлик пахта 16-06-07 3" xfId="5262"/>
    <cellStyle name="_Дустлик пахта 16-06-07 3" xfId="5263"/>
    <cellStyle name="_Дустлик сводка 08-06-07 й Вилоятга" xfId="5264"/>
    <cellStyle name="_Дустлик сводка 08-06-07 й Вилоятга" xfId="5265"/>
    <cellStyle name="_Дустлик сводка 08-06-07 й Вилоятга 2" xfId="5266"/>
    <cellStyle name="_Дустлик сводка 08-06-07 й Вилоятга 2" xfId="5267"/>
    <cellStyle name="_Дустлик сводка 08-06-07 й Вилоятга 3" xfId="5268"/>
    <cellStyle name="_Дустлик сводка 08-06-07 й Вилоятга 3" xfId="5269"/>
    <cellStyle name="_Дустлик сводка 09-06-07 й Вилоятга" xfId="5270"/>
    <cellStyle name="_Дустлик сводка 09-06-07 й Вилоятга" xfId="5271"/>
    <cellStyle name="_Дустлик сводка 09-06-07 й Вилоятга 2" xfId="5272"/>
    <cellStyle name="_Дустлик сводка 09-06-07 й Вилоятга 2" xfId="5273"/>
    <cellStyle name="_Дустлик сводка 09-06-07 й Вилоятга 3" xfId="5274"/>
    <cellStyle name="_Дустлик сводка 09-06-07 й Вилоятга 3" xfId="5275"/>
    <cellStyle name="_Дустлик сводка 10-06-07 й Вилоятга" xfId="5276"/>
    <cellStyle name="_Дустлик сводка 10-06-07 й Вилоятга" xfId="5277"/>
    <cellStyle name="_Дустлик сводка 10-06-07 й Вилоятга 2" xfId="5278"/>
    <cellStyle name="_Дустлик сводка 10-06-07 й Вилоятга 2" xfId="5279"/>
    <cellStyle name="_Дустлик сводка 10-06-07 й Вилоятга 3" xfId="5280"/>
    <cellStyle name="_Дустлик сводка 10-06-07 й Вилоятга 3" xfId="5281"/>
    <cellStyle name="_Дустлик сводка 1-06-07" xfId="5282"/>
    <cellStyle name="_Дустлик сводка 1-06-07" xfId="5283"/>
    <cellStyle name="_Дустлик сводка 1-06-07 2" xfId="5284"/>
    <cellStyle name="_Дустлик сводка 1-06-07 2" xfId="5285"/>
    <cellStyle name="_Дустлик сводка 1-06-07 3" xfId="5286"/>
    <cellStyle name="_Дустлик сводка 1-06-07 3" xfId="5287"/>
    <cellStyle name="_Дустлик сводка 1-06-07_УХКМ ва БИО форма 01. 02. 09" xfId="5288"/>
    <cellStyle name="_Дустлик сводка 1-06-07_УХКМ ва БИО форма 01. 02. 09" xfId="5289"/>
    <cellStyle name="_Дустлик сводка 11-06-07 й Вилоятга" xfId="5290"/>
    <cellStyle name="_Дустлик сводка 11-06-07 й Вилоятга" xfId="5291"/>
    <cellStyle name="_Дустлик сводка 11-06-07 й Вилоятга 2" xfId="5292"/>
    <cellStyle name="_Дустлик сводка 11-06-07 й Вилоятга 2" xfId="5293"/>
    <cellStyle name="_Дустлик сводка 11-06-07 й Вилоятга 3" xfId="5294"/>
    <cellStyle name="_Дустлик сводка 11-06-07 й Вилоятга 3" xfId="5295"/>
    <cellStyle name="_Дустлик сводка 13-06-07 й Вилоятга" xfId="5296"/>
    <cellStyle name="_Дустлик сводка 13-06-07 й Вилоятга" xfId="5297"/>
    <cellStyle name="_Дустлик сводка 13-06-07 й Вилоятга 2" xfId="5298"/>
    <cellStyle name="_Дустлик сводка 13-06-07 й Вилоятга 2" xfId="5299"/>
    <cellStyle name="_Дустлик сводка 13-06-07 й Вилоятга 3" xfId="5300"/>
    <cellStyle name="_Дустлик сводка 13-06-07 й Вилоятга 3" xfId="5301"/>
    <cellStyle name="_Ёпилган форма туланган 13-03-07" xfId="5302"/>
    <cellStyle name="_Ёпилган форма туланган 13-03-07" xfId="5303"/>
    <cellStyle name="_Ёпилган форма туланган 13-03-07 2" xfId="5304"/>
    <cellStyle name="_Ёпилган форма туланган 13-03-07 2" xfId="5305"/>
    <cellStyle name="_Ёпилган форма туланган 13-03-07 3" xfId="5306"/>
    <cellStyle name="_Ёпилган форма туланган 13-03-07 3" xfId="5307"/>
    <cellStyle name="_Ёпилган форма туланган 13-03-07_УХКМ ва БИО форма 01. 02. 09" xfId="5308"/>
    <cellStyle name="_Ёпилган форма туланган 13-03-07_УХКМ ва БИО форма 01. 02. 09" xfId="5309"/>
    <cellStyle name="_Жадвал" xfId="5310"/>
    <cellStyle name="_Жадвал" xfId="5311"/>
    <cellStyle name="_Жадвал саноат 2009 ОХИРИ" xfId="5312"/>
    <cellStyle name="_Жадвал_2008 ОКТЯБР ишчи жадвал формула" xfId="5313"/>
    <cellStyle name="_Жадвал_2008 ОКТЯБР ишчи жадвал формула_2008 йил 1-декабр-сводлар-узгарди" xfId="5314"/>
    <cellStyle name="_Жадвал_2008 ОКТЯБР ишчи жадвал формула_2008 йил 1-декабр-сводлар-узгарди" xfId="5315"/>
    <cellStyle name="_Жадвал_2008 ОКТЯБР ишчи жадвал формула_2008 йил 1-ноябр-баланс билан" xfId="5316"/>
    <cellStyle name="_Жадвал_2008 ОКТЯБР ишчи жадвал формула_2008 йил 1-ноябр-баланс билан" xfId="5317"/>
    <cellStyle name="_Жадвал_2008_iil_APREL_ishchi_zhadval_formula2-СВОД" xfId="5318"/>
    <cellStyle name="_Жадвал_2008_iil_APREL_ishchi_zhadval_formula2-СВОД" xfId="5319"/>
    <cellStyle name="_Жадвал_Апрел кр такс иш хаки тулик 5.04.08 МБ га" xfId="5320"/>
    <cellStyle name="_Жадвал_Апрел кр такс иш хаки тулик 5.04.08 МБ га" xfId="5321"/>
    <cellStyle name="_Жадвал_ЛИЗИНГ МОНИТОРИНГИ-1.11.08й русумлар буйича" xfId="5322"/>
    <cellStyle name="_Жадвал_ЛИЗИНГ МОНИТОРИНГИ-1.11.08й русумлар буйича" xfId="5323"/>
    <cellStyle name="_Жадвал_УХКМ ва БИО форма 01. 02. 09" xfId="5324"/>
    <cellStyle name="_Жадвал_УХКМ ва БИО форма 01. 02. 09" xfId="5325"/>
    <cellStyle name="_Жиззах тумани" xfId="5326"/>
    <cellStyle name="_Зарбдор туман" xfId="5327"/>
    <cellStyle name="_Зафаробод Кредит1111" xfId="5328"/>
    <cellStyle name="_Зафаробод Кредит1111" xfId="5329"/>
    <cellStyle name="_Зафаробод Кредит1111_Апрел кр такс иш хаки тулик 5.04.08 МБ га" xfId="5330"/>
    <cellStyle name="_Зафаробод Кредит1111_Апрел кр такс иш хаки тулик 5.04.08 МБ га" xfId="5331"/>
    <cellStyle name="_Зафаробод Кредит1111_ЛИЗИНГ МОНИТОРИНГИ-1.11.08й русумлар буйича" xfId="5332"/>
    <cellStyle name="_Зафаробод Кредит1111_ЛИЗИНГ МОНИТОРИНГИ-1.11.08й русумлар буйича" xfId="5333"/>
    <cellStyle name="_Зафаробод Кредит1111_УХКМ ва БИО форма 01. 02. 09" xfId="5334"/>
    <cellStyle name="_Зафаробод Кредит1111_УХКМ ва БИО форма 01. 02. 09" xfId="5335"/>
    <cellStyle name="_Зафаробод ПТК 1 май" xfId="5336"/>
    <cellStyle name="_Зафаробод ПТК 1 май" xfId="5337"/>
    <cellStyle name="_Зафаробод ПТК 1 май 2" xfId="5338"/>
    <cellStyle name="_Зафаробод ПТК 1 май 2" xfId="5339"/>
    <cellStyle name="_Зафаробод ПТК 1 май 3" xfId="5340"/>
    <cellStyle name="_Зафаробод ПТК 1 май 3" xfId="5341"/>
    <cellStyle name="_Зафаробод ПТК 1 май_2008 ОКТЯБР ишчи жадвал формула" xfId="5342"/>
    <cellStyle name="_Зафаробод ПТК 1 май_2008 ОКТЯБР ишчи жадвал формула" xfId="5343"/>
    <cellStyle name="_Зафаробод ПТК 1 май_2008 ОКТЯБР ишчи жадвал формула_2008 йил 1-декабр-сводлар-узгарди" xfId="5344"/>
    <cellStyle name="_Зафаробод ПТК 1 май_2008 ОКТЯБР ишчи жадвал формула_2008 йил 1-декабр-сводлар-узгарди" xfId="5345"/>
    <cellStyle name="_Зафаробод ПТК 1 май_2008 ОКТЯБР ишчи жадвал формула_2008 йил 1-ноябр-баланс билан" xfId="5346"/>
    <cellStyle name="_Зафаробод ПТК 1 май_2008 ОКТЯБР ишчи жадвал формула_2008 йил 1-ноябр-баланс билан" xfId="5347"/>
    <cellStyle name="_Зафаробод ПТК 1 май_2008_iil_APREL_ishchi_zhadval_formula2-СВОД" xfId="5348"/>
    <cellStyle name="_Зафаробод ПТК 1 май_2008_iil_APREL_ishchi_zhadval_formula2-СВОД" xfId="5349"/>
    <cellStyle name="_Зафаробод-19-олтин" xfId="5350"/>
    <cellStyle name="_Зафаробод-19-олтин" xfId="5351"/>
    <cellStyle name="_Зафаробод-19-олтин 2" xfId="5352"/>
    <cellStyle name="_Зафаробод-19-олтин 2" xfId="5353"/>
    <cellStyle name="_Зафаробод-19-олтин 3" xfId="5354"/>
    <cellStyle name="_Зафаробод-19-олтин 3" xfId="5355"/>
    <cellStyle name="_иктисодга" xfId="5356"/>
    <cellStyle name="_ЛИЗИНГ МОНИТОРИНГИ-1.11.08й русумлар буйича" xfId="5357"/>
    <cellStyle name="_МАЙ кредит таксимоти 7 май БАНКЛАРГА" xfId="5358"/>
    <cellStyle name="_МАЙ кредит таксимоти 7 май БАНКЛАРГА" xfId="5359"/>
    <cellStyle name="_МАЙ кредит таксимоти 7 май БАНКЛАРГА 2" xfId="5360"/>
    <cellStyle name="_МАЙ кредит таксимоти 7 май БАНКЛАРГА 2" xfId="5361"/>
    <cellStyle name="_МАЙ кредит таксимоти 7 май БАНКЛАРГА 3" xfId="5362"/>
    <cellStyle name="_МАЙ кредит таксимоти 7 май БАНКЛАРГА 3" xfId="5363"/>
    <cellStyle name="_МАЙ кредит таксимоти 7 май БАНКЛАРГА_2008 ОКТЯБР ишчи жадвал формула" xfId="5364"/>
    <cellStyle name="_МАЙ кредит таксимоти 7 май БАНКЛАРГА_2008 ОКТЯБР ишчи жадвал формула" xfId="5365"/>
    <cellStyle name="_МАЙ кредит таксимоти 7 май БАНКЛАРГА_2008 ОКТЯБР ишчи жадвал формула_2008 йил 1-декабр-сводлар-узгарди" xfId="5366"/>
    <cellStyle name="_МАЙ кредит таксимоти 7 май БАНКЛАРГА_2008 ОКТЯБР ишчи жадвал формула_2008 йил 1-декабр-сводлар-узгарди" xfId="5367"/>
    <cellStyle name="_МАЙ кредит таксимоти 7 май БАНКЛАРГА_2008 ОКТЯБР ишчи жадвал формула_2008 йил 1-ноябр-баланс билан" xfId="5368"/>
    <cellStyle name="_МАЙ кредит таксимоти 7 май БАНКЛАРГА_2008 ОКТЯБР ишчи жадвал формула_2008 йил 1-ноябр-баланс билан" xfId="5369"/>
    <cellStyle name="_МАЙ кредит таксимоти 7 май БАНКЛАРГА_2008_iil_APREL_ishchi_zhadval_formula2-СВОД" xfId="5370"/>
    <cellStyle name="_МАЙ кредит таксимоти 7 май БАНКЛАРГА_2008_iil_APREL_ishchi_zhadval_formula2-СВОД" xfId="5371"/>
    <cellStyle name="_Май ойи кредит 14-05-07" xfId="5372"/>
    <cellStyle name="_Май ойи кредит 14-05-07" xfId="5373"/>
    <cellStyle name="_Май ойи кредит 14-05-07 2" xfId="5374"/>
    <cellStyle name="_Май ойи кредит 14-05-07 2" xfId="5375"/>
    <cellStyle name="_Май ойи кредит 14-05-07 3" xfId="5376"/>
    <cellStyle name="_Май ойи кредит 14-05-07 3" xfId="5377"/>
    <cellStyle name="_Май ойи кредит 15-05-07 Вилоятга" xfId="5378"/>
    <cellStyle name="_Май ойи кредит 15-05-07 Вилоятга" xfId="5379"/>
    <cellStyle name="_Май ойи кредит 15-05-07 Вилоятга 2" xfId="5380"/>
    <cellStyle name="_Май ойи кредит 15-05-07 Вилоятга 2" xfId="5381"/>
    <cellStyle name="_Май ойи кредит 15-05-07 Вилоятга 3" xfId="5382"/>
    <cellStyle name="_Май ойи кредит 15-05-07 Вилоятга 3" xfId="5383"/>
    <cellStyle name="_Май ойи кредит 23-05-07 Вилоятга" xfId="5384"/>
    <cellStyle name="_Май ойи кредит 23-05-07 Вилоятга" xfId="5385"/>
    <cellStyle name="_Май ойи кредит 23-05-07 Вилоятга 2" xfId="5386"/>
    <cellStyle name="_Май ойи кредит 23-05-07 Вилоятга 2" xfId="5387"/>
    <cellStyle name="_Май ойи кредит 23-05-07 Вилоятга 3" xfId="5388"/>
    <cellStyle name="_Май ойи кредит 23-05-07 Вилоятга 3" xfId="5389"/>
    <cellStyle name="_Макет мониторинг 2009" xfId="5390"/>
    <cellStyle name="_Март ойи талаби вилоят" xfId="5391"/>
    <cellStyle name="_Март ойига талаб арнасой" xfId="5392"/>
    <cellStyle name="_Март ойига талаб арнасой" xfId="5393"/>
    <cellStyle name="_Март ойига талаб арнасой_УХКМ ва БИО форма 01. 02. 09" xfId="5394"/>
    <cellStyle name="_Март ойига талаб арнасой_УХКМ ва БИО форма 01. 02. 09" xfId="5395"/>
    <cellStyle name="_МАРТ-СВОД-01" xfId="5396"/>
    <cellStyle name="_МАРТ-СВОД-01" xfId="5397"/>
    <cellStyle name="_МВЭС Хусанбой" xfId="5398"/>
    <cellStyle name="_Мирзачул 24-10-2007 йил" xfId="5399"/>
    <cellStyle name="_Мирзачул 27-10-2007 йил" xfId="5400"/>
    <cellStyle name="_Мирзачул 27-10-2007 йил" xfId="5401"/>
    <cellStyle name="_Мирзачул 27-10-2007 йил 2" xfId="5402"/>
    <cellStyle name="_Мирзачул 27-10-2007 йил 2" xfId="5403"/>
    <cellStyle name="_Мирзачул 27-10-2007 йил 3" xfId="5404"/>
    <cellStyle name="_Мирзачул 27-10-2007 йил 3" xfId="5405"/>
    <cellStyle name="_Мирзачул пахта 07-06-07" xfId="5406"/>
    <cellStyle name="_Мирзачул пахта 07-06-07" xfId="5407"/>
    <cellStyle name="_Мирзачул пахта 07-06-07 2" xfId="5408"/>
    <cellStyle name="_Мирзачул пахта 07-06-07 2" xfId="5409"/>
    <cellStyle name="_Мирзачул пахта 07-06-07 3" xfId="5410"/>
    <cellStyle name="_Мирзачул пахта 07-06-07 3" xfId="5411"/>
    <cellStyle name="_Мирзачул пахта 07-06-07_2008 ОКТЯБР ишчи жадвал формула" xfId="5412"/>
    <cellStyle name="_Мирзачул пахта 07-06-07_2008 ОКТЯБР ишчи жадвал формула" xfId="5413"/>
    <cellStyle name="_Мирзачул пахта 07-06-07_2008 ОКТЯБР ишчи жадвал формула_2008 йил 1-декабр-сводлар-узгарди" xfId="5414"/>
    <cellStyle name="_Мирзачул пахта 07-06-07_2008 ОКТЯБР ишчи жадвал формула_2008 йил 1-декабр-сводлар-узгарди" xfId="5415"/>
    <cellStyle name="_Мирзачул пахта 07-06-07_2008 ОКТЯБР ишчи жадвал формула_2008 йил 1-ноябр-баланс билан" xfId="5416"/>
    <cellStyle name="_Мирзачул пахта 07-06-07_2008 ОКТЯБР ишчи жадвал формула_2008 йил 1-ноябр-баланс билан" xfId="5417"/>
    <cellStyle name="_Мирзачул пахта 07-06-07_2008_iil_APREL_ishchi_zhadval_formula2-СВОД" xfId="5418"/>
    <cellStyle name="_Мирзачул пахта 07-06-07_2008_iil_APREL_ishchi_zhadval_formula2-СВОД" xfId="5419"/>
    <cellStyle name="_Мирзачул пахта 16-06-07" xfId="5420"/>
    <cellStyle name="_Мирзачул пахта 16-06-07" xfId="5421"/>
    <cellStyle name="_Мирзачул пахта 16-06-07 2" xfId="5422"/>
    <cellStyle name="_Мирзачул пахта 16-06-07 2" xfId="5423"/>
    <cellStyle name="_Мирзачул пахта 16-06-07 3" xfId="5424"/>
    <cellStyle name="_Мирзачул пахта 16-06-07 3" xfId="5425"/>
    <cellStyle name="_Мирзачул-16-11-07" xfId="5426"/>
    <cellStyle name="_Мирзачул-16-11-07" xfId="5427"/>
    <cellStyle name="_Мирзачул-16-11-07 2" xfId="5428"/>
    <cellStyle name="_Мирзачул-16-11-07 2" xfId="5429"/>
    <cellStyle name="_Мирзачул-16-11-07 3" xfId="5430"/>
    <cellStyle name="_Мирзачул-16-11-07 3" xfId="5431"/>
    <cellStyle name="_Мирзачул-19-олтин" xfId="5432"/>
    <cellStyle name="_Мирзачул-19-олтин" xfId="5433"/>
    <cellStyle name="_Мирзачул-19-олтин 2" xfId="5434"/>
    <cellStyle name="_Мирзачул-19-олтин 2" xfId="5435"/>
    <cellStyle name="_Мирзачул-19-олтин 3" xfId="5436"/>
    <cellStyle name="_Мирзачул-19-олтин 3" xfId="5437"/>
    <cellStyle name="_Мониторинг 01-05-07 Вилоят" xfId="5438"/>
    <cellStyle name="_Мониторинг 01-05-07 Вилоят" xfId="5439"/>
    <cellStyle name="_Мониторинг 01-05-07 Вилоят 2" xfId="5440"/>
    <cellStyle name="_Мониторинг 01-05-07 Вилоят 2" xfId="5441"/>
    <cellStyle name="_Мониторинг 01-05-07 Вилоят 3" xfId="5442"/>
    <cellStyle name="_Мониторинг 01-05-07 Вилоят 3" xfId="5443"/>
    <cellStyle name="_Мониторинг 30-04-07 Вилоят" xfId="5444"/>
    <cellStyle name="_Мониторинг 30-04-07 Вилоят" xfId="5445"/>
    <cellStyle name="_Мониторинг 30-04-07 Вилоят 2" xfId="5446"/>
    <cellStyle name="_Мониторинг 30-04-07 Вилоят 2" xfId="5447"/>
    <cellStyle name="_Мониторинг 30-04-07 Вилоят 3" xfId="5448"/>
    <cellStyle name="_Мониторинг 30-04-07 Вилоят 3" xfId="5449"/>
    <cellStyle name="_Мониторинг 31,08,06" xfId="5450"/>
    <cellStyle name="_Мониторинг 31,08,06" xfId="5451"/>
    <cellStyle name="_Мониторинг 31,08,06_УХКМ ва БИО форма 01. 02. 09" xfId="5452"/>
    <cellStyle name="_Мониторинг 31,08,06_УХКМ ва БИО форма 01. 02. 09" xfId="5453"/>
    <cellStyle name="_ОКИБ" xfId="5454"/>
    <cellStyle name="_олтингугут" xfId="5455"/>
    <cellStyle name="_олтингугут 2" xfId="5456"/>
    <cellStyle name="_олтингугут 2" xfId="5457"/>
    <cellStyle name="_олтингугут 3" xfId="5458"/>
    <cellStyle name="_олтингугут 3" xfId="5459"/>
    <cellStyle name="_олтингугут_УХКМ ва БИО форма 01. 02. 09" xfId="5460"/>
    <cellStyle name="_олтингугут_УХКМ ва БИО форма 01. 02. 09" xfId="5461"/>
    <cellStyle name="_П+Г-2007 апрел_форма" xfId="5462"/>
    <cellStyle name="_П+Г-2007 апрел_форма" xfId="5463"/>
    <cellStyle name="_П+Г-2007 апрел_форма_2008 ОКТЯБР ишчи жадвал формула" xfId="5464"/>
    <cellStyle name="_П+Г-2007 апрел_форма_2008 ОКТЯБР ишчи жадвал формула" xfId="5465"/>
    <cellStyle name="_П+Г-2007 апрел_форма_2008 ОКТЯБР ишчи жадвал формула_2008 йил 1-декабр-сводлар-узгарди" xfId="5466"/>
    <cellStyle name="_П+Г-2007 апрел_форма_2008 ОКТЯБР ишчи жадвал формула_2008 йил 1-декабр-сводлар-узгарди" xfId="5467"/>
    <cellStyle name="_П+Г-2007 апрел_форма_2008 ОКТЯБР ишчи жадвал формула_2008 йил 1-ноябр-баланс билан" xfId="5468"/>
    <cellStyle name="_П+Г-2007 апрел_форма_2008 ОКТЯБР ишчи жадвал формула_2008 йил 1-ноябр-баланс билан" xfId="5469"/>
    <cellStyle name="_П+Г-2007 апрел_форма_2008_iil_APREL_ishchi_zhadval_formula2-СВОД" xfId="5470"/>
    <cellStyle name="_П+Г-2007 апрел_форма_2008_iil_APREL_ishchi_zhadval_formula2-СВОД" xfId="5471"/>
    <cellStyle name="_П+Г-2007 МАЙ_18" xfId="5472"/>
    <cellStyle name="_П+Г-2007 МАЙ_18" xfId="5473"/>
    <cellStyle name="_П+Г-2007 МАЙ_18_2008 ОКТЯБР ишчи жадвал формула" xfId="5474"/>
    <cellStyle name="_П+Г-2007 МАЙ_18_2008 ОКТЯБР ишчи жадвал формула" xfId="5475"/>
    <cellStyle name="_П+Г-2007 МАЙ_18_2008 ОКТЯБР ишчи жадвал формула_2008 йил 1-декабр-сводлар-узгарди" xfId="5476"/>
    <cellStyle name="_П+Г-2007 МАЙ_18_2008 ОКТЯБР ишчи жадвал формула_2008 йил 1-декабр-сводлар-узгарди" xfId="5477"/>
    <cellStyle name="_П+Г-2007 МАЙ_18_2008 ОКТЯБР ишчи жадвал формула_2008 йил 1-ноябр-баланс билан" xfId="5478"/>
    <cellStyle name="_П+Г-2007 МАЙ_18_2008 ОКТЯБР ишчи жадвал формула_2008 йил 1-ноябр-баланс билан" xfId="5479"/>
    <cellStyle name="_П+Г-2007 МАЙ_18_2008_iil_APREL_ishchi_zhadval_formula2-СВОД" xfId="5480"/>
    <cellStyle name="_П+Г-2007 МАЙ_18_2008_iil_APREL_ishchi_zhadval_formula2-СВОД" xfId="5481"/>
    <cellStyle name="_П+Г-2007 МАЙ_янги" xfId="5482"/>
    <cellStyle name="_П+Г-2007 МАЙ_янги" xfId="5483"/>
    <cellStyle name="_П+Г-2007 МАЙ_янги_2008 ОКТЯБР ишчи жадвал формула" xfId="5484"/>
    <cellStyle name="_П+Г-2007 МАЙ_янги_2008 ОКТЯБР ишчи жадвал формула" xfId="5485"/>
    <cellStyle name="_П+Г-2007 МАЙ_янги_2008 ОКТЯБР ишчи жадвал формула_2008 йил 1-декабр-сводлар-узгарди" xfId="5486"/>
    <cellStyle name="_П+Г-2007 МАЙ_янги_2008 ОКТЯБР ишчи жадвал формула_2008 йил 1-декабр-сводлар-узгарди" xfId="5487"/>
    <cellStyle name="_П+Г-2007 МАЙ_янги_2008 ОКТЯБР ишчи жадвал формула_2008 йил 1-ноябр-баланс билан" xfId="5488"/>
    <cellStyle name="_П+Г-2007 МАЙ_янги_2008 ОКТЯБР ишчи жадвал формула_2008 йил 1-ноябр-баланс билан" xfId="5489"/>
    <cellStyle name="_П+Г-2007 МАЙ_янги_2008_iil_APREL_ishchi_zhadval_formula2-СВОД" xfId="5490"/>
    <cellStyle name="_П+Г-2007 МАЙ_янги_2008_iil_APREL_ishchi_zhadval_formula2-СВОД" xfId="5491"/>
    <cellStyle name="_парранда ииискхона балик асал" xfId="5492"/>
    <cellStyle name="_ПАХТА КРЕДИТ 2008 МАРТ " xfId="5493"/>
    <cellStyle name="_Пахта-2007 апрел кредит" xfId="5494"/>
    <cellStyle name="_Пахта-2007 апрел кредит" xfId="5495"/>
    <cellStyle name="_Пахта-2007 апрел кредит_2008 ОКТЯБР ишчи жадвал формула" xfId="5496"/>
    <cellStyle name="_Пахта-2007 апрел кредит_2008 ОКТЯБР ишчи жадвал формула" xfId="5497"/>
    <cellStyle name="_Пахта-2007 апрел кредит_2008 ОКТЯБР ишчи жадвал формула_2008 йил 1-декабр-сводлар-узгарди" xfId="5498"/>
    <cellStyle name="_Пахта-2007 апрел кредит_2008 ОКТЯБР ишчи жадвал формула_2008 йил 1-декабр-сводлар-узгарди" xfId="5499"/>
    <cellStyle name="_Пахта-2007 апрел кредит_2008 ОКТЯБР ишчи жадвал формула_2008 йил 1-ноябр-баланс билан" xfId="5500"/>
    <cellStyle name="_Пахта-2007 апрел кредит_2008 ОКТЯБР ишчи жадвал формула_2008 йил 1-ноябр-баланс билан" xfId="5501"/>
    <cellStyle name="_Пахта-2007 апрел кредит_2008_iil_APREL_ishchi_zhadval_formula2-СВОД" xfId="5502"/>
    <cellStyle name="_Пахта-2007 апрел кредит_2008_iil_APREL_ishchi_zhadval_formula2-СВОД" xfId="5503"/>
    <cellStyle name="_Пахта-2007 апрел кредит_Апрел кр такс иш хаки тулик 5.04.08 МБ га" xfId="5504"/>
    <cellStyle name="_Пахта-2007 апрел кредит_Апрел кр такс иш хаки тулик 5.04.08 МБ га" xfId="5505"/>
    <cellStyle name="_Пахта-2007 апрел кредит_ЛИЗИНГ МОНИТОРИНГИ-1.11.08й русумлар буйича" xfId="5506"/>
    <cellStyle name="_Пахта-2007 апрел кредит_ЛИЗИНГ МОНИТОРИНГИ-1.11.08й русумлар буйича" xfId="5507"/>
    <cellStyle name="_Пахта-2007 апрел кредит_УХКМ ва БИО форма 01. 02. 09" xfId="5508"/>
    <cellStyle name="_Пахта-2007 апрел кредит_УХКМ ва БИО форма 01. 02. 09" xfId="5509"/>
    <cellStyle name="_Пахта-Галла-Апрел-Кредит" xfId="5510"/>
    <cellStyle name="_Пахта-Галла-Апрел-Кредит" xfId="5511"/>
    <cellStyle name="_Пахта-Галла-Апрел-Кредит_2008 ОКТЯБР ишчи жадвал формула" xfId="5512"/>
    <cellStyle name="_Пахта-Галла-Апрел-Кредит_2008 ОКТЯБР ишчи жадвал формула" xfId="5513"/>
    <cellStyle name="_Пахта-Галла-Апрел-Кредит_2008 ОКТЯБР ишчи жадвал формула_2008 йил 1-декабр-сводлар-узгарди" xfId="5514"/>
    <cellStyle name="_Пахта-Галла-Апрел-Кредит_2008 ОКТЯБР ишчи жадвал формула_2008 йил 1-декабр-сводлар-узгарди" xfId="5515"/>
    <cellStyle name="_Пахта-Галла-Апрел-Кредит_2008 ОКТЯБР ишчи жадвал формула_2008 йил 1-ноябр-баланс билан" xfId="5516"/>
    <cellStyle name="_Пахта-Галла-Апрел-Кредит_2008 ОКТЯБР ишчи жадвал формула_2008 йил 1-ноябр-баланс билан" xfId="5517"/>
    <cellStyle name="_Пахта-Галла-Апрел-Кредит_2008_iil_APREL_ishchi_zhadval_formula2-СВОД" xfId="5518"/>
    <cellStyle name="_Пахта-Галла-Апрел-Кредит_2008_iil_APREL_ishchi_zhadval_formula2-СВОД" xfId="5519"/>
    <cellStyle name="_Пахта-Галла-Апрел-Кредит_Апрел кр такс иш хаки тулик 5.04.08 МБ га" xfId="5520"/>
    <cellStyle name="_Пахта-Галла-Апрел-Кредит_Апрел кр такс иш хаки тулик 5.04.08 МБ га" xfId="5521"/>
    <cellStyle name="_Пахта-Галла-Апрел-Кредит_ЛИЗИНГ МОНИТОРИНГИ-1.11.08й русумлар буйича" xfId="5522"/>
    <cellStyle name="_Пахта-Галла-Апрел-Кредит_ЛИЗИНГ МОНИТОРИНГИ-1.11.08й русумлар буйича" xfId="5523"/>
    <cellStyle name="_Пахта-Галла-Апрел-Кредит_УХКМ ва БИО форма 01. 02. 09" xfId="5524"/>
    <cellStyle name="_Пахта-Галла-Апрел-Кредит_УХКМ ва БИО форма 01. 02. 09" xfId="5525"/>
    <cellStyle name="_Пахта-Галла-Май-Кредит" xfId="5526"/>
    <cellStyle name="_Пахта-Галла-Май-Кредит" xfId="5527"/>
    <cellStyle name="_Пахта-Галла-Май-Кредит_2008 ОКТЯБР ишчи жадвал формула" xfId="5528"/>
    <cellStyle name="_Пахта-Галла-Май-Кредит_2008 ОКТЯБР ишчи жадвал формула" xfId="5529"/>
    <cellStyle name="_Пахта-Галла-Май-Кредит_2008 ОКТЯБР ишчи жадвал формула_2008 йил 1-декабр-сводлар-узгарди" xfId="5530"/>
    <cellStyle name="_Пахта-Галла-Май-Кредит_2008 ОКТЯБР ишчи жадвал формула_2008 йил 1-декабр-сводлар-узгарди" xfId="5531"/>
    <cellStyle name="_Пахта-Галла-Май-Кредит_2008 ОКТЯБР ишчи жадвал формула_2008 йил 1-ноябр-баланс билан" xfId="5532"/>
    <cellStyle name="_Пахта-Галла-Май-Кредит_2008 ОКТЯБР ишчи жадвал формула_2008 йил 1-ноябр-баланс билан" xfId="5533"/>
    <cellStyle name="_Пахта-Галла-Май-Кредит_2008_iil_APREL_ishchi_zhadval_formula2-СВОД" xfId="5534"/>
    <cellStyle name="_Пахта-Галла-Май-Кредит_2008_iil_APREL_ishchi_zhadval_formula2-СВОД" xfId="5535"/>
    <cellStyle name="_Пахта-Галла-Май-Кредит_Апрел кр такс иш хаки тулик 5.04.08 МБ га" xfId="5536"/>
    <cellStyle name="_Пахта-Галла-Май-Кредит_Апрел кр такс иш хаки тулик 5.04.08 МБ га" xfId="5537"/>
    <cellStyle name="_Пахта-Галла-Май-Кредит_ЛИЗИНГ МОНИТОРИНГИ-1.11.08й русумлар буйича" xfId="5538"/>
    <cellStyle name="_Пахта-Галла-Май-Кредит_ЛИЗИНГ МОНИТОРИНГИ-1.11.08й русумлар буйича" xfId="5539"/>
    <cellStyle name="_Пахта-Галла-Май-Кредит_УХКМ ва БИО форма 01. 02. 09" xfId="5540"/>
    <cellStyle name="_Пахта-Галла-Май-Кредит_УХКМ ва БИО форма 01. 02. 09" xfId="5541"/>
    <cellStyle name="_Пахта-Сентябр" xfId="5542"/>
    <cellStyle name="_Пахта-Сентябр" xfId="5543"/>
    <cellStyle name="_Пахта-Сентябр_2008 ОКТЯБР ишчи жадвал формула" xfId="5544"/>
    <cellStyle name="_Пахта-Сентябр_2008 ОКТЯБР ишчи жадвал формула" xfId="5545"/>
    <cellStyle name="_Пахта-Сентябр_2008 ОКТЯБР ишчи жадвал формула_2008 йил 1-декабр-сводлар-узгарди" xfId="5546"/>
    <cellStyle name="_Пахта-Сентябр_2008 ОКТЯБР ишчи жадвал формула_2008 йил 1-декабр-сводлар-узгарди" xfId="5547"/>
    <cellStyle name="_Пахта-Сентябр_2008 ОКТЯБР ишчи жадвал формула_2008 йил 1-ноябр-баланс билан" xfId="5548"/>
    <cellStyle name="_Пахта-Сентябр_2008 ОКТЯБР ишчи жадвал формула_2008 йил 1-ноябр-баланс билан" xfId="5549"/>
    <cellStyle name="_Пахта-Сентябр_2008_iil_APREL_ishchi_zhadval_formula2-СВОД" xfId="5550"/>
    <cellStyle name="_Пахта-Сентябр_2008_iil_APREL_ishchi_zhadval_formula2-СВОД" xfId="5551"/>
    <cellStyle name="_ПАХТА-Тех.карта" xfId="5552"/>
    <cellStyle name="_ПАХТА-Тех.карта" xfId="5553"/>
    <cellStyle name="_ПАХТА-Тех.карта_УХКМ ва БИО форма 01. 02. 09" xfId="5554"/>
    <cellStyle name="_ПАХТА-Тех.карта_УХКМ ва БИО форма 01. 02. 09" xfId="5555"/>
    <cellStyle name="_П-Г-Апрел-2 ЯРМИ" xfId="5556"/>
    <cellStyle name="_П-Г-Апрел-2 ЯРМИ" xfId="5557"/>
    <cellStyle name="_П-Г-Апрел-2 ЯРМИ_2008 ОКТЯБР ишчи жадвал формула" xfId="5558"/>
    <cellStyle name="_П-Г-Апрел-2 ЯРМИ_2008 ОКТЯБР ишчи жадвал формула" xfId="5559"/>
    <cellStyle name="_П-Г-Апрел-2 ЯРМИ_2008 ОКТЯБР ишчи жадвал формула_2008 йил 1-декабр-сводлар-узгарди" xfId="5560"/>
    <cellStyle name="_П-Г-Апрел-2 ЯРМИ_2008 ОКТЯБР ишчи жадвал формула_2008 йил 1-декабр-сводлар-узгарди" xfId="5561"/>
    <cellStyle name="_П-Г-Апрел-2 ЯРМИ_2008 ОКТЯБР ишчи жадвал формула_2008 йил 1-ноябр-баланс билан" xfId="5562"/>
    <cellStyle name="_П-Г-Апрел-2 ЯРМИ_2008 ОКТЯБР ишчи жадвал формула_2008 йил 1-ноябр-баланс билан" xfId="5563"/>
    <cellStyle name="_П-Г-Апрел-2 ЯРМИ_2008_iil_APREL_ishchi_zhadval_formula2-СВОД" xfId="5564"/>
    <cellStyle name="_П-Г-Апрел-2 ЯРМИ_2008_iil_APREL_ishchi_zhadval_formula2-СВОД" xfId="5565"/>
    <cellStyle name="_П-Г-Апрел-2 ЯРМИ_Апрел кр такс иш хаки тулик 5.04.08 МБ га" xfId="5566"/>
    <cellStyle name="_П-Г-Апрел-2 ЯРМИ_Апрел кр такс иш хаки тулик 5.04.08 МБ га" xfId="5567"/>
    <cellStyle name="_П-Г-Апрел-2 ЯРМИ_ЛИЗИНГ МОНИТОРИНГИ-1.11.08й русумлар буйича" xfId="5568"/>
    <cellStyle name="_П-Г-Апрел-2 ЯРМИ_ЛИЗИНГ МОНИТОРИНГИ-1.11.08й русумлар буйича" xfId="5569"/>
    <cellStyle name="_П-Г-Апрел-2 ЯРМИ_УХКМ ва БИО форма 01. 02. 09" xfId="5570"/>
    <cellStyle name="_П-Г-Апрел-2 ЯРМИ_УХКМ ва БИО форма 01. 02. 09" xfId="5571"/>
    <cellStyle name="_ПРОГНОЗ  2009  ЙИЛ 22" xfId="5572"/>
    <cellStyle name="_Режа апрел кредит 19-04-07 гача" xfId="5573"/>
    <cellStyle name="_СВОД Жадваллар 2008-2012й" xfId="5574"/>
    <cellStyle name="_Солик_форма_епилган_умумий" xfId="5575"/>
    <cellStyle name="_Солик_форма_умумий" xfId="5576"/>
    <cellStyle name="_Солик_форма_умумий" xfId="5577"/>
    <cellStyle name="_С-р , П Б, Х Б ва бошка банк 1,01,06 дан 25,05,06гача" xfId="5578"/>
    <cellStyle name="_С-р , П Б, Х Б ва бошка банк 1,01,06 дан 25,05,06гача" xfId="5579"/>
    <cellStyle name="_С-р , П Б, Х Б ва бошка банк 1,01,06 дан 25,05,06гача_Апрел кр такс иш хаки тулик 5.04.08 МБ га" xfId="5580"/>
    <cellStyle name="_С-р , П Б, Х Б ва бошка банк 1,01,06 дан 25,05,06гача_УХКМ ва БИО форма 01. 02. 09" xfId="5581"/>
    <cellStyle name="_С-р , П Б, Х Б ва бошка банк 1,01,06 дан 25,05,06гача00" xfId="5582"/>
    <cellStyle name="_С-р , П Б, Х Б ва бошка банк 1,01,06 дан 25,05,06гача00" xfId="5583"/>
    <cellStyle name="_С-р , П Б, Х Б ва бошка банк 1,01,06 дан 25,05,06гача00_УХКМ ва БИО форма 01. 02. 09" xfId="5584"/>
    <cellStyle name="_С-р , П Б, Х Б ва бошка банк 1,01,06 дан 25,05,06гача00_УХКМ ва БИО форма 01. 02. 09" xfId="5585"/>
    <cellStyle name="_Сухроб Вилоят свод" xfId="5586"/>
    <cellStyle name="_УХКМ ва БИО форма 01. 02. 09" xfId="5587"/>
    <cellStyle name="_Факт 2006 йилга олганлар" xfId="5588"/>
    <cellStyle name="_Факт 2006 йилга олганлар" xfId="5589"/>
    <cellStyle name="_Факт 2006 йилга олганлар_2008_iil_APREL_ishchi_zhadval_formula2-СВОД" xfId="5590"/>
    <cellStyle name="_Факт 2006 йилга олганлар_2008_iil_APREL_ishchi_zhadval_formula2-СВОД" xfId="5591"/>
    <cellStyle name="_Факт 2006 йилга олганлар_Апрел кр такс иш хаки тулик 5.04.08 МБ га" xfId="5592"/>
    <cellStyle name="_Факт 2006 йилга олганлар_Апрел кр такс иш хаки тулик 5.04.08 МБ га" xfId="5593"/>
    <cellStyle name="_Факт 2006 йилга олганлар_ЛИЗИНГ МОНИТОРИНГИ-1.11.08й русумлар буйича" xfId="5594"/>
    <cellStyle name="_Факт 2006 йилга олганлар_ЛИЗИНГ МОНИТОРИНГИ-1.11.08й русумлар буйича" xfId="5595"/>
    <cellStyle name="_Факт 2006 йилга олганлар_УХКМ ва БИО форма 01. 02. 09" xfId="5596"/>
    <cellStyle name="_Факт 2006 йилга олганлар_УХКМ ва БИО форма 01. 02. 09" xfId="5597"/>
    <cellStyle name="_форма 1" xfId="5598"/>
    <cellStyle name="_Химия-11" xfId="5599"/>
    <cellStyle name="_Химия-11_2008 ОКТЯБР ишчи жадвал формула" xfId="5600"/>
    <cellStyle name="_Химия-11_2008 ОКТЯБР ишчи жадвал формула" xfId="5601"/>
    <cellStyle name="_Химия-11_2008 ОКТЯБР ишчи жадвал формула_2008 йил 1-декабр-сводлар-узгарди" xfId="5602"/>
    <cellStyle name="_Химия-11_2008 ОКТЯБР ишчи жадвал формула_2008 йил 1-декабр-сводлар-узгарди" xfId="5603"/>
    <cellStyle name="_Химия-11_2008 ОКТЯБР ишчи жадвал формула_2008 йил 1-ноябр-баланс билан" xfId="5604"/>
    <cellStyle name="_Химия-11_2008 ОКТЯБР ишчи жадвал формула_2008 йил 1-ноябр-баланс билан" xfId="5605"/>
    <cellStyle name="_Химия-11_2008_iil_APREL_ishchi_zhadval_formula2-СВОД" xfId="5606"/>
    <cellStyle name="_Химия-11_2008_iil_APREL_ishchi_zhadval_formula2-СВОД" xfId="5607"/>
    <cellStyle name="_Чиким Апрел ойи котди" xfId="5608"/>
    <cellStyle name="_Чиким Апрел ойи котди" xfId="5609"/>
    <cellStyle name="_Чиким Апрел ойи котди 2" xfId="5610"/>
    <cellStyle name="_Чиким Апрел ойи котди 2" xfId="5611"/>
    <cellStyle name="_Чиким Апрел ойи котди 3" xfId="5612"/>
    <cellStyle name="_Чиким Апрел ойи котди 3" xfId="5613"/>
    <cellStyle name="_Чиким Апрел ойи котди_УХКМ ва БИО форма 01. 02. 09" xfId="5614"/>
    <cellStyle name="_Чиким Апрел ойи котди_УХКМ ва БИО форма 01. 02. 09" xfId="5615"/>
    <cellStyle name="_Чиким июн" xfId="5616"/>
    <cellStyle name="_Чиким июн" xfId="5617"/>
    <cellStyle name="_Чиким июн 2" xfId="5618"/>
    <cellStyle name="_Чиким июн 2" xfId="5619"/>
    <cellStyle name="_Чиким июн 3" xfId="5620"/>
    <cellStyle name="_Чиким июн 3" xfId="5621"/>
    <cellStyle name="_Чиким июн_2008 ОКТЯБР ишчи жадвал формула" xfId="5622"/>
    <cellStyle name="_Чиким июн_2008 ОКТЯБР ишчи жадвал формула" xfId="5623"/>
    <cellStyle name="_Чиким июн_2008 ОКТЯБР ишчи жадвал формула_2008 йил 1-декабр-сводлар-узгарди" xfId="5624"/>
    <cellStyle name="_Чиким июн_2008 ОКТЯБР ишчи жадвал формула_2008 йил 1-декабр-сводлар-узгарди" xfId="5625"/>
    <cellStyle name="_Чиким июн_2008 ОКТЯБР ишчи жадвал формула_2008 йил 1-ноябр-баланс билан" xfId="5626"/>
    <cellStyle name="_Чиким июн_2008 ОКТЯБР ишчи жадвал формула_2008 йил 1-ноябр-баланс билан" xfId="5627"/>
    <cellStyle name="_Чиким июн_2008_iil_APREL_ishchi_zhadval_formula2-СВОД" xfId="5628"/>
    <cellStyle name="_Чиким июн_2008_iil_APREL_ishchi_zhadval_formula2-СВОД" xfId="5629"/>
    <cellStyle name="_Чиким июн_Апрел кр такс иш хаки тулик 5.04.08 МБ га" xfId="5630"/>
    <cellStyle name="_Чиким июн_Апрел кр такс иш хаки тулик 5.04.08 МБ га" xfId="5631"/>
    <cellStyle name="_Чиким июн_ЛИЗИНГ МОНИТОРИНГИ-1.11.08й русумлар буйича" xfId="5632"/>
    <cellStyle name="_Чиким июн_ЛИЗИНГ МОНИТОРИНГИ-1.11.08й русумлар буйича" xfId="5633"/>
    <cellStyle name="_Чиким июн_УХКМ ва БИО форма 01. 02. 09" xfId="5634"/>
    <cellStyle name="_Чиким июн_УХКМ ва БИО форма 01. 02. 09" xfId="5635"/>
    <cellStyle name="_Энг охирги экипаж-1" xfId="5636"/>
    <cellStyle name="_Энг охирги экипаж-1" xfId="5637"/>
    <cellStyle name="_Энг охирги экипаж-1 2" xfId="5638"/>
    <cellStyle name="_Энг охирги экипаж-1 2" xfId="5639"/>
    <cellStyle name="_Энг охирги экипаж-1 3" xfId="5640"/>
    <cellStyle name="_Энг охирги экипаж-1 3" xfId="5641"/>
    <cellStyle name="_Энг охирги экипаж-1_УХКМ ва БИО форма 01. 02. 09" xfId="5642"/>
    <cellStyle name="_Энг охирги экипаж-1_УХКМ ва БИО форма 01. 02. 09" xfId="5643"/>
    <cellStyle name="1" xfId="5644"/>
    <cellStyle name="1" xfId="5645"/>
    <cellStyle name="1 2" xfId="5646"/>
    <cellStyle name="1 2" xfId="5647"/>
    <cellStyle name="1 3" xfId="5648"/>
    <cellStyle name="1 3" xfId="5649"/>
    <cellStyle name="1_05,06,2007 йилга сводка Дустлик 2" xfId="5650"/>
    <cellStyle name="1_05,06,2007 йилга сводка Дустлик 2" xfId="5651"/>
    <cellStyle name="1_05,06,2007 йилга сводка Дустлик 2 2" xfId="5652"/>
    <cellStyle name="1_05,06,2007 йилга сводка Дустлик 2 2" xfId="5653"/>
    <cellStyle name="1_05,06,2007 йилга сводка Дустлик 2 3" xfId="5654"/>
    <cellStyle name="1_05,06,2007 йилга сводка Дустлик 2 3" xfId="5655"/>
    <cellStyle name="1_1 август 2006 йилдан" xfId="5656"/>
    <cellStyle name="1_1 август 2006 йилдан" xfId="5657"/>
    <cellStyle name="1_1 август 2006 йилдан 2" xfId="5658"/>
    <cellStyle name="1_1 август 2006 йилдан 2" xfId="5659"/>
    <cellStyle name="1_1 август 2006 йилдан 3" xfId="5660"/>
    <cellStyle name="1_1 август 2006 йилдан 3" xfId="5661"/>
    <cellStyle name="1_1 август 2006 йилдан_УХКМ ва БИО форма 01. 02. 09" xfId="5662"/>
    <cellStyle name="1_1 август 2006 йилдан_УХКМ ва БИО форма 01. 02. 09" xfId="5663"/>
    <cellStyle name="1_1 августга бешта формани бошкатдан тайёрланди" xfId="5664"/>
    <cellStyle name="1_1 августга бешта формани бошкатдан тайёрланди" xfId="5665"/>
    <cellStyle name="1_1 августга бешта формани бошкатдан тайёрланди 2" xfId="5666"/>
    <cellStyle name="1_1 августга бешта формани бошкатдан тайёрланди 2" xfId="5667"/>
    <cellStyle name="1_1 августга бешта формани бошкатдан тайёрланди 3" xfId="5668"/>
    <cellStyle name="1_1 августга бешта формани бошкатдан тайёрланди 3" xfId="5669"/>
    <cellStyle name="1_1 августга бешта формани бошкатдан тайёрланди_УХКМ ва БИО форма 01. 02. 09" xfId="5670"/>
    <cellStyle name="1_1 августга бешта формани бошкатдан тайёрланди_УХКМ ва БИО форма 01. 02. 09" xfId="5671"/>
    <cellStyle name="1_12.05.06" xfId="5672"/>
    <cellStyle name="1_12.05.06" xfId="5673"/>
    <cellStyle name="1_12.05.06 2" xfId="5674"/>
    <cellStyle name="1_12.05.06 2" xfId="5675"/>
    <cellStyle name="1_12.05.06 3" xfId="5676"/>
    <cellStyle name="1_12.05.06 3" xfId="5677"/>
    <cellStyle name="1_12.05.06_2008 ОКТЯБР ишчи жадвал формула" xfId="5678"/>
    <cellStyle name="1_12.05.06_2008 ОКТЯБР ишчи жадвал формула" xfId="5679"/>
    <cellStyle name="1_12.05.06_2008 ОКТЯБР ишчи жадвал формула_2008 йил 1-декабр-сводлар-узгарди" xfId="5680"/>
    <cellStyle name="1_12.05.06_2008 ОКТЯБР ишчи жадвал формула_2008 йил 1-декабр-сводлар-узгарди" xfId="5681"/>
    <cellStyle name="1_12.05.06_2008 ОКТЯБР ишчи жадвал формула_2008 йил 1-ноябр-баланс билан" xfId="5682"/>
    <cellStyle name="1_12.05.06_2008 ОКТЯБР ишчи жадвал формула_2008 йил 1-ноябр-баланс билан" xfId="5683"/>
    <cellStyle name="1_12.05.06_2008_iil_APREL_ishchi_zhadval_formula2-СВОД" xfId="5684"/>
    <cellStyle name="1_12.05.06_2008_iil_APREL_ishchi_zhadval_formula2-СВОД" xfId="5685"/>
    <cellStyle name="1_12.05.06_Апрел кр такс иш хаки тулик 5.04.08 МБ га" xfId="5686"/>
    <cellStyle name="1_12.05.06_Апрел кр такс иш хаки тулик 5.04.08 МБ га" xfId="5687"/>
    <cellStyle name="1_12.05.06_ЛИЗИНГ МОНИТОРИНГИ-1.11.08й русумлар буйича" xfId="5688"/>
    <cellStyle name="1_12.05.06_ЛИЗИНГ МОНИТОРИНГИ-1.11.08й русумлар буйича" xfId="5689"/>
    <cellStyle name="1_12.05.06_УХКМ ва БИО форма 01. 02. 09" xfId="5690"/>
    <cellStyle name="1_12.05.06_УХКМ ва БИО форма 01. 02. 09" xfId="5691"/>
    <cellStyle name="1_15-05-07 га форма" xfId="5692"/>
    <cellStyle name="1_15-05-07 га форма" xfId="5693"/>
    <cellStyle name="1_15-05-07 га форма 2" xfId="5694"/>
    <cellStyle name="1_15-05-07 га форма 2" xfId="5695"/>
    <cellStyle name="1_15-05-07 га форма 3" xfId="5696"/>
    <cellStyle name="1_15-05-07 га форма 3" xfId="5697"/>
    <cellStyle name="1_15-05-07 га форма_УХКМ ва БИО форма 01. 02. 09" xfId="5698"/>
    <cellStyle name="1_15-05-07 га форма_УХКМ ва БИО форма 01. 02. 09" xfId="5699"/>
    <cellStyle name="1_17,09,2006" xfId="5700"/>
    <cellStyle name="1_17,09,2006" xfId="5701"/>
    <cellStyle name="1_17,09,2006 2" xfId="5702"/>
    <cellStyle name="1_17,09,2006 2" xfId="5703"/>
    <cellStyle name="1_17,09,2006 3" xfId="5704"/>
    <cellStyle name="1_17,09,2006 3" xfId="5705"/>
    <cellStyle name="1_17,09,2006_УХКМ ва БИО форма 01. 02. 09" xfId="5706"/>
    <cellStyle name="1_17,09,2006_УХКМ ва БИО форма 01. 02. 09" xfId="5707"/>
    <cellStyle name="1_2006 йил хосили учун чиким Счёт фактура" xfId="5708"/>
    <cellStyle name="1_2006 йил хосили учун чиким Счёт фактура" xfId="5709"/>
    <cellStyle name="1_2006 йил хосили учун чиким Счёт фактура 2" xfId="5710"/>
    <cellStyle name="1_2006 йил хосили учун чиким Счёт фактура 2" xfId="5711"/>
    <cellStyle name="1_2006 йил хосили учун чиким Счёт фактура 3" xfId="5712"/>
    <cellStyle name="1_2006 йил хосили учун чиким Счёт фактура 3" xfId="5713"/>
    <cellStyle name="1_2006 йил хосили учун чиким Счёт фактура_2008 ОКТЯБР ишчи жадвал формула" xfId="5714"/>
    <cellStyle name="1_2006 йил хосили учун чиким Счёт фактура_2008 ОКТЯБР ишчи жадвал формула" xfId="5715"/>
    <cellStyle name="1_2006 йил хосили учун чиким Счёт фактура_2008 ОКТЯБР ишчи жадвал формула_2008 йил 1-декабр-сводлар-узгарди" xfId="5716"/>
    <cellStyle name="1_2006 йил хосили учун чиким Счёт фактура_2008 ОКТЯБР ишчи жадвал формула_2008 йил 1-декабр-сводлар-узгарди" xfId="5717"/>
    <cellStyle name="1_2006 йил хосили учун чиким Счёт фактура_2008 ОКТЯБР ишчи жадвал формула_2008 йил 1-ноябр-баланс билан" xfId="5718"/>
    <cellStyle name="1_2006 йил хосили учун чиким Счёт фактура_2008 ОКТЯБР ишчи жадвал формула_2008 йил 1-ноябр-баланс билан" xfId="5719"/>
    <cellStyle name="1_2006 йил хосили учун чиким Счёт фактура_2008_iil_APREL_ishchi_zhadval_formula2-СВОД" xfId="5720"/>
    <cellStyle name="1_2006 йил хосили учун чиким Счёт фактура_2008_iil_APREL_ishchi_zhadval_formula2-СВОД" xfId="5721"/>
    <cellStyle name="1_2006 йил хосили учун чиким Счёт фактура_Апрел кр такс иш хаки тулик 5.04.08 МБ га" xfId="5722"/>
    <cellStyle name="1_2006 йил хосили учун чиким Счёт фактура_Апрел кр такс иш хаки тулик 5.04.08 МБ га" xfId="5723"/>
    <cellStyle name="1_2006 йил хосили учун чиким Счёт фактура_ЛИЗИНГ МОНИТОРИНГИ-1.11.08й русумлар буйича" xfId="5724"/>
    <cellStyle name="1_2006 йил хосили учун чиким Счёт фактура_ЛИЗИНГ МОНИТОРИНГИ-1.11.08й русумлар буйича" xfId="5725"/>
    <cellStyle name="1_2006 йил хосили учун чиким Счёт фактура_УХКМ ва БИО форма 01. 02. 09" xfId="5726"/>
    <cellStyle name="1_2006 йил хосили учун чиким Счёт фактура_УХКМ ва БИО форма 01. 02. 09" xfId="5727"/>
    <cellStyle name="1_2007 йил январ чиким котди" xfId="5728"/>
    <cellStyle name="1_2007 йил январ чиким котди" xfId="5729"/>
    <cellStyle name="1_2007 йил январ чиким котди 2" xfId="5730"/>
    <cellStyle name="1_2007 йил январ чиким котди 2" xfId="5731"/>
    <cellStyle name="1_2007 йил январ чиким котди 3" xfId="5732"/>
    <cellStyle name="1_2007 йил январ чиким котди 3" xfId="5733"/>
    <cellStyle name="1_2007 йил январ чиким котди_УХКМ ва БИО форма 01. 02. 09" xfId="5734"/>
    <cellStyle name="1_2007 йил январ чиким котди_УХКМ ва БИО форма 01. 02. 09" xfId="5735"/>
    <cellStyle name="1_2008 ОКТЯБР ишчи жадвал формула" xfId="5736"/>
    <cellStyle name="1_2008 ОКТЯБР ишчи жадвал формула" xfId="5737"/>
    <cellStyle name="1_2008 ОКТЯБР ишчи жадвал формула_2008 йил 1-декабр-сводлар-узгарди" xfId="5738"/>
    <cellStyle name="1_2008 ОКТЯБР ишчи жадвал формула_2008 йил 1-декабр-сводлар-узгарди" xfId="5739"/>
    <cellStyle name="1_2008 ОКТЯБР ишчи жадвал формула_2008 йил 1-ноябр-баланс билан" xfId="5740"/>
    <cellStyle name="1_2008 ОКТЯБР ишчи жадвал формула_2008 йил 1-ноябр-баланс билан" xfId="5741"/>
    <cellStyle name="1_2008 ФЕВРАЛ ишчи жадвал формула СВОД" xfId="5742"/>
    <cellStyle name="1_2008 ФЕВРАЛ ишчи жадвал формула СВОД" xfId="5743"/>
    <cellStyle name="1_2008_iil_APREL_ishchi_zhadval_formula2-СВОД" xfId="5744"/>
    <cellStyle name="1_2008_iil_APREL_ishchi_zhadval_formula2-СВОД" xfId="5745"/>
    <cellStyle name="1_3 Сводка 16,04,07" xfId="5746"/>
    <cellStyle name="1_3 Сводка 16,04,07" xfId="5747"/>
    <cellStyle name="1_3 Сводка 16,04,07 2" xfId="5748"/>
    <cellStyle name="1_3 Сводка 16,04,07 2" xfId="5749"/>
    <cellStyle name="1_3 Сводка 16,04,07 3" xfId="5750"/>
    <cellStyle name="1_3 Сводка 16,04,07 3" xfId="5751"/>
    <cellStyle name="1_3 Сводка 16,04,07_2008 ОКТЯБР ишчи жадвал формула" xfId="5752"/>
    <cellStyle name="1_3 Сводка 16,04,07_2008 ОКТЯБР ишчи жадвал формула" xfId="5753"/>
    <cellStyle name="1_3 Сводка 16,04,07_2008 ОКТЯБР ишчи жадвал формула_2008 йил 1-декабр-сводлар-узгарди" xfId="5754"/>
    <cellStyle name="1_3 Сводка 16,04,07_2008 ОКТЯБР ишчи жадвал формула_2008 йил 1-декабр-сводлар-узгарди" xfId="5755"/>
    <cellStyle name="1_3 Сводка 16,04,07_2008 ОКТЯБР ишчи жадвал формула_2008 йил 1-ноябр-баланс билан" xfId="5756"/>
    <cellStyle name="1_3 Сводка 16,04,07_2008 ОКТЯБР ишчи жадвал формула_2008 йил 1-ноябр-баланс билан" xfId="5757"/>
    <cellStyle name="1_3 Сводка 16,04,07_2008_iil_APREL_ishchi_zhadval_formula2-СВОД" xfId="5758"/>
    <cellStyle name="1_3 Сводка 16,04,07_2008_iil_APREL_ishchi_zhadval_formula2-СВОД" xfId="5759"/>
    <cellStyle name="1_3 Сводка 16,04,07_Апрел кр такс иш хаки тулик 5.04.08 МБ га" xfId="5760"/>
    <cellStyle name="1_3 Сводка 16,04,07_Апрел кр такс иш хаки тулик 5.04.08 МБ га" xfId="5761"/>
    <cellStyle name="1_3 Сводка 16,04,07_ЛИЗИНГ МОНИТОРИНГИ-1.11.08й русумлар буйича" xfId="5762"/>
    <cellStyle name="1_3 Сводка 16,04,07_ЛИЗИНГ МОНИТОРИНГИ-1.11.08й русумлар буйича" xfId="5763"/>
    <cellStyle name="1_3 Сводка 16,04,07_УХКМ ва БИО форма 01. 02. 09" xfId="5764"/>
    <cellStyle name="1_3 Сводка 16,04,07_УХКМ ва БИО форма 01. 02. 09" xfId="5765"/>
    <cellStyle name="1_MONITOR 08-05-07 Вилоятга" xfId="5766"/>
    <cellStyle name="1_MONITOR 08-05-07 Вилоятга" xfId="5767"/>
    <cellStyle name="1_MONITOR 08-05-07 Вилоятга 2" xfId="5768"/>
    <cellStyle name="1_MONITOR 08-05-07 Вилоятга 2" xfId="5769"/>
    <cellStyle name="1_MONITOR 08-05-07 Вилоятга 3" xfId="5770"/>
    <cellStyle name="1_MONITOR 08-05-07 Вилоятга 3" xfId="5771"/>
    <cellStyle name="1_MONITOR 08-05-07 Вилоятга_УХКМ ва БИО форма 01. 02. 09" xfId="5772"/>
    <cellStyle name="1_MONITOR 08-05-07 Вилоятга_УХКМ ва БИО форма 01. 02. 09" xfId="5773"/>
    <cellStyle name="1_MONITOR 15-05-07 ВилоятгаААА" xfId="5774"/>
    <cellStyle name="1_MONITOR 15-05-07 ВилоятгаААА" xfId="5775"/>
    <cellStyle name="1_MONITOR 15-05-07 ВилоятгаААА 2" xfId="5776"/>
    <cellStyle name="1_MONITOR 15-05-07 ВилоятгаААА 2" xfId="5777"/>
    <cellStyle name="1_MONITOR 15-05-07 ВилоятгаААА 3" xfId="5778"/>
    <cellStyle name="1_MONITOR 15-05-07 ВилоятгаААА 3" xfId="5779"/>
    <cellStyle name="1_MONITOR 15-05-07 ВилоятгаААА_УХКМ ва БИО форма 01. 02. 09" xfId="5780"/>
    <cellStyle name="1_MONITOR 15-05-07 ВилоятгаААА_УХКМ ва БИО форма 01. 02. 09" xfId="5781"/>
    <cellStyle name="1_MONITOR 17-05-07 Вилоятгааа" xfId="5782"/>
    <cellStyle name="1_MONITOR 17-05-07 Вилоятгааа" xfId="5783"/>
    <cellStyle name="1_MONITOR 17-05-07 Вилоятгааа 2" xfId="5784"/>
    <cellStyle name="1_MONITOR 17-05-07 Вилоятгааа 2" xfId="5785"/>
    <cellStyle name="1_MONITOR 17-05-07 Вилоятгааа 3" xfId="5786"/>
    <cellStyle name="1_MONITOR 17-05-07 Вилоятгааа 3" xfId="5787"/>
    <cellStyle name="1_MONITOR 24-02-07 JJJ Охиргиси" xfId="5788"/>
    <cellStyle name="1_MONITOR 24-02-07 JJJ Охиргиси" xfId="5789"/>
    <cellStyle name="1_MONITOR 24-02-07 JJJ Охиргиси 2" xfId="5790"/>
    <cellStyle name="1_MONITOR 24-02-07 JJJ Охиргиси 2" xfId="5791"/>
    <cellStyle name="1_MONITOR 24-02-07 JJJ Охиргиси 3" xfId="5792"/>
    <cellStyle name="1_MONITOR 24-02-07 JJJ Охиргиси 3" xfId="5793"/>
    <cellStyle name="1_MONITOR 24-02-07 JJJ Охиргиси_УХКМ ва БИО форма 01. 02. 09" xfId="5794"/>
    <cellStyle name="1_MONITOR 24-02-07 JJJ Охиргиси_УХКМ ва БИО форма 01. 02. 09" xfId="5795"/>
    <cellStyle name="1_SVOD SHINA" xfId="5796"/>
    <cellStyle name="1_SVOD SHINA" xfId="5797"/>
    <cellStyle name="1_SVOD SHINA_УХКМ ва БИО форма 01. 02. 09" xfId="5798"/>
    <cellStyle name="1_SVOD SHINA_УХКМ ва БИО форма 01. 02. 09" xfId="5799"/>
    <cellStyle name="1_АКЧАБОЙ АКАГА 1-озиклантириш фонд" xfId="5800"/>
    <cellStyle name="1_АКЧАБОЙ АКАГА 1-озиклантириш фонд" xfId="5801"/>
    <cellStyle name="1_АКЧАБОЙ АКАГА 1-озиклантириш фонд 2" xfId="5802"/>
    <cellStyle name="1_АКЧАБОЙ АКАГА 1-озиклантириш фонд 2" xfId="5803"/>
    <cellStyle name="1_АКЧАБОЙ АКАГА 1-озиклантириш фонд 3" xfId="5804"/>
    <cellStyle name="1_АКЧАБОЙ АКАГА 1-озиклантириш фонд 3" xfId="5805"/>
    <cellStyle name="1_Апрел кр такс иш хаки тулик 5.04.08 МБ га" xfId="5806"/>
    <cellStyle name="1_Апрел кр такс иш хаки тулик 5.04.08 МБ га" xfId="5807"/>
    <cellStyle name="1_Апрел кредитдан тушди 19-04" xfId="5808"/>
    <cellStyle name="1_Апрел кредитдан тушди 19-04" xfId="5809"/>
    <cellStyle name="1_Апрел кредитдан тушди 19-04_2008 ОКТЯБР ишчи жадвал формула" xfId="5810"/>
    <cellStyle name="1_Апрел кредитдан тушди 19-04_2008 ОКТЯБР ишчи жадвал формула" xfId="5811"/>
    <cellStyle name="1_Апрел кредитдан тушди 19-04_2008 ОКТЯБР ишчи жадвал формула_2008 йил 1-декабр-сводлар-узгарди" xfId="5812"/>
    <cellStyle name="1_Апрел кредитдан тушди 19-04_2008 ОКТЯБР ишчи жадвал формула_2008 йил 1-декабр-сводлар-узгарди" xfId="5813"/>
    <cellStyle name="1_Апрел кредитдан тушди 19-04_2008 ОКТЯБР ишчи жадвал формула_2008 йил 1-ноябр-баланс билан" xfId="5814"/>
    <cellStyle name="1_Апрел кредитдан тушди 19-04_2008 ОКТЯБР ишчи жадвал формула_2008 йил 1-ноябр-баланс билан" xfId="5815"/>
    <cellStyle name="1_Апрел кредитдан тушди 19-04_2008_iil_APREL_ishchi_zhadval_formula2-СВОД" xfId="5816"/>
    <cellStyle name="1_Апрел кредитдан тушди 19-04_2008_iil_APREL_ishchi_zhadval_formula2-СВОД" xfId="5817"/>
    <cellStyle name="1_Апрел-режа-ксхб" xfId="5818"/>
    <cellStyle name="1_Апрел-режа-ксхб" xfId="5819"/>
    <cellStyle name="1_Апрел-режа-ксхб_2008 ОКТЯБР ишчи жадвал формула" xfId="5820"/>
    <cellStyle name="1_Апрел-режа-ксхб_2008 ОКТЯБР ишчи жадвал формула" xfId="5821"/>
    <cellStyle name="1_Апрел-режа-ксхб_2008 ОКТЯБР ишчи жадвал формула_2008 йил 1-декабр-сводлар-узгарди" xfId="5822"/>
    <cellStyle name="1_Апрел-режа-ксхб_2008 ОКТЯБР ишчи жадвал формула_2008 йил 1-декабр-сводлар-узгарди" xfId="5823"/>
    <cellStyle name="1_Апрел-режа-ксхб_2008 ОКТЯБР ишчи жадвал формула_2008 йил 1-ноябр-баланс билан" xfId="5824"/>
    <cellStyle name="1_Апрел-режа-ксхб_2008 ОКТЯБР ишчи жадвал формула_2008 йил 1-ноябр-баланс билан" xfId="5825"/>
    <cellStyle name="1_Апрел-режа-ксхб_2008_iil_APREL_ishchi_zhadval_formula2-СВОД" xfId="5826"/>
    <cellStyle name="1_Апрел-режа-ксхб_2008_iil_APREL_ishchi_zhadval_formula2-СВОД" xfId="5827"/>
    <cellStyle name="1_Бажарилиши (СВОД)" xfId="5828"/>
    <cellStyle name="1_Вахобга галла кредит буйича 30 май" xfId="5829"/>
    <cellStyle name="1_Вахобга галла кредит буйича 30 май_2008 ОКТЯБР ишчи жадвал формула" xfId="5830"/>
    <cellStyle name="1_Вахобга галла кредит буйича 30 май_2008 ОКТЯБР ишчи жадвал формула" xfId="5831"/>
    <cellStyle name="1_Вахобга галла кредит буйича 30 май_2008 ОКТЯБР ишчи жадвал формула_2008 йил 1-декабр-сводлар-узгарди" xfId="5832"/>
    <cellStyle name="1_Вахобга галла кредит буйича 30 май_2008 ОКТЯБР ишчи жадвал формула_2008 йил 1-декабр-сводлар-узгарди" xfId="5833"/>
    <cellStyle name="1_Вахобга галла кредит буйича 30 май_2008 ОКТЯБР ишчи жадвал формула_2008 йил 1-ноябр-баланс билан" xfId="5834"/>
    <cellStyle name="1_Вахобга галла кредит буйича 30 май_2008 ОКТЯБР ишчи жадвал формула_2008 йил 1-ноябр-баланс билан" xfId="5835"/>
    <cellStyle name="1_Вахобга галла кредит буйича 30 май_2008_iil_APREL_ishchi_zhadval_formula2-СВОД" xfId="5836"/>
    <cellStyle name="1_Вахобга галла кредит буйича 30 май_2008_iil_APREL_ishchi_zhadval_formula2-СВОД" xfId="5837"/>
    <cellStyle name="1_Вилоят буйича 9-форма лизинг" xfId="5838"/>
    <cellStyle name="1_Вилоят буйича 9-форма лизинг" xfId="5839"/>
    <cellStyle name="1_Вилоят буйича март ойи 2.03.08 факт банкка талаб" xfId="5840"/>
    <cellStyle name="1_Вилоят буйича март ойи 2.03.08 факт банкка талаб" xfId="5841"/>
    <cellStyle name="1_Вилоят охирги мониторинг 18-04-07 кейинги" xfId="5842"/>
    <cellStyle name="1_Вилоят охирги мониторинг 18-04-07 кейинги" xfId="5843"/>
    <cellStyle name="1_Вилоят охирги мониторинг 18-04-07 кейинги 2" xfId="5844"/>
    <cellStyle name="1_Вилоят охирги мониторинг 18-04-07 кейинги 2" xfId="5845"/>
    <cellStyle name="1_Вилоят охирги мониторинг 18-04-07 кейинги 3" xfId="5846"/>
    <cellStyle name="1_Вилоят охирги мониторинг 18-04-07 кейинги 3" xfId="5847"/>
    <cellStyle name="1_Вилоят охирги мониторинг 18-04-07 кейинги_УХКМ ва БИО форма 01. 02. 09" xfId="5848"/>
    <cellStyle name="1_Вилоят охирги мониторинг 18-04-07 кейинги_УХКМ ва БИО форма 01. 02. 09" xfId="5849"/>
    <cellStyle name="1_Вилоят охирги мониторинг 20-04-07 кейинги" xfId="5850"/>
    <cellStyle name="1_Вилоят охирги мониторинг 20-04-07 кейинги" xfId="5851"/>
    <cellStyle name="1_Вилоят охирги мониторинг 20-04-07 кейинги 2" xfId="5852"/>
    <cellStyle name="1_Вилоят охирги мониторинг 20-04-07 кейинги 2" xfId="5853"/>
    <cellStyle name="1_Вилоят охирги мониторинг 20-04-07 кейинги 3" xfId="5854"/>
    <cellStyle name="1_Вилоят охирги мониторинг 20-04-07 кейинги 3" xfId="5855"/>
    <cellStyle name="1_Вилоят охирги мониторинг 20-04-07 кейинги_УХКМ ва БИО форма 01. 02. 09" xfId="5856"/>
    <cellStyle name="1_Вилоят охирги мониторинг 20-04-07 кейинги_УХКМ ва БИО форма 01. 02. 09" xfId="5857"/>
    <cellStyle name="1_Вилоятга Эканамис маълумотлари" xfId="5858"/>
    <cellStyle name="1_Вилоятга Эканамис маълумотлари" xfId="5859"/>
    <cellStyle name="1_Вилоятга Эканамис маълумотлари 2" xfId="5860"/>
    <cellStyle name="1_Вилоятга Эканамис маълумотлари 2" xfId="5861"/>
    <cellStyle name="1_Вилоятга Эканамис маълумотлари 3" xfId="5862"/>
    <cellStyle name="1_Вилоятга Эканамис маълумотлари 3" xfId="5863"/>
    <cellStyle name="1_Вилоятга Эканамис маълумотлари_УХКМ ва БИО форма 01. 02. 09" xfId="5864"/>
    <cellStyle name="1_Вилоятга Эканамис маълумотлари_УХКМ ва БИО форма 01. 02. 09" xfId="5865"/>
    <cellStyle name="1_Вилоят-химия-монитор-камай-21-04-07-агп" xfId="5866"/>
    <cellStyle name="1_Вилоят-химия-монитор-камай-21-04-07-агп" xfId="5867"/>
    <cellStyle name="1_Вилоят-химия-монитор-камай-21-04-07-агп 2" xfId="5868"/>
    <cellStyle name="1_Вилоят-химия-монитор-камай-21-04-07-агп 2" xfId="5869"/>
    <cellStyle name="1_Вилоят-химия-монитор-камай-21-04-07-агп 3" xfId="5870"/>
    <cellStyle name="1_Вилоят-химия-монитор-камай-21-04-07-агп 3" xfId="5871"/>
    <cellStyle name="1_Вилоят-химия-монитор-камай-21-04-07-агп_УХКМ ва БИО форма 01. 02. 09" xfId="5872"/>
    <cellStyle name="1_Вилоят-химия-монитор-камай-21-04-07-агп_УХКМ ва БИО форма 01. 02. 09" xfId="5873"/>
    <cellStyle name="1_Галла -2008 (Сентябр,октябр) -00121" xfId="5874"/>
    <cellStyle name="1_Галла -2008 (Сентябр,октябр) -00121" xfId="5875"/>
    <cellStyle name="1_Галла -2008 (Сентябр,октябр) -00121_2008 ОКТЯБР ишчи жадвал формула" xfId="5876"/>
    <cellStyle name="1_Галла -2008 (Сентябр,октябр) -00121_2008 ОКТЯБР ишчи жадвал формула" xfId="5877"/>
    <cellStyle name="1_Галла -2008 (Сентябр,октябр) -00121_2008 ОКТЯБР ишчи жадвал формула_2008 йил 1-декабр-сводлар-узгарди" xfId="5878"/>
    <cellStyle name="1_Галла -2008 (Сентябр,октябр) -00121_2008 ОКТЯБР ишчи жадвал формула_2008 йил 1-декабр-сводлар-узгарди" xfId="5879"/>
    <cellStyle name="1_Галла -2008 (Сентябр,октябр) -00121_2008 ОКТЯБР ишчи жадвал формула_2008 йил 1-ноябр-баланс билан" xfId="5880"/>
    <cellStyle name="1_Галла -2008 (Сентябр,октябр) -00121_2008 ОКТЯБР ишчи жадвал формула_2008 йил 1-ноябр-баланс билан" xfId="5881"/>
    <cellStyle name="1_Галла -2008 (Сентябр,октябр) -00121_2008_iil_APREL_ishchi_zhadval_formula2-СВОД" xfId="5882"/>
    <cellStyle name="1_Галла -2008 (Сентябр,октябр) -00121_2008_iil_APREL_ishchi_zhadval_formula2-СВОД" xfId="5883"/>
    <cellStyle name="1_Галла -2008 (Сентябр,октябр) -00138" xfId="5884"/>
    <cellStyle name="1_Галла -2008 (Сентябр,октябр) -00138" xfId="5885"/>
    <cellStyle name="1_Галла -2008 (Сентябр,октябр) -00138_2008 ОКТЯБР ишчи жадвал формула" xfId="5886"/>
    <cellStyle name="1_Галла -2008 (Сентябр,октябр) -00138_2008 ОКТЯБР ишчи жадвал формула" xfId="5887"/>
    <cellStyle name="1_Галла -2008 (Сентябр,октябр) -00138_2008 ОКТЯБР ишчи жадвал формула_2008 йил 1-декабр-сводлар-узгарди" xfId="5888"/>
    <cellStyle name="1_Галла -2008 (Сентябр,октябр) -00138_2008 ОКТЯБР ишчи жадвал формула_2008 йил 1-декабр-сводлар-узгарди" xfId="5889"/>
    <cellStyle name="1_Галла -2008 (Сентябр,октябр) -00138_2008 ОКТЯБР ишчи жадвал формула_2008 йил 1-ноябр-баланс билан" xfId="5890"/>
    <cellStyle name="1_Галла -2008 (Сентябр,октябр) -00138_2008 ОКТЯБР ишчи жадвал формула_2008 йил 1-ноябр-баланс билан" xfId="5891"/>
    <cellStyle name="1_Галла -2008 (Сентябр,октябр) -00138_2008_iil_APREL_ishchi_zhadval_formula2-СВОД" xfId="5892"/>
    <cellStyle name="1_Галла -2008 (Сентябр,октябр) -00138_2008_iil_APREL_ishchi_zhadval_formula2-СВОД" xfId="5893"/>
    <cellStyle name="1_Галла -2008 (Сентябр,октябр)-00140" xfId="5894"/>
    <cellStyle name="1_Галла -2008 (Сентябр,октябр)-00140" xfId="5895"/>
    <cellStyle name="1_Галла -2008 (Сентябр,октябр)-00140_2008 ОКТЯБР ишчи жадвал формула" xfId="5896"/>
    <cellStyle name="1_Галла -2008 (Сентябр,октябр)-00140_2008 ОКТЯБР ишчи жадвал формула" xfId="5897"/>
    <cellStyle name="1_Галла -2008 (Сентябр,октябр)-00140_2008 ОКТЯБР ишчи жадвал формула_2008 йил 1-декабр-сводлар-узгарди" xfId="5898"/>
    <cellStyle name="1_Галла -2008 (Сентябр,октябр)-00140_2008 ОКТЯБР ишчи жадвал формула_2008 йил 1-декабр-сводлар-узгарди" xfId="5899"/>
    <cellStyle name="1_Галла -2008 (Сентябр,октябр)-00140_2008 ОКТЯБР ишчи жадвал формула_2008 йил 1-ноябр-баланс билан" xfId="5900"/>
    <cellStyle name="1_Галла -2008 (Сентябр,октябр)-00140_2008 ОКТЯБР ишчи жадвал формула_2008 йил 1-ноябр-баланс билан" xfId="5901"/>
    <cellStyle name="1_Галла -2008 (Сентябр,октябр)-00140_2008_iil_APREL_ishchi_zhadval_formula2-СВОД" xfId="5902"/>
    <cellStyle name="1_Галла -2008 (Сентябр,октябр)-00140_2008_iil_APREL_ishchi_zhadval_formula2-СВОД" xfId="5903"/>
    <cellStyle name="1_ГАЛЛА МАРТ (Низом)" xfId="5904"/>
    <cellStyle name="1_ГАЛЛА МАРТ (Низом)" xfId="5905"/>
    <cellStyle name="1_ГАЛЛА МАРТ (Низом)_УХКМ ва БИО форма 01. 02. 09" xfId="5906"/>
    <cellStyle name="1_ГАЛЛА МАРТ (Низом)_УХКМ ва БИО форма 01. 02. 09" xfId="5907"/>
    <cellStyle name="1_Дискетга аа" xfId="5908"/>
    <cellStyle name="1_Дискетга аа" xfId="5909"/>
    <cellStyle name="1_Дискетга аа 2" xfId="5910"/>
    <cellStyle name="1_Дискетга аа 2" xfId="5911"/>
    <cellStyle name="1_Дискетга аа 3" xfId="5912"/>
    <cellStyle name="1_Дискетга аа 3" xfId="5913"/>
    <cellStyle name="1_Дискетга аа_УХКМ ва БИО форма 01. 02. 09" xfId="5914"/>
    <cellStyle name="1_Дискетга аа_УХКМ ва БИО форма 01. 02. 09" xfId="5915"/>
    <cellStyle name="1_Дустлик 01,10,06" xfId="5916"/>
    <cellStyle name="1_Дустлик 01,10,06" xfId="5917"/>
    <cellStyle name="1_Дустлик 01,10,06 2" xfId="5918"/>
    <cellStyle name="1_Дустлик 01,10,06 2" xfId="5919"/>
    <cellStyle name="1_Дустлик 01,10,06 3" xfId="5920"/>
    <cellStyle name="1_Дустлик 01,10,06 3" xfId="5921"/>
    <cellStyle name="1_Дустлик 01,10,06_УХКМ ва БИО форма 01. 02. 09" xfId="5922"/>
    <cellStyle name="1_Дустлик 01,10,06_УХКМ ва БИО форма 01. 02. 09" xfId="5923"/>
    <cellStyle name="1_Дустлик 13,10,061 га " xfId="5924"/>
    <cellStyle name="1_Дустлик 13,10,061 га " xfId="5925"/>
    <cellStyle name="1_Дустлик 13,10,061 га  2" xfId="5926"/>
    <cellStyle name="1_Дустлик 13,10,061 га  2" xfId="5927"/>
    <cellStyle name="1_Дустлик 13,10,061 га  3" xfId="5928"/>
    <cellStyle name="1_Дустлик 13,10,061 га  3" xfId="5929"/>
    <cellStyle name="1_Дустлик 13,10,061 га _УХКМ ва БИО форма 01. 02. 09" xfId="5930"/>
    <cellStyle name="1_Дустлик 13,10,061 га _УХКМ ва БИО форма 01. 02. 09" xfId="5931"/>
    <cellStyle name="1_Дустлик 15,09,06 мониторинг" xfId="5932"/>
    <cellStyle name="1_Дустлик 15,09,06 мониторинг" xfId="5933"/>
    <cellStyle name="1_Дустлик 15,09,06 мониторинг 2" xfId="5934"/>
    <cellStyle name="1_Дустлик 15,09,06 мониторинг 2" xfId="5935"/>
    <cellStyle name="1_Дустлик 15,09,06 мониторинг 3" xfId="5936"/>
    <cellStyle name="1_Дустлик 15,09,06 мониторинг 3" xfId="5937"/>
    <cellStyle name="1_Дустлик 15,09,06 мониторинг_УХКМ ва БИО форма 01. 02. 09" xfId="5938"/>
    <cellStyle name="1_Дустлик 15,09,06 мониторинг_УХКМ ва БИО форма 01. 02. 09" xfId="5939"/>
    <cellStyle name="1_Дустлик 2-05-07 мониторинг янг" xfId="5940"/>
    <cellStyle name="1_Дустлик 2-05-07 мониторинг янг" xfId="5941"/>
    <cellStyle name="1_Дустлик 2-05-07 мониторинг янг 2" xfId="5942"/>
    <cellStyle name="1_Дустлик 2-05-07 мониторинг янг 2" xfId="5943"/>
    <cellStyle name="1_Дустлик 2-05-07 мониторинг янг 3" xfId="5944"/>
    <cellStyle name="1_Дустлик 2-05-07 мониторинг янг 3" xfId="5945"/>
    <cellStyle name="1_Дустлик 31-05-07 Вилоятга" xfId="5946"/>
    <cellStyle name="1_Дустлик 31-05-07 Вилоятга" xfId="5947"/>
    <cellStyle name="1_Дустлик 31-05-07 Вилоятга 2" xfId="5948"/>
    <cellStyle name="1_Дустлик 31-05-07 Вилоятга 2" xfId="5949"/>
    <cellStyle name="1_Дустлик 31-05-07 Вилоятга 3" xfId="5950"/>
    <cellStyle name="1_Дустлик 31-05-07 Вилоятга 3" xfId="5951"/>
    <cellStyle name="1_Дустлик 31-05-07 Вилоятга_УХКМ ва БИО форма 01. 02. 09" xfId="5952"/>
    <cellStyle name="1_Дустлик 31-05-07 Вилоятга_УХКМ ва БИО форма 01. 02. 09" xfId="5953"/>
    <cellStyle name="1_Дустлик анализ 30-07-06" xfId="5954"/>
    <cellStyle name="1_Дустлик анализ 30-07-06" xfId="5955"/>
    <cellStyle name="1_Дустлик анализ 30-07-06 2" xfId="5956"/>
    <cellStyle name="1_Дустлик анализ 30-07-06 2" xfId="5957"/>
    <cellStyle name="1_Дустлик анализ 30-07-06 3" xfId="5958"/>
    <cellStyle name="1_Дустлик анализ 30-07-06 3" xfId="5959"/>
    <cellStyle name="1_Дустлик анализ 30-07-06_УХКМ ва БИО форма 01. 02. 09" xfId="5960"/>
    <cellStyle name="1_Дустлик анализ 30-07-06_УХКМ ва БИО форма 01. 02. 09" xfId="5961"/>
    <cellStyle name="1_Дустлик пахта 04-06-07" xfId="5962"/>
    <cellStyle name="1_Дустлик пахта 04-06-07" xfId="5963"/>
    <cellStyle name="1_Дустлик пахта 16-06-07" xfId="5964"/>
    <cellStyle name="1_Дустлик пахта 16-06-07" xfId="5965"/>
    <cellStyle name="1_Дустлик пахта 16-06-07 2" xfId="5966"/>
    <cellStyle name="1_Дустлик пахта 16-06-07 2" xfId="5967"/>
    <cellStyle name="1_Дустлик пахта 16-06-07 3" xfId="5968"/>
    <cellStyle name="1_Дустлик пахта 16-06-07 3" xfId="5969"/>
    <cellStyle name="1_Дустлик сводка 08-06-07 й Вилоятга" xfId="5970"/>
    <cellStyle name="1_Дустлик сводка 08-06-07 й Вилоятга" xfId="5971"/>
    <cellStyle name="1_Дустлик сводка 08-06-07 й Вилоятга 2" xfId="5972"/>
    <cellStyle name="1_Дустлик сводка 08-06-07 й Вилоятга 2" xfId="5973"/>
    <cellStyle name="1_Дустлик сводка 08-06-07 й Вилоятга 3" xfId="5974"/>
    <cellStyle name="1_Дустлик сводка 08-06-07 й Вилоятга 3" xfId="5975"/>
    <cellStyle name="1_Дустлик сводка 09-06-07 й Вилоятга" xfId="5976"/>
    <cellStyle name="1_Дустлик сводка 09-06-07 й Вилоятга" xfId="5977"/>
    <cellStyle name="1_Дустлик сводка 09-06-07 й Вилоятга 2" xfId="5978"/>
    <cellStyle name="1_Дустлик сводка 09-06-07 й Вилоятга 2" xfId="5979"/>
    <cellStyle name="1_Дустлик сводка 09-06-07 й Вилоятга 3" xfId="5980"/>
    <cellStyle name="1_Дустлик сводка 09-06-07 й Вилоятга 3" xfId="5981"/>
    <cellStyle name="1_Дустлик сводка 10-06-07 й Вилоятга" xfId="5982"/>
    <cellStyle name="1_Дустлик сводка 10-06-07 й Вилоятга" xfId="5983"/>
    <cellStyle name="1_Дустлик сводка 10-06-07 й Вилоятга 2" xfId="5984"/>
    <cellStyle name="1_Дустлик сводка 10-06-07 й Вилоятга 2" xfId="5985"/>
    <cellStyle name="1_Дустлик сводка 10-06-07 й Вилоятга 3" xfId="5986"/>
    <cellStyle name="1_Дустлик сводка 10-06-07 й Вилоятга 3" xfId="5987"/>
    <cellStyle name="1_Дустлик сводка 1-06-07" xfId="5988"/>
    <cellStyle name="1_Дустлик сводка 1-06-07" xfId="5989"/>
    <cellStyle name="1_Дустлик сводка 1-06-07 2" xfId="5990"/>
    <cellStyle name="1_Дустлик сводка 1-06-07 2" xfId="5991"/>
    <cellStyle name="1_Дустлик сводка 1-06-07 3" xfId="5992"/>
    <cellStyle name="1_Дустлик сводка 1-06-07 3" xfId="5993"/>
    <cellStyle name="1_Дустлик сводка 1-06-07_УХКМ ва БИО форма 01. 02. 09" xfId="5994"/>
    <cellStyle name="1_Дустлик сводка 1-06-07_УХКМ ва БИО форма 01. 02. 09" xfId="5995"/>
    <cellStyle name="1_Дустлик сводка 11-06-07 й Вилоятга" xfId="5996"/>
    <cellStyle name="1_Дустлик сводка 11-06-07 й Вилоятга" xfId="5997"/>
    <cellStyle name="1_Дустлик сводка 11-06-07 й Вилоятга 2" xfId="5998"/>
    <cellStyle name="1_Дустлик сводка 11-06-07 й Вилоятга 2" xfId="5999"/>
    <cellStyle name="1_Дустлик сводка 11-06-07 й Вилоятга 3" xfId="6000"/>
    <cellStyle name="1_Дустлик сводка 11-06-07 й Вилоятга 3" xfId="6001"/>
    <cellStyle name="1_Дустлик сводка 13-06-07 й Вилоятга" xfId="6002"/>
    <cellStyle name="1_Дустлик сводка 13-06-07 й Вилоятга" xfId="6003"/>
    <cellStyle name="1_Дустлик сводка 13-06-07 й Вилоятга 2" xfId="6004"/>
    <cellStyle name="1_Дустлик сводка 13-06-07 й Вилоятга 2" xfId="6005"/>
    <cellStyle name="1_Дустлик сводка 13-06-07 й Вилоятга 3" xfId="6006"/>
    <cellStyle name="1_Дустлик сводка 13-06-07 й Вилоятга 3" xfId="6007"/>
    <cellStyle name="1_Ёпилган форма туланган 13-03-07" xfId="6008"/>
    <cellStyle name="1_Ёпилган форма туланган 13-03-07" xfId="6009"/>
    <cellStyle name="1_Ёпилган форма туланган 13-03-07 2" xfId="6010"/>
    <cellStyle name="1_Ёпилган форма туланган 13-03-07 2" xfId="6011"/>
    <cellStyle name="1_Ёпилган форма туланган 13-03-07 3" xfId="6012"/>
    <cellStyle name="1_Ёпилган форма туланган 13-03-07 3" xfId="6013"/>
    <cellStyle name="1_Ёпилган форма туланган 13-03-07_УХКМ ва БИО форма 01. 02. 09" xfId="6014"/>
    <cellStyle name="1_Ёпилган форма туланган 13-03-07_УХКМ ва БИО форма 01. 02. 09" xfId="6015"/>
    <cellStyle name="1_Жадвал" xfId="6016"/>
    <cellStyle name="1_Жадвал" xfId="6017"/>
    <cellStyle name="1_Жадвал_2008 ОКТЯБР ишчи жадвал формула" xfId="6018"/>
    <cellStyle name="1_Жадвал_2008 ОКТЯБР ишчи жадвал формула" xfId="6019"/>
    <cellStyle name="1_Жадвал_2008 ОКТЯБР ишчи жадвал формула_2008 йил 1-декабр-сводлар-узгарди" xfId="6020"/>
    <cellStyle name="1_Жадвал_2008 ОКТЯБР ишчи жадвал формула_2008 йил 1-декабр-сводлар-узгарди" xfId="6021"/>
    <cellStyle name="1_Жадвал_2008 ОКТЯБР ишчи жадвал формула_2008 йил 1-ноябр-баланс билан" xfId="6022"/>
    <cellStyle name="1_Жадвал_2008 ОКТЯБР ишчи жадвал формула_2008 йил 1-ноябр-баланс билан" xfId="6023"/>
    <cellStyle name="1_Жадвал_2008_iil_APREL_ishchi_zhadval_formula2-СВОД" xfId="6024"/>
    <cellStyle name="1_Жадвал_2008_iil_APREL_ishchi_zhadval_formula2-СВОД" xfId="6025"/>
    <cellStyle name="1_Жадвал_Апрел кр такс иш хаки тулик 5.04.08 МБ га" xfId="6026"/>
    <cellStyle name="1_Жадвал_Апрел кр такс иш хаки тулик 5.04.08 МБ га" xfId="6027"/>
    <cellStyle name="1_Жадвал_ЛИЗИНГ МОНИТОРИНГИ-1.11.08й русумлар буйича" xfId="6028"/>
    <cellStyle name="1_Жадвал_ЛИЗИНГ МОНИТОРИНГИ-1.11.08й русумлар буйича" xfId="6029"/>
    <cellStyle name="1_Жадвал_УХКМ ва БИО форма 01. 02. 09" xfId="6030"/>
    <cellStyle name="1_Жадвал_УХКМ ва БИО форма 01. 02. 09" xfId="6031"/>
    <cellStyle name="1_Зарбдор туман" xfId="6032"/>
    <cellStyle name="1_Зарбдор туман" xfId="6033"/>
    <cellStyle name="1_Зафаробод Кредит1111" xfId="6034"/>
    <cellStyle name="1_Зафаробод Кредит1111" xfId="6035"/>
    <cellStyle name="1_Зафаробод Кредит1111_Апрел кр такс иш хаки тулик 5.04.08 МБ га" xfId="6036"/>
    <cellStyle name="1_Зафаробод Кредит1111_Апрел кр такс иш хаки тулик 5.04.08 МБ га" xfId="6037"/>
    <cellStyle name="1_Зафаробод Кредит1111_ЛИЗИНГ МОНИТОРИНГИ-1.11.08й русумлар буйича" xfId="6038"/>
    <cellStyle name="1_Зафаробод Кредит1111_ЛИЗИНГ МОНИТОРИНГИ-1.11.08й русумлар буйича" xfId="6039"/>
    <cellStyle name="1_Зафаробод Кредит1111_УХКМ ва БИО форма 01. 02. 09" xfId="6040"/>
    <cellStyle name="1_Зафаробод Кредит1111_УХКМ ва БИО форма 01. 02. 09" xfId="6041"/>
    <cellStyle name="1_Зафаробод ПТК 1 май" xfId="6042"/>
    <cellStyle name="1_Зафаробод ПТК 1 май" xfId="6043"/>
    <cellStyle name="1_Зафаробод ПТК 1 май 2" xfId="6044"/>
    <cellStyle name="1_Зафаробод ПТК 1 май 2" xfId="6045"/>
    <cellStyle name="1_Зафаробод ПТК 1 май 3" xfId="6046"/>
    <cellStyle name="1_Зафаробод ПТК 1 май 3" xfId="6047"/>
    <cellStyle name="1_Зафаробод ПТК 1 май_2008 ОКТЯБР ишчи жадвал формула" xfId="6048"/>
    <cellStyle name="1_Зафаробод ПТК 1 май_2008 ОКТЯБР ишчи жадвал формула" xfId="6049"/>
    <cellStyle name="1_Зафаробод ПТК 1 май_2008 ОКТЯБР ишчи жадвал формула_2008 йил 1-декабр-сводлар-узгарди" xfId="6050"/>
    <cellStyle name="1_Зафаробод ПТК 1 май_2008 ОКТЯБР ишчи жадвал формула_2008 йил 1-декабр-сводлар-узгарди" xfId="6051"/>
    <cellStyle name="1_Зафаробод ПТК 1 май_2008 ОКТЯБР ишчи жадвал формула_2008 йил 1-ноябр-баланс билан" xfId="6052"/>
    <cellStyle name="1_Зафаробод ПТК 1 май_2008 ОКТЯБР ишчи жадвал формула_2008 йил 1-ноябр-баланс билан" xfId="6053"/>
    <cellStyle name="1_Зафаробод ПТК 1 май_2008_iil_APREL_ishchi_zhadval_formula2-СВОД" xfId="6054"/>
    <cellStyle name="1_Зафаробод ПТК 1 май_2008_iil_APREL_ishchi_zhadval_formula2-СВОД" xfId="6055"/>
    <cellStyle name="1_Зафаробод-19-олтин" xfId="6056"/>
    <cellStyle name="1_Зафаробод-19-олтин" xfId="6057"/>
    <cellStyle name="1_Зафаробод-19-олтин 2" xfId="6058"/>
    <cellStyle name="1_Зафаробод-19-олтин 2" xfId="6059"/>
    <cellStyle name="1_Зафаробод-19-олтин 3" xfId="6060"/>
    <cellStyle name="1_Зафаробод-19-олтин 3" xfId="6061"/>
    <cellStyle name="1_ЛИЗИНГ МОНИТОРИНГИ-1.11.08й русумлар буйича" xfId="6062"/>
    <cellStyle name="1_ЛИЗИНГ МОНИТОРИНГИ-1.11.08й русумлар буйича" xfId="6063"/>
    <cellStyle name="1_МАЙ кредит таксимоти 7 май БАНКЛАРГА" xfId="6064"/>
    <cellStyle name="1_МАЙ кредит таксимоти 7 май БАНКЛАРГА" xfId="6065"/>
    <cellStyle name="1_МАЙ кредит таксимоти 7 май БАНКЛАРГА 2" xfId="6066"/>
    <cellStyle name="1_МАЙ кредит таксимоти 7 май БАНКЛАРГА 2" xfId="6067"/>
    <cellStyle name="1_МАЙ кредит таксимоти 7 май БАНКЛАРГА 3" xfId="6068"/>
    <cellStyle name="1_МАЙ кредит таксимоти 7 май БАНКЛАРГА 3" xfId="6069"/>
    <cellStyle name="1_МАЙ кредит таксимоти 7 май БАНКЛАРГА_2008 ОКТЯБР ишчи жадвал формула" xfId="6070"/>
    <cellStyle name="1_МАЙ кредит таксимоти 7 май БАНКЛАРГА_2008 ОКТЯБР ишчи жадвал формула" xfId="6071"/>
    <cellStyle name="1_МАЙ кредит таксимоти 7 май БАНКЛАРГА_2008 ОКТЯБР ишчи жадвал формула_2008 йил 1-декабр-сводлар-узгарди" xfId="6072"/>
    <cellStyle name="1_МАЙ кредит таксимоти 7 май БАНКЛАРГА_2008 ОКТЯБР ишчи жадвал формула_2008 йил 1-декабр-сводлар-узгарди" xfId="6073"/>
    <cellStyle name="1_МАЙ кредит таксимоти 7 май БАНКЛАРГА_2008 ОКТЯБР ишчи жадвал формула_2008 йил 1-ноябр-баланс билан" xfId="6074"/>
    <cellStyle name="1_МАЙ кредит таксимоти 7 май БАНКЛАРГА_2008 ОКТЯБР ишчи жадвал формула_2008 йил 1-ноябр-баланс билан" xfId="6075"/>
    <cellStyle name="1_МАЙ кредит таксимоти 7 май БАНКЛАРГА_2008_iil_APREL_ishchi_zhadval_formula2-СВОД" xfId="6076"/>
    <cellStyle name="1_МАЙ кредит таксимоти 7 май БАНКЛАРГА_2008_iil_APREL_ishchi_zhadval_formula2-СВОД" xfId="6077"/>
    <cellStyle name="1_Май ойи кредит 14-05-07" xfId="6078"/>
    <cellStyle name="1_Май ойи кредит 14-05-07" xfId="6079"/>
    <cellStyle name="1_Май ойи кредит 14-05-07 2" xfId="6080"/>
    <cellStyle name="1_Май ойи кредит 14-05-07 2" xfId="6081"/>
    <cellStyle name="1_Май ойи кредит 14-05-07 3" xfId="6082"/>
    <cellStyle name="1_Май ойи кредит 14-05-07 3" xfId="6083"/>
    <cellStyle name="1_Май ойи кредит 15-05-07 Вилоятга" xfId="6084"/>
    <cellStyle name="1_Май ойи кредит 15-05-07 Вилоятга" xfId="6085"/>
    <cellStyle name="1_Май ойи кредит 15-05-07 Вилоятга 2" xfId="6086"/>
    <cellStyle name="1_Май ойи кредит 15-05-07 Вилоятга 2" xfId="6087"/>
    <cellStyle name="1_Май ойи кредит 15-05-07 Вилоятга 3" xfId="6088"/>
    <cellStyle name="1_Май ойи кредит 15-05-07 Вилоятга 3" xfId="6089"/>
    <cellStyle name="1_Май ойи кредит 23-05-07 Вилоятга" xfId="6090"/>
    <cellStyle name="1_Май ойи кредит 23-05-07 Вилоятга" xfId="6091"/>
    <cellStyle name="1_Май ойи кредит 23-05-07 Вилоятга 2" xfId="6092"/>
    <cellStyle name="1_Май ойи кредит 23-05-07 Вилоятга 2" xfId="6093"/>
    <cellStyle name="1_Май ойи кредит 23-05-07 Вилоятга 3" xfId="6094"/>
    <cellStyle name="1_Май ойи кредит 23-05-07 Вилоятга 3" xfId="6095"/>
    <cellStyle name="1_Март ойи талаби вилоят" xfId="6096"/>
    <cellStyle name="1_Март ойи талаби вилоят" xfId="6097"/>
    <cellStyle name="1_Март ойига талаб арнасой" xfId="6098"/>
    <cellStyle name="1_Март ойига талаб арнасой" xfId="6099"/>
    <cellStyle name="1_Март ойига талаб арнасой_УХКМ ва БИО форма 01. 02. 09" xfId="6100"/>
    <cellStyle name="1_Март ойига талаб арнасой_УХКМ ва БИО форма 01. 02. 09" xfId="6101"/>
    <cellStyle name="1_МАРТ-СВОД-01" xfId="6102"/>
    <cellStyle name="1_МАРТ-СВОД-01" xfId="6103"/>
    <cellStyle name="1_Мирзачул 24-10-2007 йил" xfId="6104"/>
    <cellStyle name="1_Мирзачул 24-10-2007 йил" xfId="6105"/>
    <cellStyle name="1_Мирзачул 24-10-2007 йил 2" xfId="6106"/>
    <cellStyle name="1_Мирзачул 24-10-2007 йил 2" xfId="6107"/>
    <cellStyle name="1_Мирзачул 24-10-2007 йил 3" xfId="6108"/>
    <cellStyle name="1_Мирзачул 24-10-2007 йил 3" xfId="6109"/>
    <cellStyle name="1_Мирзачул 27-10-2007 йил" xfId="6110"/>
    <cellStyle name="1_Мирзачул 27-10-2007 йил" xfId="6111"/>
    <cellStyle name="1_Мирзачул 27-10-2007 йил 2" xfId="6112"/>
    <cellStyle name="1_Мирзачул 27-10-2007 йил 2" xfId="6113"/>
    <cellStyle name="1_Мирзачул 27-10-2007 йил 3" xfId="6114"/>
    <cellStyle name="1_Мирзачул 27-10-2007 йил 3" xfId="6115"/>
    <cellStyle name="1_Мирзачул пахта 07-06-07" xfId="6116"/>
    <cellStyle name="1_Мирзачул пахта 07-06-07" xfId="6117"/>
    <cellStyle name="1_Мирзачул пахта 07-06-07 2" xfId="6118"/>
    <cellStyle name="1_Мирзачул пахта 07-06-07 2" xfId="6119"/>
    <cellStyle name="1_Мирзачул пахта 07-06-07 3" xfId="6120"/>
    <cellStyle name="1_Мирзачул пахта 07-06-07 3" xfId="6121"/>
    <cellStyle name="1_Мирзачул пахта 07-06-07_2008 ОКТЯБР ишчи жадвал формула" xfId="6122"/>
    <cellStyle name="1_Мирзачул пахта 07-06-07_2008 ОКТЯБР ишчи жадвал формула" xfId="6123"/>
    <cellStyle name="1_Мирзачул пахта 07-06-07_2008 ОКТЯБР ишчи жадвал формула_2008 йил 1-декабр-сводлар-узгарди" xfId="6124"/>
    <cellStyle name="1_Мирзачул пахта 07-06-07_2008 ОКТЯБР ишчи жадвал формула_2008 йил 1-декабр-сводлар-узгарди" xfId="6125"/>
    <cellStyle name="1_Мирзачул пахта 07-06-07_2008 ОКТЯБР ишчи жадвал формула_2008 йил 1-ноябр-баланс билан" xfId="6126"/>
    <cellStyle name="1_Мирзачул пахта 07-06-07_2008 ОКТЯБР ишчи жадвал формула_2008 йил 1-ноябр-баланс билан" xfId="6127"/>
    <cellStyle name="1_Мирзачул пахта 07-06-07_2008_iil_APREL_ishchi_zhadval_formula2-СВОД" xfId="6128"/>
    <cellStyle name="1_Мирзачул пахта 07-06-07_2008_iil_APREL_ishchi_zhadval_formula2-СВОД" xfId="6129"/>
    <cellStyle name="1_Мирзачул пахта 16-06-07" xfId="6130"/>
    <cellStyle name="1_Мирзачул пахта 16-06-07" xfId="6131"/>
    <cellStyle name="1_Мирзачул пахта 16-06-07 2" xfId="6132"/>
    <cellStyle name="1_Мирзачул пахта 16-06-07 2" xfId="6133"/>
    <cellStyle name="1_Мирзачул пахта 16-06-07 3" xfId="6134"/>
    <cellStyle name="1_Мирзачул пахта 16-06-07 3" xfId="6135"/>
    <cellStyle name="1_Мирзачул-16-11-07" xfId="6136"/>
    <cellStyle name="1_Мирзачул-16-11-07" xfId="6137"/>
    <cellStyle name="1_Мирзачул-16-11-07 2" xfId="6138"/>
    <cellStyle name="1_Мирзачул-16-11-07 2" xfId="6139"/>
    <cellStyle name="1_Мирзачул-16-11-07 3" xfId="6140"/>
    <cellStyle name="1_Мирзачул-16-11-07 3" xfId="6141"/>
    <cellStyle name="1_Мирзачул-19-олтин" xfId="6142"/>
    <cellStyle name="1_Мирзачул-19-олтин" xfId="6143"/>
    <cellStyle name="1_Мирзачул-19-олтин 2" xfId="6144"/>
    <cellStyle name="1_Мирзачул-19-олтин 2" xfId="6145"/>
    <cellStyle name="1_Мирзачул-19-олтин 3" xfId="6146"/>
    <cellStyle name="1_Мирзачул-19-олтин 3" xfId="6147"/>
    <cellStyle name="1_Мониторинг 01-05-07 Вилоят" xfId="6148"/>
    <cellStyle name="1_Мониторинг 01-05-07 Вилоят" xfId="6149"/>
    <cellStyle name="1_Мониторинг 01-05-07 Вилоят 2" xfId="6150"/>
    <cellStyle name="1_Мониторинг 01-05-07 Вилоят 2" xfId="6151"/>
    <cellStyle name="1_Мониторинг 01-05-07 Вилоят 3" xfId="6152"/>
    <cellStyle name="1_Мониторинг 01-05-07 Вилоят 3" xfId="6153"/>
    <cellStyle name="1_Мониторинг 30-04-07 Вилоят" xfId="6154"/>
    <cellStyle name="1_Мониторинг 30-04-07 Вилоят" xfId="6155"/>
    <cellStyle name="1_Мониторинг 30-04-07 Вилоят 2" xfId="6156"/>
    <cellStyle name="1_Мониторинг 30-04-07 Вилоят 2" xfId="6157"/>
    <cellStyle name="1_Мониторинг 30-04-07 Вилоят 3" xfId="6158"/>
    <cellStyle name="1_Мониторинг 30-04-07 Вилоят 3" xfId="6159"/>
    <cellStyle name="1_Мониторинг 31,08,06" xfId="6160"/>
    <cellStyle name="1_Мониторинг 31,08,06" xfId="6161"/>
    <cellStyle name="1_Мониторинг 31,08,06 2" xfId="6162"/>
    <cellStyle name="1_Мониторинг 31,08,06 2" xfId="6163"/>
    <cellStyle name="1_Мониторинг 31,08,06 3" xfId="6164"/>
    <cellStyle name="1_Мониторинг 31,08,06 3" xfId="6165"/>
    <cellStyle name="1_Мониторинг 31,08,06_УХКМ ва БИО форма 01. 02. 09" xfId="6166"/>
    <cellStyle name="1_Мониторинг 31,08,06_УХКМ ва БИО форма 01. 02. 09" xfId="6167"/>
    <cellStyle name="1_олтингугут" xfId="6168"/>
    <cellStyle name="1_олтингугут" xfId="6169"/>
    <cellStyle name="1_олтингугут 2" xfId="6170"/>
    <cellStyle name="1_олтингугут 2" xfId="6171"/>
    <cellStyle name="1_олтингугут 3" xfId="6172"/>
    <cellStyle name="1_олтингугут 3" xfId="6173"/>
    <cellStyle name="1_олтингугут_УХКМ ва БИО форма 01. 02. 09" xfId="6174"/>
    <cellStyle name="1_олтингугут_УХКМ ва БИО форма 01. 02. 09" xfId="6175"/>
    <cellStyle name="1_П+Г-2007 апрел_форма" xfId="6176"/>
    <cellStyle name="1_П+Г-2007 апрел_форма" xfId="6177"/>
    <cellStyle name="1_П+Г-2007 апрел_форма_2008 ОКТЯБР ишчи жадвал формула" xfId="6178"/>
    <cellStyle name="1_П+Г-2007 апрел_форма_2008 ОКТЯБР ишчи жадвал формула" xfId="6179"/>
    <cellStyle name="1_П+Г-2007 апрел_форма_2008 ОКТЯБР ишчи жадвал формула_2008 йил 1-декабр-сводлар-узгарди" xfId="6180"/>
    <cellStyle name="1_П+Г-2007 апрел_форма_2008 ОКТЯБР ишчи жадвал формула_2008 йил 1-декабр-сводлар-узгарди" xfId="6181"/>
    <cellStyle name="1_П+Г-2007 апрел_форма_2008 ОКТЯБР ишчи жадвал формула_2008 йил 1-ноябр-баланс билан" xfId="6182"/>
    <cellStyle name="1_П+Г-2007 апрел_форма_2008 ОКТЯБР ишчи жадвал формула_2008 йил 1-ноябр-баланс билан" xfId="6183"/>
    <cellStyle name="1_П+Г-2007 апрел_форма_2008_iil_APREL_ishchi_zhadval_formula2-СВОД" xfId="6184"/>
    <cellStyle name="1_П+Г-2007 апрел_форма_2008_iil_APREL_ishchi_zhadval_formula2-СВОД" xfId="6185"/>
    <cellStyle name="1_П+Г-2007 МАЙ_18" xfId="6186"/>
    <cellStyle name="1_П+Г-2007 МАЙ_18" xfId="6187"/>
    <cellStyle name="1_П+Г-2007 МАЙ_18_2008 ОКТЯБР ишчи жадвал формула" xfId="6188"/>
    <cellStyle name="1_П+Г-2007 МАЙ_18_2008 ОКТЯБР ишчи жадвал формула" xfId="6189"/>
    <cellStyle name="1_П+Г-2007 МАЙ_18_2008 ОКТЯБР ишчи жадвал формула_2008 йил 1-декабр-сводлар-узгарди" xfId="6190"/>
    <cellStyle name="1_П+Г-2007 МАЙ_18_2008 ОКТЯБР ишчи жадвал формула_2008 йил 1-декабр-сводлар-узгарди" xfId="6191"/>
    <cellStyle name="1_П+Г-2007 МАЙ_18_2008 ОКТЯБР ишчи жадвал формула_2008 йил 1-ноябр-баланс билан" xfId="6192"/>
    <cellStyle name="1_П+Г-2007 МАЙ_18_2008 ОКТЯБР ишчи жадвал формула_2008 йил 1-ноябр-баланс билан" xfId="6193"/>
    <cellStyle name="1_П+Г-2007 МАЙ_18_2008_iil_APREL_ishchi_zhadval_formula2-СВОД" xfId="6194"/>
    <cellStyle name="1_П+Г-2007 МАЙ_18_2008_iil_APREL_ishchi_zhadval_formula2-СВОД" xfId="6195"/>
    <cellStyle name="1_П+Г-2007 МАЙ_янги" xfId="6196"/>
    <cellStyle name="1_П+Г-2007 МАЙ_янги" xfId="6197"/>
    <cellStyle name="1_П+Г-2007 МАЙ_янги_2008 ОКТЯБР ишчи жадвал формула" xfId="6198"/>
    <cellStyle name="1_П+Г-2007 МАЙ_янги_2008 ОКТЯБР ишчи жадвал формула" xfId="6199"/>
    <cellStyle name="1_П+Г-2007 МАЙ_янги_2008 ОКТЯБР ишчи жадвал формула_2008 йил 1-декабр-сводлар-узгарди" xfId="6200"/>
    <cellStyle name="1_П+Г-2007 МАЙ_янги_2008 ОКТЯБР ишчи жадвал формула_2008 йил 1-декабр-сводлар-узгарди" xfId="6201"/>
    <cellStyle name="1_П+Г-2007 МАЙ_янги_2008 ОКТЯБР ишчи жадвал формула_2008 йил 1-ноябр-баланс билан" xfId="6202"/>
    <cellStyle name="1_П+Г-2007 МАЙ_янги_2008 ОКТЯБР ишчи жадвал формула_2008 йил 1-ноябр-баланс билан" xfId="6203"/>
    <cellStyle name="1_П+Г-2007 МАЙ_янги_2008_iil_APREL_ishchi_zhadval_formula2-СВОД" xfId="6204"/>
    <cellStyle name="1_П+Г-2007 МАЙ_янги_2008_iil_APREL_ishchi_zhadval_formula2-СВОД" xfId="6205"/>
    <cellStyle name="1_ПАХТА КРЕДИТ 2008 МАРТ " xfId="6206"/>
    <cellStyle name="1_ПАХТА КРЕДИТ 2008 МАРТ " xfId="6207"/>
    <cellStyle name="1_Пахта-2007 апрел кредит" xfId="6208"/>
    <cellStyle name="1_Пахта-2007 апрел кредит" xfId="6209"/>
    <cellStyle name="1_Пахта-2007 апрел кредит_2008 ОКТЯБР ишчи жадвал формула" xfId="6210"/>
    <cellStyle name="1_Пахта-2007 апрел кредит_2008 ОКТЯБР ишчи жадвал формула" xfId="6211"/>
    <cellStyle name="1_Пахта-2007 апрел кредит_2008 ОКТЯБР ишчи жадвал формула_2008 йил 1-декабр-сводлар-узгарди" xfId="6212"/>
    <cellStyle name="1_Пахта-2007 апрел кредит_2008 ОКТЯБР ишчи жадвал формула_2008 йил 1-декабр-сводлар-узгарди" xfId="6213"/>
    <cellStyle name="1_Пахта-2007 апрел кредит_2008 ОКТЯБР ишчи жадвал формула_2008 йил 1-ноябр-баланс билан" xfId="6214"/>
    <cellStyle name="1_Пахта-2007 апрел кредит_2008 ОКТЯБР ишчи жадвал формула_2008 йил 1-ноябр-баланс билан" xfId="6215"/>
    <cellStyle name="1_Пахта-2007 апрел кредит_2008_iil_APREL_ishchi_zhadval_formula2-СВОД" xfId="6216"/>
    <cellStyle name="1_Пахта-2007 апрел кредит_2008_iil_APREL_ishchi_zhadval_formula2-СВОД" xfId="6217"/>
    <cellStyle name="1_Пахта-2007 апрел кредит_Апрел кр такс иш хаки тулик 5.04.08 МБ га" xfId="6218"/>
    <cellStyle name="1_Пахта-2007 апрел кредит_Апрел кр такс иш хаки тулик 5.04.08 МБ га" xfId="6219"/>
    <cellStyle name="1_Пахта-2007 апрел кредит_ЛИЗИНГ МОНИТОРИНГИ-1.11.08й русумлар буйича" xfId="6220"/>
    <cellStyle name="1_Пахта-2007 апрел кредит_ЛИЗИНГ МОНИТОРИНГИ-1.11.08й русумлар буйича" xfId="6221"/>
    <cellStyle name="1_Пахта-2007 апрел кредит_УХКМ ва БИО форма 01. 02. 09" xfId="6222"/>
    <cellStyle name="1_Пахта-2007 апрел кредит_УХКМ ва БИО форма 01. 02. 09" xfId="6223"/>
    <cellStyle name="1_Пахта-Галла-Апрел-Кредит" xfId="6224"/>
    <cellStyle name="1_Пахта-Галла-Апрел-Кредит" xfId="6225"/>
    <cellStyle name="1_Пахта-Галла-Апрел-Кредит_2008 ОКТЯБР ишчи жадвал формула" xfId="6226"/>
    <cellStyle name="1_Пахта-Галла-Апрел-Кредит_2008 ОКТЯБР ишчи жадвал формула" xfId="6227"/>
    <cellStyle name="1_Пахта-Галла-Апрел-Кредит_2008 ОКТЯБР ишчи жадвал формула_2008 йил 1-декабр-сводлар-узгарди" xfId="6228"/>
    <cellStyle name="1_Пахта-Галла-Апрел-Кредит_2008 ОКТЯБР ишчи жадвал формула_2008 йил 1-декабр-сводлар-узгарди" xfId="6229"/>
    <cellStyle name="1_Пахта-Галла-Апрел-Кредит_2008 ОКТЯБР ишчи жадвал формула_2008 йил 1-ноябр-баланс билан" xfId="6230"/>
    <cellStyle name="1_Пахта-Галла-Апрел-Кредит_2008 ОКТЯБР ишчи жадвал формула_2008 йил 1-ноябр-баланс билан" xfId="6231"/>
    <cellStyle name="1_Пахта-Галла-Апрел-Кредит_2008_iil_APREL_ishchi_zhadval_formula2-СВОД" xfId="6232"/>
    <cellStyle name="1_Пахта-Галла-Апрел-Кредит_2008_iil_APREL_ishchi_zhadval_formula2-СВОД" xfId="6233"/>
    <cellStyle name="1_Пахта-Галла-Апрел-Кредит_Апрел кр такс иш хаки тулик 5.04.08 МБ га" xfId="6234"/>
    <cellStyle name="1_Пахта-Галла-Апрел-Кредит_Апрел кр такс иш хаки тулик 5.04.08 МБ га" xfId="6235"/>
    <cellStyle name="1_Пахта-Галла-Апрел-Кредит_ЛИЗИНГ МОНИТОРИНГИ-1.11.08й русумлар буйича" xfId="6236"/>
    <cellStyle name="1_Пахта-Галла-Апрел-Кредит_ЛИЗИНГ МОНИТОРИНГИ-1.11.08й русумлар буйича" xfId="6237"/>
    <cellStyle name="1_Пахта-Галла-Апрел-Кредит_УХКМ ва БИО форма 01. 02. 09" xfId="6238"/>
    <cellStyle name="1_Пахта-Галла-Апрел-Кредит_УХКМ ва БИО форма 01. 02. 09" xfId="6239"/>
    <cellStyle name="1_Пахта-Галла-Май-Кредит" xfId="6240"/>
    <cellStyle name="1_Пахта-Галла-Май-Кредит" xfId="6241"/>
    <cellStyle name="1_Пахта-Галла-Май-Кредит_2008 ОКТЯБР ишчи жадвал формула" xfId="6242"/>
    <cellStyle name="1_Пахта-Галла-Май-Кредит_2008 ОКТЯБР ишчи жадвал формула" xfId="6243"/>
    <cellStyle name="1_Пахта-Галла-Май-Кредит_2008 ОКТЯБР ишчи жадвал формула_2008 йил 1-декабр-сводлар-узгарди" xfId="6244"/>
    <cellStyle name="1_Пахта-Галла-Май-Кредит_2008 ОКТЯБР ишчи жадвал формула_2008 йил 1-декабр-сводлар-узгарди" xfId="6245"/>
    <cellStyle name="1_Пахта-Галла-Май-Кредит_2008 ОКТЯБР ишчи жадвал формула_2008 йил 1-ноябр-баланс билан" xfId="6246"/>
    <cellStyle name="1_Пахта-Галла-Май-Кредит_2008 ОКТЯБР ишчи жадвал формула_2008 йил 1-ноябр-баланс билан" xfId="6247"/>
    <cellStyle name="1_Пахта-Галла-Май-Кредит_2008_iil_APREL_ishchi_zhadval_formula2-СВОД" xfId="6248"/>
    <cellStyle name="1_Пахта-Галла-Май-Кредит_2008_iil_APREL_ishchi_zhadval_formula2-СВОД" xfId="6249"/>
    <cellStyle name="1_Пахта-Галла-Май-Кредит_Апрел кр такс иш хаки тулик 5.04.08 МБ га" xfId="6250"/>
    <cellStyle name="1_Пахта-Галла-Май-Кредит_Апрел кр такс иш хаки тулик 5.04.08 МБ га" xfId="6251"/>
    <cellStyle name="1_Пахта-Галла-Май-Кредит_ЛИЗИНГ МОНИТОРИНГИ-1.11.08й русумлар буйича" xfId="6252"/>
    <cellStyle name="1_Пахта-Галла-Май-Кредит_ЛИЗИНГ МОНИТОРИНГИ-1.11.08й русумлар буйича" xfId="6253"/>
    <cellStyle name="1_Пахта-Галла-Май-Кредит_УХКМ ва БИО форма 01. 02. 09" xfId="6254"/>
    <cellStyle name="1_Пахта-Галла-Май-Кредит_УХКМ ва БИО форма 01. 02. 09" xfId="6255"/>
    <cellStyle name="1_Пахта-Сентябр" xfId="6256"/>
    <cellStyle name="1_Пахта-Сентябр" xfId="6257"/>
    <cellStyle name="1_Пахта-Сентябр_2008 ОКТЯБР ишчи жадвал формула" xfId="6258"/>
    <cellStyle name="1_Пахта-Сентябр_2008 ОКТЯБР ишчи жадвал формула" xfId="6259"/>
    <cellStyle name="1_Пахта-Сентябр_2008 ОКТЯБР ишчи жадвал формула_2008 йил 1-декабр-сводлар-узгарди" xfId="6260"/>
    <cellStyle name="1_Пахта-Сентябр_2008 ОКТЯБР ишчи жадвал формула_2008 йил 1-декабр-сводлар-узгарди" xfId="6261"/>
    <cellStyle name="1_Пахта-Сентябр_2008 ОКТЯБР ишчи жадвал формула_2008 йил 1-ноябр-баланс билан" xfId="6262"/>
    <cellStyle name="1_Пахта-Сентябр_2008 ОКТЯБР ишчи жадвал формула_2008 йил 1-ноябр-баланс билан" xfId="6263"/>
    <cellStyle name="1_Пахта-Сентябр_2008_iil_APREL_ishchi_zhadval_formula2-СВОД" xfId="6264"/>
    <cellStyle name="1_Пахта-Сентябр_2008_iil_APREL_ishchi_zhadval_formula2-СВОД" xfId="6265"/>
    <cellStyle name="1_ПАХТА-Тех.карта" xfId="6266"/>
    <cellStyle name="1_ПАХТА-Тех.карта" xfId="6267"/>
    <cellStyle name="1_ПАХТА-Тех.карта_УХКМ ва БИО форма 01. 02. 09" xfId="6268"/>
    <cellStyle name="1_ПАХТА-Тех.карта_УХКМ ва БИО форма 01. 02. 09" xfId="6269"/>
    <cellStyle name="1_П-Г-Апрел-2 ЯРМИ" xfId="6270"/>
    <cellStyle name="1_П-Г-Апрел-2 ЯРМИ" xfId="6271"/>
    <cellStyle name="1_П-Г-Апрел-2 ЯРМИ_2008 ОКТЯБР ишчи жадвал формула" xfId="6272"/>
    <cellStyle name="1_П-Г-Апрел-2 ЯРМИ_2008 ОКТЯБР ишчи жадвал формула" xfId="6273"/>
    <cellStyle name="1_П-Г-Апрел-2 ЯРМИ_2008 ОКТЯБР ишчи жадвал формула_2008 йил 1-декабр-сводлар-узгарди" xfId="6274"/>
    <cellStyle name="1_П-Г-Апрел-2 ЯРМИ_2008 ОКТЯБР ишчи жадвал формула_2008 йил 1-декабр-сводлар-узгарди" xfId="6275"/>
    <cellStyle name="1_П-Г-Апрел-2 ЯРМИ_2008 ОКТЯБР ишчи жадвал формула_2008 йил 1-ноябр-баланс билан" xfId="6276"/>
    <cellStyle name="1_П-Г-Апрел-2 ЯРМИ_2008 ОКТЯБР ишчи жадвал формула_2008 йил 1-ноябр-баланс билан" xfId="6277"/>
    <cellStyle name="1_П-Г-Апрел-2 ЯРМИ_2008_iil_APREL_ishchi_zhadval_formula2-СВОД" xfId="6278"/>
    <cellStyle name="1_П-Г-Апрел-2 ЯРМИ_2008_iil_APREL_ishchi_zhadval_formula2-СВОД" xfId="6279"/>
    <cellStyle name="1_П-Г-Апрел-2 ЯРМИ_Апрел кр такс иш хаки тулик 5.04.08 МБ га" xfId="6280"/>
    <cellStyle name="1_П-Г-Апрел-2 ЯРМИ_Апрел кр такс иш хаки тулик 5.04.08 МБ га" xfId="6281"/>
    <cellStyle name="1_П-Г-Апрел-2 ЯРМИ_ЛИЗИНГ МОНИТОРИНГИ-1.11.08й русумлар буйича" xfId="6282"/>
    <cellStyle name="1_П-Г-Апрел-2 ЯРМИ_ЛИЗИНГ МОНИТОРИНГИ-1.11.08й русумлар буйича" xfId="6283"/>
    <cellStyle name="1_П-Г-Апрел-2 ЯРМИ_УХКМ ва БИО форма 01. 02. 09" xfId="6284"/>
    <cellStyle name="1_П-Г-Апрел-2 ЯРМИ_УХКМ ва БИО форма 01. 02. 09" xfId="6285"/>
    <cellStyle name="1_Режа апрел кредит 19-04-07 гача" xfId="6286"/>
    <cellStyle name="1_Режа апрел кредит 19-04-07 гача" xfId="6287"/>
    <cellStyle name="1_Режа апрел кредит 19-04-07 гача 2" xfId="6288"/>
    <cellStyle name="1_Режа апрел кредит 19-04-07 гача 2" xfId="6289"/>
    <cellStyle name="1_Режа апрел кредит 19-04-07 гача 3" xfId="6290"/>
    <cellStyle name="1_Режа апрел кредит 19-04-07 гача 3" xfId="6291"/>
    <cellStyle name="1_Солик_форма_епилган_умумий" xfId="6292"/>
    <cellStyle name="1_Солик_форма_епилган_умумий" xfId="6293"/>
    <cellStyle name="1_Солик_форма_умумий" xfId="6294"/>
    <cellStyle name="1_Солик_форма_умумий" xfId="6295"/>
    <cellStyle name="1_С-р , П Б, Х Б ва бошка банк 1,01,06 дан 25,05,06гача" xfId="6296"/>
    <cellStyle name="1_С-р , П Б, Х Б ва бошка банк 1,01,06 дан 25,05,06гача" xfId="6297"/>
    <cellStyle name="1_С-р , П Б, Х Б ва бошка банк 1,01,06 дан 25,05,06гача 2" xfId="6298"/>
    <cellStyle name="1_С-р , П Б, Х Б ва бошка банк 1,01,06 дан 25,05,06гача 2" xfId="6299"/>
    <cellStyle name="1_С-р , П Б, Х Б ва бошка банк 1,01,06 дан 25,05,06гача 3" xfId="6300"/>
    <cellStyle name="1_С-р , П Б, Х Б ва бошка банк 1,01,06 дан 25,05,06гача 3" xfId="6301"/>
    <cellStyle name="1_С-р , П Б, Х Б ва бошка банк 1,01,06 дан 25,05,06гача_УХКМ ва БИО форма 01. 02. 09" xfId="6302"/>
    <cellStyle name="1_С-р , П Б, Х Б ва бошка банк 1,01,06 дан 25,05,06гача_УХКМ ва БИО форма 01. 02. 09" xfId="6303"/>
    <cellStyle name="1_С-р , П Б, Х Б ва бошка банк 1,01,06 дан 25,05,06гача00" xfId="6304"/>
    <cellStyle name="1_С-р , П Б, Х Б ва бошка банк 1,01,06 дан 25,05,06гача00" xfId="6305"/>
    <cellStyle name="1_С-р , П Б, Х Б ва бошка банк 1,01,06 дан 25,05,06гача00 2" xfId="6306"/>
    <cellStyle name="1_С-р , П Б, Х Б ва бошка банк 1,01,06 дан 25,05,06гача00 2" xfId="6307"/>
    <cellStyle name="1_С-р , П Б, Х Б ва бошка банк 1,01,06 дан 25,05,06гача00 3" xfId="6308"/>
    <cellStyle name="1_С-р , П Б, Х Б ва бошка банк 1,01,06 дан 25,05,06гача00 3" xfId="6309"/>
    <cellStyle name="1_С-р , П Б, Х Б ва бошка банк 1,01,06 дан 25,05,06гача00_УХКМ ва БИО форма 01. 02. 09" xfId="6310"/>
    <cellStyle name="1_С-р , П Б, Х Б ва бошка банк 1,01,06 дан 25,05,06гача00_УХКМ ва БИО форма 01. 02. 09" xfId="6311"/>
    <cellStyle name="1_УХКМ ва БИО форма 01. 02. 09" xfId="6312"/>
    <cellStyle name="1_УХКМ ва БИО форма 01. 02. 09" xfId="6313"/>
    <cellStyle name="1_Факт 2006 йилга олганлар" xfId="6314"/>
    <cellStyle name="1_Факт 2006 йилга олганлар" xfId="6315"/>
    <cellStyle name="1_Факт 2006 йилга олганлар 2" xfId="6316"/>
    <cellStyle name="1_Факт 2006 йилга олганлар 2" xfId="6317"/>
    <cellStyle name="1_Факт 2006 йилга олганлар 3" xfId="6318"/>
    <cellStyle name="1_Факт 2006 йилга олганлар 3" xfId="6319"/>
    <cellStyle name="1_Факт 2006 йилга олганлар_2008 ОКТЯБР ишчи жадвал формула" xfId="6320"/>
    <cellStyle name="1_Факт 2006 йилга олганлар_2008 ОКТЯБР ишчи жадвал формула" xfId="6321"/>
    <cellStyle name="1_Факт 2006 йилга олганлар_2008 ОКТЯБР ишчи жадвал формула_2008 йил 1-декабр-сводлар-узгарди" xfId="6322"/>
    <cellStyle name="1_Факт 2006 йилга олганлар_2008 ОКТЯБР ишчи жадвал формула_2008 йил 1-декабр-сводлар-узгарди" xfId="6323"/>
    <cellStyle name="1_Факт 2006 йилга олганлар_2008 ОКТЯБР ишчи жадвал формула_2008 йил 1-ноябр-баланс билан" xfId="6324"/>
    <cellStyle name="1_Факт 2006 йилга олганлар_2008 ОКТЯБР ишчи жадвал формула_2008 йил 1-ноябр-баланс билан" xfId="6325"/>
    <cellStyle name="1_Факт 2006 йилга олганлар_2008_iil_APREL_ishchi_zhadval_formula2-СВОД" xfId="6326"/>
    <cellStyle name="1_Факт 2006 йилга олганлар_2008_iil_APREL_ishchi_zhadval_formula2-СВОД" xfId="6327"/>
    <cellStyle name="1_Факт 2006 йилга олганлар_Апрел кр такс иш хаки тулик 5.04.08 МБ га" xfId="6328"/>
    <cellStyle name="1_Факт 2006 йилга олганлар_Апрел кр такс иш хаки тулик 5.04.08 МБ га" xfId="6329"/>
    <cellStyle name="1_Факт 2006 йилга олганлар_ЛИЗИНГ МОНИТОРИНГИ-1.11.08й русумлар буйича" xfId="6330"/>
    <cellStyle name="1_Факт 2006 йилга олганлар_ЛИЗИНГ МОНИТОРИНГИ-1.11.08й русумлар буйича" xfId="6331"/>
    <cellStyle name="1_Факт 2006 йилга олганлар_УХКМ ва БИО форма 01. 02. 09" xfId="6332"/>
    <cellStyle name="1_Факт 2006 йилга олганлар_УХКМ ва БИО форма 01. 02. 09" xfId="6333"/>
    <cellStyle name="1_Химия-11" xfId="6334"/>
    <cellStyle name="1_Химия-11" xfId="6335"/>
    <cellStyle name="1_Химия-11_2008 ОКТЯБР ишчи жадвал формула" xfId="6336"/>
    <cellStyle name="1_Химия-11_2008 ОКТЯБР ишчи жадвал формула" xfId="6337"/>
    <cellStyle name="1_Химия-11_2008 ОКТЯБР ишчи жадвал формула_2008 йил 1-декабр-сводлар-узгарди" xfId="6338"/>
    <cellStyle name="1_Химия-11_2008 ОКТЯБР ишчи жадвал формула_2008 йил 1-декабр-сводлар-узгарди" xfId="6339"/>
    <cellStyle name="1_Химия-11_2008 ОКТЯБР ишчи жадвал формула_2008 йил 1-ноябр-баланс билан" xfId="6340"/>
    <cellStyle name="1_Химия-11_2008 ОКТЯБР ишчи жадвал формула_2008 йил 1-ноябр-баланс билан" xfId="6341"/>
    <cellStyle name="1_Химия-11_2008_iil_APREL_ishchi_zhadval_formula2-СВОД" xfId="6342"/>
    <cellStyle name="1_Химия-11_2008_iil_APREL_ishchi_zhadval_formula2-СВОД" xfId="6343"/>
    <cellStyle name="1_Чиким Апрел ойи котди" xfId="6344"/>
    <cellStyle name="1_Чиким Апрел ойи котди" xfId="6345"/>
    <cellStyle name="1_Чиким Апрел ойи котди 2" xfId="6346"/>
    <cellStyle name="1_Чиким Апрел ойи котди 2" xfId="6347"/>
    <cellStyle name="1_Чиким Апрел ойи котди 3" xfId="6348"/>
    <cellStyle name="1_Чиким Апрел ойи котди 3" xfId="6349"/>
    <cellStyle name="1_Чиким Апрел ойи котди_УХКМ ва БИО форма 01. 02. 09" xfId="6350"/>
    <cellStyle name="1_Чиким Апрел ойи котди_УХКМ ва БИО форма 01. 02. 09" xfId="6351"/>
    <cellStyle name="1_Чиким июн" xfId="6352"/>
    <cellStyle name="1_Чиким июн" xfId="6353"/>
    <cellStyle name="1_Чиким июн 2" xfId="6354"/>
    <cellStyle name="1_Чиким июн 2" xfId="6355"/>
    <cellStyle name="1_Чиким июн 3" xfId="6356"/>
    <cellStyle name="1_Чиким июн 3" xfId="6357"/>
    <cellStyle name="1_Чиким июн_2008 ОКТЯБР ишчи жадвал формула" xfId="6358"/>
    <cellStyle name="1_Чиким июн_2008 ОКТЯБР ишчи жадвал формула" xfId="6359"/>
    <cellStyle name="1_Чиким июн_2008 ОКТЯБР ишчи жадвал формула_2008 йил 1-декабр-сводлар-узгарди" xfId="6360"/>
    <cellStyle name="1_Чиким июн_2008 ОКТЯБР ишчи жадвал формула_2008 йил 1-декабр-сводлар-узгарди" xfId="6361"/>
    <cellStyle name="1_Чиким июн_2008 ОКТЯБР ишчи жадвал формула_2008 йил 1-ноябр-баланс билан" xfId="6362"/>
    <cellStyle name="1_Чиким июн_2008 ОКТЯБР ишчи жадвал формула_2008 йил 1-ноябр-баланс билан" xfId="6363"/>
    <cellStyle name="1_Чиким июн_2008_iil_APREL_ishchi_zhadval_formula2-СВОД" xfId="6364"/>
    <cellStyle name="1_Чиким июн_2008_iil_APREL_ishchi_zhadval_formula2-СВОД" xfId="6365"/>
    <cellStyle name="1_Чиким июн_Апрел кр такс иш хаки тулик 5.04.08 МБ га" xfId="6366"/>
    <cellStyle name="1_Чиким июн_Апрел кр такс иш хаки тулик 5.04.08 МБ га" xfId="6367"/>
    <cellStyle name="1_Чиким июн_ЛИЗИНГ МОНИТОРИНГИ-1.11.08й русумлар буйича" xfId="6368"/>
    <cellStyle name="1_Чиким июн_ЛИЗИНГ МОНИТОРИНГИ-1.11.08й русумлар буйича" xfId="6369"/>
    <cellStyle name="1_Чиким июн_УХКМ ва БИО форма 01. 02. 09" xfId="6370"/>
    <cellStyle name="1_Чиким июн_УХКМ ва БИО форма 01. 02. 09" xfId="6371"/>
    <cellStyle name="1_Энг охирги экипаж-1" xfId="6372"/>
    <cellStyle name="1_Энг охирги экипаж-1" xfId="6373"/>
    <cellStyle name="1_Энг охирги экипаж-1 2" xfId="6374"/>
    <cellStyle name="1_Энг охирги экипаж-1 2" xfId="6375"/>
    <cellStyle name="1_Энг охирги экипаж-1 3" xfId="6376"/>
    <cellStyle name="1_Энг охирги экипаж-1 3" xfId="6377"/>
    <cellStyle name="1_Энг охирги экипаж-1_УХКМ ва БИО форма 01. 02. 09" xfId="6378"/>
    <cellStyle name="1_Энг охирги экипаж-1_УХКМ ва БИО форма 01. 02. 09" xfId="6379"/>
    <cellStyle name="2" xfId="6380"/>
    <cellStyle name="2" xfId="6381"/>
    <cellStyle name="2 2" xfId="6382"/>
    <cellStyle name="2 2" xfId="6383"/>
    <cellStyle name="2 3" xfId="6384"/>
    <cellStyle name="2 3" xfId="6385"/>
    <cellStyle name="2_05,06,2007 йилга сводка Дустлик 2" xfId="6386"/>
    <cellStyle name="2_05,06,2007 йилга сводка Дустлик 2" xfId="6387"/>
    <cellStyle name="2_05,06,2007 йилга сводка Дустлик 2 2" xfId="6388"/>
    <cellStyle name="2_05,06,2007 йилга сводка Дустлик 2 2" xfId="6389"/>
    <cellStyle name="2_05,06,2007 йилга сводка Дустлик 2 3" xfId="6390"/>
    <cellStyle name="2_05,06,2007 йилга сводка Дустлик 2 3" xfId="6391"/>
    <cellStyle name="2_1 август 2006 йилдан" xfId="6392"/>
    <cellStyle name="2_1 август 2006 йилдан" xfId="6393"/>
    <cellStyle name="2_1 август 2006 йилдан 2" xfId="6394"/>
    <cellStyle name="2_1 август 2006 йилдан 2" xfId="6395"/>
    <cellStyle name="2_1 август 2006 йилдан 3" xfId="6396"/>
    <cellStyle name="2_1 август 2006 йилдан 3" xfId="6397"/>
    <cellStyle name="2_1 август 2006 йилдан_УХКМ ва БИО форма 01. 02. 09" xfId="6398"/>
    <cellStyle name="2_1 август 2006 йилдан_УХКМ ва БИО форма 01. 02. 09" xfId="6399"/>
    <cellStyle name="2_1 августга бешта формани бошкатдан тайёрланди" xfId="6400"/>
    <cellStyle name="2_1 августга бешта формани бошкатдан тайёрланди" xfId="6401"/>
    <cellStyle name="2_1 августга бешта формани бошкатдан тайёрланди 2" xfId="6402"/>
    <cellStyle name="2_1 августга бешта формани бошкатдан тайёрланди 2" xfId="6403"/>
    <cellStyle name="2_1 августга бешта формани бошкатдан тайёрланди 3" xfId="6404"/>
    <cellStyle name="2_1 августга бешта формани бошкатдан тайёрланди 3" xfId="6405"/>
    <cellStyle name="2_1 августга бешта формани бошкатдан тайёрланди_УХКМ ва БИО форма 01. 02. 09" xfId="6406"/>
    <cellStyle name="2_1 августга бешта формани бошкатдан тайёрланди_УХКМ ва БИО форма 01. 02. 09" xfId="6407"/>
    <cellStyle name="2_12.05.06" xfId="6408"/>
    <cellStyle name="2_12.05.06" xfId="6409"/>
    <cellStyle name="2_12.05.06 2" xfId="6410"/>
    <cellStyle name="2_12.05.06 2" xfId="6411"/>
    <cellStyle name="2_12.05.06 3" xfId="6412"/>
    <cellStyle name="2_12.05.06 3" xfId="6413"/>
    <cellStyle name="2_12.05.06_2008 ОКТЯБР ишчи жадвал формула" xfId="6414"/>
    <cellStyle name="2_12.05.06_2008 ОКТЯБР ишчи жадвал формула" xfId="6415"/>
    <cellStyle name="2_12.05.06_2008 ОКТЯБР ишчи жадвал формула_2008 йил 1-декабр-сводлар-узгарди" xfId="6416"/>
    <cellStyle name="2_12.05.06_2008 ОКТЯБР ишчи жадвал формула_2008 йил 1-декабр-сводлар-узгарди" xfId="6417"/>
    <cellStyle name="2_12.05.06_2008 ОКТЯБР ишчи жадвал формула_2008 йил 1-ноябр-баланс билан" xfId="6418"/>
    <cellStyle name="2_12.05.06_2008 ОКТЯБР ишчи жадвал формула_2008 йил 1-ноябр-баланс билан" xfId="6419"/>
    <cellStyle name="2_12.05.06_2008_iil_APREL_ishchi_zhadval_formula2-СВОД" xfId="6420"/>
    <cellStyle name="2_12.05.06_2008_iil_APREL_ishchi_zhadval_formula2-СВОД" xfId="6421"/>
    <cellStyle name="2_12.05.06_Апрел кр такс иш хаки тулик 5.04.08 МБ га" xfId="6422"/>
    <cellStyle name="2_12.05.06_Апрел кр такс иш хаки тулик 5.04.08 МБ га" xfId="6423"/>
    <cellStyle name="2_12.05.06_ЛИЗИНГ МОНИТОРИНГИ-1.11.08й русумлар буйича" xfId="6424"/>
    <cellStyle name="2_12.05.06_ЛИЗИНГ МОНИТОРИНГИ-1.11.08й русумлар буйича" xfId="6425"/>
    <cellStyle name="2_12.05.06_УХКМ ва БИО форма 01. 02. 09" xfId="6426"/>
    <cellStyle name="2_12.05.06_УХКМ ва БИО форма 01. 02. 09" xfId="6427"/>
    <cellStyle name="2_15-05-07 га форма" xfId="6428"/>
    <cellStyle name="2_15-05-07 га форма" xfId="6429"/>
    <cellStyle name="2_15-05-07 га форма 2" xfId="6430"/>
    <cellStyle name="2_15-05-07 га форма 2" xfId="6431"/>
    <cellStyle name="2_15-05-07 га форма 3" xfId="6432"/>
    <cellStyle name="2_15-05-07 га форма 3" xfId="6433"/>
    <cellStyle name="2_15-05-07 га форма_УХКМ ва БИО форма 01. 02. 09" xfId="6434"/>
    <cellStyle name="2_15-05-07 га форма_УХКМ ва БИО форма 01. 02. 09" xfId="6435"/>
    <cellStyle name="2_17,09,2006" xfId="6436"/>
    <cellStyle name="2_17,09,2006" xfId="6437"/>
    <cellStyle name="2_17,09,2006 2" xfId="6438"/>
    <cellStyle name="2_17,09,2006 2" xfId="6439"/>
    <cellStyle name="2_17,09,2006 3" xfId="6440"/>
    <cellStyle name="2_17,09,2006 3" xfId="6441"/>
    <cellStyle name="2_17,09,2006_УХКМ ва БИО форма 01. 02. 09" xfId="6442"/>
    <cellStyle name="2_17,09,2006_УХКМ ва БИО форма 01. 02. 09" xfId="6443"/>
    <cellStyle name="2_2006 йил хосили учун чиким Счёт фактура" xfId="6444"/>
    <cellStyle name="2_2006 йил хосили учун чиким Счёт фактура" xfId="6445"/>
    <cellStyle name="2_2006 йил хосили учун чиким Счёт фактура 2" xfId="6446"/>
    <cellStyle name="2_2006 йил хосили учун чиким Счёт фактура 2" xfId="6447"/>
    <cellStyle name="2_2006 йил хосили учун чиким Счёт фактура 3" xfId="6448"/>
    <cellStyle name="2_2006 йил хосили учун чиким Счёт фактура 3" xfId="6449"/>
    <cellStyle name="2_2006 йил хосили учун чиким Счёт фактура_2008 ОКТЯБР ишчи жадвал формула" xfId="6450"/>
    <cellStyle name="2_2006 йил хосили учун чиким Счёт фактура_2008 ОКТЯБР ишчи жадвал формула" xfId="6451"/>
    <cellStyle name="2_2006 йил хосили учун чиким Счёт фактура_2008 ОКТЯБР ишчи жадвал формула_2008 йил 1-декабр-сводлар-узгарди" xfId="6452"/>
    <cellStyle name="2_2006 йил хосили учун чиким Счёт фактура_2008 ОКТЯБР ишчи жадвал формула_2008 йил 1-декабр-сводлар-узгарди" xfId="6453"/>
    <cellStyle name="2_2006 йил хосили учун чиким Счёт фактура_2008 ОКТЯБР ишчи жадвал формула_2008 йил 1-ноябр-баланс билан" xfId="6454"/>
    <cellStyle name="2_2006 йил хосили учун чиким Счёт фактура_2008 ОКТЯБР ишчи жадвал формула_2008 йил 1-ноябр-баланс билан" xfId="6455"/>
    <cellStyle name="2_2006 йил хосили учун чиким Счёт фактура_2008_iil_APREL_ishchi_zhadval_formula2-СВОД" xfId="6456"/>
    <cellStyle name="2_2006 йил хосили учун чиким Счёт фактура_2008_iil_APREL_ishchi_zhadval_formula2-СВОД" xfId="6457"/>
    <cellStyle name="2_2006 йил хосили учун чиким Счёт фактура_Апрел кр такс иш хаки тулик 5.04.08 МБ га" xfId="6458"/>
    <cellStyle name="2_2006 йил хосили учун чиким Счёт фактура_Апрел кр такс иш хаки тулик 5.04.08 МБ га" xfId="6459"/>
    <cellStyle name="2_2006 йил хосили учун чиким Счёт фактура_ЛИЗИНГ МОНИТОРИНГИ-1.11.08й русумлар буйича" xfId="6460"/>
    <cellStyle name="2_2006 йил хосили учун чиким Счёт фактура_ЛИЗИНГ МОНИТОРИНГИ-1.11.08й русумлар буйича" xfId="6461"/>
    <cellStyle name="2_2006 йил хосили учун чиким Счёт фактура_УХКМ ва БИО форма 01. 02. 09" xfId="6462"/>
    <cellStyle name="2_2006 йил хосили учун чиким Счёт фактура_УХКМ ва БИО форма 01. 02. 09" xfId="6463"/>
    <cellStyle name="2_2007 йил январ чиким котди" xfId="6464"/>
    <cellStyle name="2_2007 йил январ чиким котди" xfId="6465"/>
    <cellStyle name="2_2007 йил январ чиким котди 2" xfId="6466"/>
    <cellStyle name="2_2007 йил январ чиким котди 2" xfId="6467"/>
    <cellStyle name="2_2007 йил январ чиким котди 3" xfId="6468"/>
    <cellStyle name="2_2007 йил январ чиким котди 3" xfId="6469"/>
    <cellStyle name="2_2007 йил январ чиким котди_УХКМ ва БИО форма 01. 02. 09" xfId="6470"/>
    <cellStyle name="2_2007 йил январ чиким котди_УХКМ ва БИО форма 01. 02. 09" xfId="6471"/>
    <cellStyle name="2_2008 ОКТЯБР ишчи жадвал формула" xfId="6472"/>
    <cellStyle name="2_2008 ОКТЯБР ишчи жадвал формула" xfId="6473"/>
    <cellStyle name="2_2008 ОКТЯБР ишчи жадвал формула_2008 йил 1-декабр-сводлар-узгарди" xfId="6474"/>
    <cellStyle name="2_2008 ОКТЯБР ишчи жадвал формула_2008 йил 1-декабр-сводлар-узгарди" xfId="6475"/>
    <cellStyle name="2_2008 ОКТЯБР ишчи жадвал формула_2008 йил 1-ноябр-баланс билан" xfId="6476"/>
    <cellStyle name="2_2008 ОКТЯБР ишчи жадвал формула_2008 йил 1-ноябр-баланс билан" xfId="6477"/>
    <cellStyle name="2_2008 ФЕВРАЛ ишчи жадвал формула СВОД" xfId="6478"/>
    <cellStyle name="2_2008 ФЕВРАЛ ишчи жадвал формула СВОД" xfId="6479"/>
    <cellStyle name="2_2008_iil_APREL_ishchi_zhadval_formula2-СВОД" xfId="6480"/>
    <cellStyle name="2_2008_iil_APREL_ishchi_zhadval_formula2-СВОД" xfId="6481"/>
    <cellStyle name="2_3 Сводка 16,04,07" xfId="6482"/>
    <cellStyle name="2_3 Сводка 16,04,07" xfId="6483"/>
    <cellStyle name="2_3 Сводка 16,04,07 2" xfId="6484"/>
    <cellStyle name="2_3 Сводка 16,04,07 2" xfId="6485"/>
    <cellStyle name="2_3 Сводка 16,04,07 3" xfId="6486"/>
    <cellStyle name="2_3 Сводка 16,04,07 3" xfId="6487"/>
    <cellStyle name="2_3 Сводка 16,04,07_2008 ОКТЯБР ишчи жадвал формула" xfId="6488"/>
    <cellStyle name="2_3 Сводка 16,04,07_2008 ОКТЯБР ишчи жадвал формула" xfId="6489"/>
    <cellStyle name="2_3 Сводка 16,04,07_2008 ОКТЯБР ишчи жадвал формула_2008 йил 1-декабр-сводлар-узгарди" xfId="6490"/>
    <cellStyle name="2_3 Сводка 16,04,07_2008 ОКТЯБР ишчи жадвал формула_2008 йил 1-декабр-сводлар-узгарди" xfId="6491"/>
    <cellStyle name="2_3 Сводка 16,04,07_2008 ОКТЯБР ишчи жадвал формула_2008 йил 1-ноябр-баланс билан" xfId="6492"/>
    <cellStyle name="2_3 Сводка 16,04,07_2008 ОКТЯБР ишчи жадвал формула_2008 йил 1-ноябр-баланс билан" xfId="6493"/>
    <cellStyle name="2_3 Сводка 16,04,07_2008_iil_APREL_ishchi_zhadval_formula2-СВОД" xfId="6494"/>
    <cellStyle name="2_3 Сводка 16,04,07_2008_iil_APREL_ishchi_zhadval_formula2-СВОД" xfId="6495"/>
    <cellStyle name="2_3 Сводка 16,04,07_Апрел кр такс иш хаки тулик 5.04.08 МБ га" xfId="6496"/>
    <cellStyle name="2_3 Сводка 16,04,07_Апрел кр такс иш хаки тулик 5.04.08 МБ га" xfId="6497"/>
    <cellStyle name="2_3 Сводка 16,04,07_ЛИЗИНГ МОНИТОРИНГИ-1.11.08й русумлар буйича" xfId="6498"/>
    <cellStyle name="2_3 Сводка 16,04,07_ЛИЗИНГ МОНИТОРИНГИ-1.11.08й русумлар буйича" xfId="6499"/>
    <cellStyle name="2_3 Сводка 16,04,07_УХКМ ва БИО форма 01. 02. 09" xfId="6500"/>
    <cellStyle name="2_3 Сводка 16,04,07_УХКМ ва БИО форма 01. 02. 09" xfId="6501"/>
    <cellStyle name="2_MONITOR 08-05-07 Вилоятга" xfId="6502"/>
    <cellStyle name="2_MONITOR 08-05-07 Вилоятга" xfId="6503"/>
    <cellStyle name="2_MONITOR 08-05-07 Вилоятга 2" xfId="6504"/>
    <cellStyle name="2_MONITOR 08-05-07 Вилоятга 2" xfId="6505"/>
    <cellStyle name="2_MONITOR 08-05-07 Вилоятга 3" xfId="6506"/>
    <cellStyle name="2_MONITOR 08-05-07 Вилоятга 3" xfId="6507"/>
    <cellStyle name="2_MONITOR 08-05-07 Вилоятга_УХКМ ва БИО форма 01. 02. 09" xfId="6508"/>
    <cellStyle name="2_MONITOR 08-05-07 Вилоятга_УХКМ ва БИО форма 01. 02. 09" xfId="6509"/>
    <cellStyle name="2_MONITOR 15-05-07 ВилоятгаААА" xfId="6510"/>
    <cellStyle name="2_MONITOR 15-05-07 ВилоятгаААА" xfId="6511"/>
    <cellStyle name="2_MONITOR 15-05-07 ВилоятгаААА 2" xfId="6512"/>
    <cellStyle name="2_MONITOR 15-05-07 ВилоятгаААА 2" xfId="6513"/>
    <cellStyle name="2_MONITOR 15-05-07 ВилоятгаААА 3" xfId="6514"/>
    <cellStyle name="2_MONITOR 15-05-07 ВилоятгаААА 3" xfId="6515"/>
    <cellStyle name="2_MONITOR 15-05-07 ВилоятгаААА_УХКМ ва БИО форма 01. 02. 09" xfId="6516"/>
    <cellStyle name="2_MONITOR 15-05-07 ВилоятгаААА_УХКМ ва БИО форма 01. 02. 09" xfId="6517"/>
    <cellStyle name="2_MONITOR 17-05-07 Вилоятгааа" xfId="6518"/>
    <cellStyle name="2_MONITOR 17-05-07 Вилоятгааа" xfId="6519"/>
    <cellStyle name="2_MONITOR 17-05-07 Вилоятгааа 2" xfId="6520"/>
    <cellStyle name="2_MONITOR 17-05-07 Вилоятгааа 2" xfId="6521"/>
    <cellStyle name="2_MONITOR 17-05-07 Вилоятгааа 3" xfId="6522"/>
    <cellStyle name="2_MONITOR 17-05-07 Вилоятгааа 3" xfId="6523"/>
    <cellStyle name="2_MONITOR 24-02-07 JJJ Охиргиси" xfId="6524"/>
    <cellStyle name="2_MONITOR 24-02-07 JJJ Охиргиси" xfId="6525"/>
    <cellStyle name="2_MONITOR 24-02-07 JJJ Охиргиси 2" xfId="6526"/>
    <cellStyle name="2_MONITOR 24-02-07 JJJ Охиргиси 2" xfId="6527"/>
    <cellStyle name="2_MONITOR 24-02-07 JJJ Охиргиси 3" xfId="6528"/>
    <cellStyle name="2_MONITOR 24-02-07 JJJ Охиргиси 3" xfId="6529"/>
    <cellStyle name="2_MONITOR 24-02-07 JJJ Охиргиси_УХКМ ва БИО форма 01. 02. 09" xfId="6530"/>
    <cellStyle name="2_MONITOR 24-02-07 JJJ Охиргиси_УХКМ ва БИО форма 01. 02. 09" xfId="6531"/>
    <cellStyle name="2_SVOD SHINA" xfId="6532"/>
    <cellStyle name="2_SVOD SHINA" xfId="6533"/>
    <cellStyle name="2_SVOD SHINA_УХКМ ва БИО форма 01. 02. 09" xfId="6534"/>
    <cellStyle name="2_SVOD SHINA_УХКМ ва БИО форма 01. 02. 09" xfId="6535"/>
    <cellStyle name="2_АКЧАБОЙ АКАГА 1-озиклантириш фонд" xfId="6536"/>
    <cellStyle name="2_АКЧАБОЙ АКАГА 1-озиклантириш фонд" xfId="6537"/>
    <cellStyle name="2_АКЧАБОЙ АКАГА 1-озиклантириш фонд 2" xfId="6538"/>
    <cellStyle name="2_АКЧАБОЙ АКАГА 1-озиклантириш фонд 2" xfId="6539"/>
    <cellStyle name="2_АКЧАБОЙ АКАГА 1-озиклантириш фонд 3" xfId="6540"/>
    <cellStyle name="2_АКЧАБОЙ АКАГА 1-озиклантириш фонд 3" xfId="6541"/>
    <cellStyle name="2_Апрел кр такс иш хаки тулик 5.04.08 МБ га" xfId="6542"/>
    <cellStyle name="2_Апрел кр такс иш хаки тулик 5.04.08 МБ га" xfId="6543"/>
    <cellStyle name="2_Апрел кредитдан тушди 19-04" xfId="6544"/>
    <cellStyle name="2_Апрел кредитдан тушди 19-04" xfId="6545"/>
    <cellStyle name="2_Апрел кредитдан тушди 19-04_2008 ОКТЯБР ишчи жадвал формула" xfId="6546"/>
    <cellStyle name="2_Апрел кредитдан тушди 19-04_2008 ОКТЯБР ишчи жадвал формула" xfId="6547"/>
    <cellStyle name="2_Апрел кредитдан тушди 19-04_2008 ОКТЯБР ишчи жадвал формула_2008 йил 1-декабр-сводлар-узгарди" xfId="6548"/>
    <cellStyle name="2_Апрел кредитдан тушди 19-04_2008 ОКТЯБР ишчи жадвал формула_2008 йил 1-декабр-сводлар-узгарди" xfId="6549"/>
    <cellStyle name="2_Апрел кредитдан тушди 19-04_2008 ОКТЯБР ишчи жадвал формула_2008 йил 1-ноябр-баланс билан" xfId="6550"/>
    <cellStyle name="2_Апрел кредитдан тушди 19-04_2008 ОКТЯБР ишчи жадвал формула_2008 йил 1-ноябр-баланс билан" xfId="6551"/>
    <cellStyle name="2_Апрел кредитдан тушди 19-04_2008_iil_APREL_ishchi_zhadval_formula2-СВОД" xfId="6552"/>
    <cellStyle name="2_Апрел кредитдан тушди 19-04_2008_iil_APREL_ishchi_zhadval_formula2-СВОД" xfId="6553"/>
    <cellStyle name="2_Апрел-режа-ксхб" xfId="6554"/>
    <cellStyle name="2_Апрел-режа-ксхб" xfId="6555"/>
    <cellStyle name="2_Апрел-режа-ксхб_2008 ОКТЯБР ишчи жадвал формула" xfId="6556"/>
    <cellStyle name="2_Апрел-режа-ксхб_2008 ОКТЯБР ишчи жадвал формула" xfId="6557"/>
    <cellStyle name="2_Апрел-режа-ксхб_2008 ОКТЯБР ишчи жадвал формула_2008 йил 1-декабр-сводлар-узгарди" xfId="6558"/>
    <cellStyle name="2_Апрел-режа-ксхб_2008 ОКТЯБР ишчи жадвал формула_2008 йил 1-декабр-сводлар-узгарди" xfId="6559"/>
    <cellStyle name="2_Апрел-режа-ксхб_2008 ОКТЯБР ишчи жадвал формула_2008 йил 1-ноябр-баланс билан" xfId="6560"/>
    <cellStyle name="2_Апрел-режа-ксхб_2008 ОКТЯБР ишчи жадвал формула_2008 йил 1-ноябр-баланс билан" xfId="6561"/>
    <cellStyle name="2_Апрел-режа-ксхб_2008_iil_APREL_ishchi_zhadval_formula2-СВОД" xfId="6562"/>
    <cellStyle name="2_Апрел-режа-ксхб_2008_iil_APREL_ishchi_zhadval_formula2-СВОД" xfId="6563"/>
    <cellStyle name="2_Бажарилиши (СВОД)" xfId="6564"/>
    <cellStyle name="2_Вахобга галла кредит буйича 30 май" xfId="6565"/>
    <cellStyle name="2_Вахобга галла кредит буйича 30 май_2008 ОКТЯБР ишчи жадвал формула" xfId="6566"/>
    <cellStyle name="2_Вахобга галла кредит буйича 30 май_2008 ОКТЯБР ишчи жадвал формула" xfId="6567"/>
    <cellStyle name="2_Вахобга галла кредит буйича 30 май_2008 ОКТЯБР ишчи жадвал формула_2008 йил 1-декабр-сводлар-узгарди" xfId="6568"/>
    <cellStyle name="2_Вахобга галла кредит буйича 30 май_2008 ОКТЯБР ишчи жадвал формула_2008 йил 1-декабр-сводлар-узгарди" xfId="6569"/>
    <cellStyle name="2_Вахобга галла кредит буйича 30 май_2008 ОКТЯБР ишчи жадвал формула_2008 йил 1-ноябр-баланс билан" xfId="6570"/>
    <cellStyle name="2_Вахобга галла кредит буйича 30 май_2008 ОКТЯБР ишчи жадвал формула_2008 йил 1-ноябр-баланс билан" xfId="6571"/>
    <cellStyle name="2_Вахобга галла кредит буйича 30 май_2008_iil_APREL_ishchi_zhadval_formula2-СВОД" xfId="6572"/>
    <cellStyle name="2_Вахобга галла кредит буйича 30 май_2008_iil_APREL_ishchi_zhadval_formula2-СВОД" xfId="6573"/>
    <cellStyle name="2_Вилоят буйича 9-форма лизинг" xfId="6574"/>
    <cellStyle name="2_Вилоят буйича 9-форма лизинг" xfId="6575"/>
    <cellStyle name="2_Вилоят буйича март ойи 2.03.08 факт банкка талаб" xfId="6576"/>
    <cellStyle name="2_Вилоят буйича март ойи 2.03.08 факт банкка талаб" xfId="6577"/>
    <cellStyle name="2_Вилоят охирги мониторинг 18-04-07 кейинги" xfId="6578"/>
    <cellStyle name="2_Вилоят охирги мониторинг 18-04-07 кейинги" xfId="6579"/>
    <cellStyle name="2_Вилоят охирги мониторинг 18-04-07 кейинги 2" xfId="6580"/>
    <cellStyle name="2_Вилоят охирги мониторинг 18-04-07 кейинги 2" xfId="6581"/>
    <cellStyle name="2_Вилоят охирги мониторинг 18-04-07 кейинги 3" xfId="6582"/>
    <cellStyle name="2_Вилоят охирги мониторинг 18-04-07 кейинги 3" xfId="6583"/>
    <cellStyle name="2_Вилоят охирги мониторинг 18-04-07 кейинги_УХКМ ва БИО форма 01. 02. 09" xfId="6584"/>
    <cellStyle name="2_Вилоят охирги мониторинг 18-04-07 кейинги_УХКМ ва БИО форма 01. 02. 09" xfId="6585"/>
    <cellStyle name="2_Вилоят охирги мониторинг 20-04-07 кейинги" xfId="6586"/>
    <cellStyle name="2_Вилоят охирги мониторинг 20-04-07 кейинги" xfId="6587"/>
    <cellStyle name="2_Вилоят охирги мониторинг 20-04-07 кейинги 2" xfId="6588"/>
    <cellStyle name="2_Вилоят охирги мониторинг 20-04-07 кейинги 2" xfId="6589"/>
    <cellStyle name="2_Вилоят охирги мониторинг 20-04-07 кейинги 3" xfId="6590"/>
    <cellStyle name="2_Вилоят охирги мониторинг 20-04-07 кейинги 3" xfId="6591"/>
    <cellStyle name="2_Вилоят охирги мониторинг 20-04-07 кейинги_УХКМ ва БИО форма 01. 02. 09" xfId="6592"/>
    <cellStyle name="2_Вилоят охирги мониторинг 20-04-07 кейинги_УХКМ ва БИО форма 01. 02. 09" xfId="6593"/>
    <cellStyle name="2_Вилоятга Эканамис маълумотлари" xfId="6594"/>
    <cellStyle name="2_Вилоятга Эканамис маълумотлари" xfId="6595"/>
    <cellStyle name="2_Вилоятга Эканамис маълумотлари 2" xfId="6596"/>
    <cellStyle name="2_Вилоятга Эканамис маълумотлари 2" xfId="6597"/>
    <cellStyle name="2_Вилоятга Эканамис маълумотлари 3" xfId="6598"/>
    <cellStyle name="2_Вилоятга Эканамис маълумотлари 3" xfId="6599"/>
    <cellStyle name="2_Вилоятга Эканамис маълумотлари_УХКМ ва БИО форма 01. 02. 09" xfId="6600"/>
    <cellStyle name="2_Вилоятга Эканамис маълумотлари_УХКМ ва БИО форма 01. 02. 09" xfId="6601"/>
    <cellStyle name="2_Вилоят-химия-монитор-камай-21-04-07-агп" xfId="6602"/>
    <cellStyle name="2_Вилоят-химия-монитор-камай-21-04-07-агп" xfId="6603"/>
    <cellStyle name="2_Вилоят-химия-монитор-камай-21-04-07-агп 2" xfId="6604"/>
    <cellStyle name="2_Вилоят-химия-монитор-камай-21-04-07-агп 2" xfId="6605"/>
    <cellStyle name="2_Вилоят-химия-монитор-камай-21-04-07-агп 3" xfId="6606"/>
    <cellStyle name="2_Вилоят-химия-монитор-камай-21-04-07-агп 3" xfId="6607"/>
    <cellStyle name="2_Вилоят-химия-монитор-камай-21-04-07-агп_УХКМ ва БИО форма 01. 02. 09" xfId="6608"/>
    <cellStyle name="2_Вилоят-химия-монитор-камай-21-04-07-агп_УХКМ ва БИО форма 01. 02. 09" xfId="6609"/>
    <cellStyle name="2_Галла -2008 (Сентябр,октябр) -00121" xfId="6610"/>
    <cellStyle name="2_Галла -2008 (Сентябр,октябр) -00121" xfId="6611"/>
    <cellStyle name="2_Галла -2008 (Сентябр,октябр) -00121_2008 ОКТЯБР ишчи жадвал формула" xfId="6612"/>
    <cellStyle name="2_Галла -2008 (Сентябр,октябр) -00121_2008 ОКТЯБР ишчи жадвал формула" xfId="6613"/>
    <cellStyle name="2_Галла -2008 (Сентябр,октябр) -00121_2008 ОКТЯБР ишчи жадвал формула_2008 йил 1-декабр-сводлар-узгарди" xfId="6614"/>
    <cellStyle name="2_Галла -2008 (Сентябр,октябр) -00121_2008 ОКТЯБР ишчи жадвал формула_2008 йил 1-декабр-сводлар-узгарди" xfId="6615"/>
    <cellStyle name="2_Галла -2008 (Сентябр,октябр) -00121_2008 ОКТЯБР ишчи жадвал формула_2008 йил 1-ноябр-баланс билан" xfId="6616"/>
    <cellStyle name="2_Галла -2008 (Сентябр,октябр) -00121_2008 ОКТЯБР ишчи жадвал формула_2008 йил 1-ноябр-баланс билан" xfId="6617"/>
    <cellStyle name="2_Галла -2008 (Сентябр,октябр) -00121_2008_iil_APREL_ishchi_zhadval_formula2-СВОД" xfId="6618"/>
    <cellStyle name="2_Галла -2008 (Сентябр,октябр) -00121_2008_iil_APREL_ishchi_zhadval_formula2-СВОД" xfId="6619"/>
    <cellStyle name="2_Галла -2008 (Сентябр,октябр) -00138" xfId="6620"/>
    <cellStyle name="2_Галла -2008 (Сентябр,октябр) -00138" xfId="6621"/>
    <cellStyle name="2_Галла -2008 (Сентябр,октябр) -00138_2008 ОКТЯБР ишчи жадвал формула" xfId="6622"/>
    <cellStyle name="2_Галла -2008 (Сентябр,октябр) -00138_2008 ОКТЯБР ишчи жадвал формула" xfId="6623"/>
    <cellStyle name="2_Галла -2008 (Сентябр,октябр) -00138_2008 ОКТЯБР ишчи жадвал формула_2008 йил 1-декабр-сводлар-узгарди" xfId="6624"/>
    <cellStyle name="2_Галла -2008 (Сентябр,октябр) -00138_2008 ОКТЯБР ишчи жадвал формула_2008 йил 1-декабр-сводлар-узгарди" xfId="6625"/>
    <cellStyle name="2_Галла -2008 (Сентябр,октябр) -00138_2008 ОКТЯБР ишчи жадвал формула_2008 йил 1-ноябр-баланс билан" xfId="6626"/>
    <cellStyle name="2_Галла -2008 (Сентябр,октябр) -00138_2008 ОКТЯБР ишчи жадвал формула_2008 йил 1-ноябр-баланс билан" xfId="6627"/>
    <cellStyle name="2_Галла -2008 (Сентябр,октябр) -00138_2008_iil_APREL_ishchi_zhadval_formula2-СВОД" xfId="6628"/>
    <cellStyle name="2_Галла -2008 (Сентябр,октябр) -00138_2008_iil_APREL_ishchi_zhadval_formula2-СВОД" xfId="6629"/>
    <cellStyle name="2_Галла -2008 (Сентябр,октябр)-00140" xfId="6630"/>
    <cellStyle name="2_Галла -2008 (Сентябр,октябр)-00140" xfId="6631"/>
    <cellStyle name="2_Галла -2008 (Сентябр,октябр)-00140_2008 ОКТЯБР ишчи жадвал формула" xfId="6632"/>
    <cellStyle name="2_Галла -2008 (Сентябр,октябр)-00140_2008 ОКТЯБР ишчи жадвал формула" xfId="6633"/>
    <cellStyle name="2_Галла -2008 (Сентябр,октябр)-00140_2008 ОКТЯБР ишчи жадвал формула_2008 йил 1-декабр-сводлар-узгарди" xfId="6634"/>
    <cellStyle name="2_Галла -2008 (Сентябр,октябр)-00140_2008 ОКТЯБР ишчи жадвал формула_2008 йил 1-декабр-сводлар-узгарди" xfId="6635"/>
    <cellStyle name="2_Галла -2008 (Сентябр,октябр)-00140_2008 ОКТЯБР ишчи жадвал формула_2008 йил 1-ноябр-баланс билан" xfId="6636"/>
    <cellStyle name="2_Галла -2008 (Сентябр,октябр)-00140_2008 ОКТЯБР ишчи жадвал формула_2008 йил 1-ноябр-баланс билан" xfId="6637"/>
    <cellStyle name="2_Галла -2008 (Сентябр,октябр)-00140_2008_iil_APREL_ishchi_zhadval_formula2-СВОД" xfId="6638"/>
    <cellStyle name="2_Галла -2008 (Сентябр,октябр)-00140_2008_iil_APREL_ishchi_zhadval_formula2-СВОД" xfId="6639"/>
    <cellStyle name="2_ГАЛЛА МАРТ (Низом)" xfId="6640"/>
    <cellStyle name="2_ГАЛЛА МАРТ (Низом)" xfId="6641"/>
    <cellStyle name="2_ГАЛЛА МАРТ (Низом)_УХКМ ва БИО форма 01. 02. 09" xfId="6642"/>
    <cellStyle name="2_ГАЛЛА МАРТ (Низом)_УХКМ ва БИО форма 01. 02. 09" xfId="6643"/>
    <cellStyle name="2_Дискетга аа" xfId="6644"/>
    <cellStyle name="2_Дискетга аа" xfId="6645"/>
    <cellStyle name="2_Дискетга аа 2" xfId="6646"/>
    <cellStyle name="2_Дискетга аа 2" xfId="6647"/>
    <cellStyle name="2_Дискетга аа 3" xfId="6648"/>
    <cellStyle name="2_Дискетга аа 3" xfId="6649"/>
    <cellStyle name="2_Дискетга аа_УХКМ ва БИО форма 01. 02. 09" xfId="6650"/>
    <cellStyle name="2_Дискетга аа_УХКМ ва БИО форма 01. 02. 09" xfId="6651"/>
    <cellStyle name="2_Дустлик 01,10,06" xfId="6652"/>
    <cellStyle name="2_Дустлик 01,10,06" xfId="6653"/>
    <cellStyle name="2_Дустлик 01,10,06 2" xfId="6654"/>
    <cellStyle name="2_Дустлик 01,10,06 2" xfId="6655"/>
    <cellStyle name="2_Дустлик 01,10,06 3" xfId="6656"/>
    <cellStyle name="2_Дустлик 01,10,06 3" xfId="6657"/>
    <cellStyle name="2_Дустлик 01,10,06_УХКМ ва БИО форма 01. 02. 09" xfId="6658"/>
    <cellStyle name="2_Дустлик 01,10,06_УХКМ ва БИО форма 01. 02. 09" xfId="6659"/>
    <cellStyle name="2_Дустлик 13,10,061 га " xfId="6660"/>
    <cellStyle name="2_Дустлик 13,10,061 га " xfId="6661"/>
    <cellStyle name="2_Дустлик 13,10,061 га  2" xfId="6662"/>
    <cellStyle name="2_Дустлик 13,10,061 га  2" xfId="6663"/>
    <cellStyle name="2_Дустлик 13,10,061 га  3" xfId="6664"/>
    <cellStyle name="2_Дустлик 13,10,061 га  3" xfId="6665"/>
    <cellStyle name="2_Дустлик 13,10,061 га _УХКМ ва БИО форма 01. 02. 09" xfId="6666"/>
    <cellStyle name="2_Дустлик 13,10,061 га _УХКМ ва БИО форма 01. 02. 09" xfId="6667"/>
    <cellStyle name="2_Дустлик 15,09,06 мониторинг" xfId="6668"/>
    <cellStyle name="2_Дустлик 15,09,06 мониторинг" xfId="6669"/>
    <cellStyle name="2_Дустлик 15,09,06 мониторинг 2" xfId="6670"/>
    <cellStyle name="2_Дустлик 15,09,06 мониторинг 2" xfId="6671"/>
    <cellStyle name="2_Дустлик 15,09,06 мониторинг 3" xfId="6672"/>
    <cellStyle name="2_Дустлик 15,09,06 мониторинг 3" xfId="6673"/>
    <cellStyle name="2_Дустлик 15,09,06 мониторинг_УХКМ ва БИО форма 01. 02. 09" xfId="6674"/>
    <cellStyle name="2_Дустлик 15,09,06 мониторинг_УХКМ ва БИО форма 01. 02. 09" xfId="6675"/>
    <cellStyle name="2_Дустлик 2-05-07 мониторинг янг" xfId="6676"/>
    <cellStyle name="2_Дустлик 2-05-07 мониторинг янг" xfId="6677"/>
    <cellStyle name="2_Дустлик 2-05-07 мониторинг янг 2" xfId="6678"/>
    <cellStyle name="2_Дустлик 2-05-07 мониторинг янг 2" xfId="6679"/>
    <cellStyle name="2_Дустлик 2-05-07 мониторинг янг 3" xfId="6680"/>
    <cellStyle name="2_Дустлик 2-05-07 мониторинг янг 3" xfId="6681"/>
    <cellStyle name="2_Дустлик 31-05-07 Вилоятга" xfId="6682"/>
    <cellStyle name="2_Дустлик 31-05-07 Вилоятга" xfId="6683"/>
    <cellStyle name="2_Дустлик 31-05-07 Вилоятга 2" xfId="6684"/>
    <cellStyle name="2_Дустлик 31-05-07 Вилоятга 2" xfId="6685"/>
    <cellStyle name="2_Дустлик 31-05-07 Вилоятга 3" xfId="6686"/>
    <cellStyle name="2_Дустлик 31-05-07 Вилоятга 3" xfId="6687"/>
    <cellStyle name="2_Дустлик 31-05-07 Вилоятга_УХКМ ва БИО форма 01. 02. 09" xfId="6688"/>
    <cellStyle name="2_Дустлик 31-05-07 Вилоятга_УХКМ ва БИО форма 01. 02. 09" xfId="6689"/>
    <cellStyle name="2_Дустлик анализ 30-07-06" xfId="6690"/>
    <cellStyle name="2_Дустлик анализ 30-07-06" xfId="6691"/>
    <cellStyle name="2_Дустлик анализ 30-07-06 2" xfId="6692"/>
    <cellStyle name="2_Дустлик анализ 30-07-06 2" xfId="6693"/>
    <cellStyle name="2_Дустлик анализ 30-07-06 3" xfId="6694"/>
    <cellStyle name="2_Дустлик анализ 30-07-06 3" xfId="6695"/>
    <cellStyle name="2_Дустлик анализ 30-07-06_УХКМ ва БИО форма 01. 02. 09" xfId="6696"/>
    <cellStyle name="2_Дустлик анализ 30-07-06_УХКМ ва БИО форма 01. 02. 09" xfId="6697"/>
    <cellStyle name="2_Дустлик пахта 04-06-07" xfId="6698"/>
    <cellStyle name="2_Дустлик пахта 04-06-07" xfId="6699"/>
    <cellStyle name="2_Дустлик пахта 16-06-07" xfId="6700"/>
    <cellStyle name="2_Дустлик пахта 16-06-07" xfId="6701"/>
    <cellStyle name="2_Дустлик пахта 16-06-07 2" xfId="6702"/>
    <cellStyle name="2_Дустлик пахта 16-06-07 2" xfId="6703"/>
    <cellStyle name="2_Дустлик пахта 16-06-07 3" xfId="6704"/>
    <cellStyle name="2_Дустлик пахта 16-06-07 3" xfId="6705"/>
    <cellStyle name="2_Дустлик сводка 08-06-07 й Вилоятга" xfId="6706"/>
    <cellStyle name="2_Дустлик сводка 08-06-07 й Вилоятга" xfId="6707"/>
    <cellStyle name="2_Дустлик сводка 08-06-07 й Вилоятга 2" xfId="6708"/>
    <cellStyle name="2_Дустлик сводка 08-06-07 й Вилоятга 2" xfId="6709"/>
    <cellStyle name="2_Дустлик сводка 08-06-07 й Вилоятга 3" xfId="6710"/>
    <cellStyle name="2_Дустлик сводка 08-06-07 й Вилоятга 3" xfId="6711"/>
    <cellStyle name="2_Дустлик сводка 09-06-07 й Вилоятга" xfId="6712"/>
    <cellStyle name="2_Дустлик сводка 09-06-07 й Вилоятга" xfId="6713"/>
    <cellStyle name="2_Дустлик сводка 09-06-07 й Вилоятга 2" xfId="6714"/>
    <cellStyle name="2_Дустлик сводка 09-06-07 й Вилоятга 2" xfId="6715"/>
    <cellStyle name="2_Дустлик сводка 09-06-07 й Вилоятга 3" xfId="6716"/>
    <cellStyle name="2_Дустлик сводка 09-06-07 й Вилоятга 3" xfId="6717"/>
    <cellStyle name="2_Дустлик сводка 10-06-07 й Вилоятга" xfId="6718"/>
    <cellStyle name="2_Дустлик сводка 10-06-07 й Вилоятга" xfId="6719"/>
    <cellStyle name="2_Дустлик сводка 10-06-07 й Вилоятга 2" xfId="6720"/>
    <cellStyle name="2_Дустлик сводка 10-06-07 й Вилоятга 2" xfId="6721"/>
    <cellStyle name="2_Дустлик сводка 10-06-07 й Вилоятга 3" xfId="6722"/>
    <cellStyle name="2_Дустлик сводка 10-06-07 й Вилоятга 3" xfId="6723"/>
    <cellStyle name="2_Дустлик сводка 1-06-07" xfId="6724"/>
    <cellStyle name="2_Дустлик сводка 1-06-07" xfId="6725"/>
    <cellStyle name="2_Дустлик сводка 1-06-07 2" xfId="6726"/>
    <cellStyle name="2_Дустлик сводка 1-06-07 2" xfId="6727"/>
    <cellStyle name="2_Дустлик сводка 1-06-07 3" xfId="6728"/>
    <cellStyle name="2_Дустлик сводка 1-06-07 3" xfId="6729"/>
    <cellStyle name="2_Дустлик сводка 1-06-07_УХКМ ва БИО форма 01. 02. 09" xfId="6730"/>
    <cellStyle name="2_Дустлик сводка 1-06-07_УХКМ ва БИО форма 01. 02. 09" xfId="6731"/>
    <cellStyle name="2_Дустлик сводка 11-06-07 й Вилоятга" xfId="6732"/>
    <cellStyle name="2_Дустлик сводка 11-06-07 й Вилоятга" xfId="6733"/>
    <cellStyle name="2_Дустлик сводка 11-06-07 й Вилоятга 2" xfId="6734"/>
    <cellStyle name="2_Дустлик сводка 11-06-07 й Вилоятга 2" xfId="6735"/>
    <cellStyle name="2_Дустлик сводка 11-06-07 й Вилоятга 3" xfId="6736"/>
    <cellStyle name="2_Дустлик сводка 11-06-07 й Вилоятга 3" xfId="6737"/>
    <cellStyle name="2_Дустлик сводка 13-06-07 й Вилоятга" xfId="6738"/>
    <cellStyle name="2_Дустлик сводка 13-06-07 й Вилоятга" xfId="6739"/>
    <cellStyle name="2_Дустлик сводка 13-06-07 й Вилоятга 2" xfId="6740"/>
    <cellStyle name="2_Дустлик сводка 13-06-07 й Вилоятга 2" xfId="6741"/>
    <cellStyle name="2_Дустлик сводка 13-06-07 й Вилоятга 3" xfId="6742"/>
    <cellStyle name="2_Дустлик сводка 13-06-07 й Вилоятга 3" xfId="6743"/>
    <cellStyle name="2_Ёпилган форма туланган 13-03-07" xfId="6744"/>
    <cellStyle name="2_Ёпилган форма туланган 13-03-07" xfId="6745"/>
    <cellStyle name="2_Ёпилган форма туланган 13-03-07 2" xfId="6746"/>
    <cellStyle name="2_Ёпилган форма туланган 13-03-07 2" xfId="6747"/>
    <cellStyle name="2_Ёпилган форма туланган 13-03-07 3" xfId="6748"/>
    <cellStyle name="2_Ёпилган форма туланган 13-03-07 3" xfId="6749"/>
    <cellStyle name="2_Ёпилган форма туланган 13-03-07_УХКМ ва БИО форма 01. 02. 09" xfId="6750"/>
    <cellStyle name="2_Ёпилган форма туланган 13-03-07_УХКМ ва БИО форма 01. 02. 09" xfId="6751"/>
    <cellStyle name="2_Жадвал" xfId="6752"/>
    <cellStyle name="2_Жадвал" xfId="6753"/>
    <cellStyle name="2_Жадвал_2008 ОКТЯБР ишчи жадвал формула" xfId="6754"/>
    <cellStyle name="2_Жадвал_2008 ОКТЯБР ишчи жадвал формула" xfId="6755"/>
    <cellStyle name="2_Жадвал_2008 ОКТЯБР ишчи жадвал формула_2008 йил 1-декабр-сводлар-узгарди" xfId="6756"/>
    <cellStyle name="2_Жадвал_2008 ОКТЯБР ишчи жадвал формула_2008 йил 1-декабр-сводлар-узгарди" xfId="6757"/>
    <cellStyle name="2_Жадвал_2008 ОКТЯБР ишчи жадвал формула_2008 йил 1-ноябр-баланс билан" xfId="6758"/>
    <cellStyle name="2_Жадвал_2008 ОКТЯБР ишчи жадвал формула_2008 йил 1-ноябр-баланс билан" xfId="6759"/>
    <cellStyle name="2_Жадвал_2008_iil_APREL_ishchi_zhadval_formula2-СВОД" xfId="6760"/>
    <cellStyle name="2_Жадвал_2008_iil_APREL_ishchi_zhadval_formula2-СВОД" xfId="6761"/>
    <cellStyle name="2_Жадвал_Апрел кр такс иш хаки тулик 5.04.08 МБ га" xfId="6762"/>
    <cellStyle name="2_Жадвал_Апрел кр такс иш хаки тулик 5.04.08 МБ га" xfId="6763"/>
    <cellStyle name="2_Жадвал_ЛИЗИНГ МОНИТОРИНГИ-1.11.08й русумлар буйича" xfId="6764"/>
    <cellStyle name="2_Жадвал_ЛИЗИНГ МОНИТОРИНГИ-1.11.08й русумлар буйича" xfId="6765"/>
    <cellStyle name="2_Жадвал_УХКМ ва БИО форма 01. 02. 09" xfId="6766"/>
    <cellStyle name="2_Жадвал_УХКМ ва БИО форма 01. 02. 09" xfId="6767"/>
    <cellStyle name="2_Зарбдор туман" xfId="6768"/>
    <cellStyle name="2_Зарбдор туман" xfId="6769"/>
    <cellStyle name="2_Зафаробод Кредит1111" xfId="6770"/>
    <cellStyle name="2_Зафаробод Кредит1111" xfId="6771"/>
    <cellStyle name="2_Зафаробод Кредит1111_Апрел кр такс иш хаки тулик 5.04.08 МБ га" xfId="6772"/>
    <cellStyle name="2_Зафаробод Кредит1111_Апрел кр такс иш хаки тулик 5.04.08 МБ га" xfId="6773"/>
    <cellStyle name="2_Зафаробод Кредит1111_ЛИЗИНГ МОНИТОРИНГИ-1.11.08й русумлар буйича" xfId="6774"/>
    <cellStyle name="2_Зафаробод Кредит1111_ЛИЗИНГ МОНИТОРИНГИ-1.11.08й русумлар буйича" xfId="6775"/>
    <cellStyle name="2_Зафаробод Кредит1111_УХКМ ва БИО форма 01. 02. 09" xfId="6776"/>
    <cellStyle name="2_Зафаробод Кредит1111_УХКМ ва БИО форма 01. 02. 09" xfId="6777"/>
    <cellStyle name="2_Зафаробод ПТК 1 май" xfId="6778"/>
    <cellStyle name="2_Зафаробод ПТК 1 май" xfId="6779"/>
    <cellStyle name="2_Зафаробод ПТК 1 май 2" xfId="6780"/>
    <cellStyle name="2_Зафаробод ПТК 1 май 2" xfId="6781"/>
    <cellStyle name="2_Зафаробод ПТК 1 май 3" xfId="6782"/>
    <cellStyle name="2_Зафаробод ПТК 1 май 3" xfId="6783"/>
    <cellStyle name="2_Зафаробод ПТК 1 май_2008 ОКТЯБР ишчи жадвал формула" xfId="6784"/>
    <cellStyle name="2_Зафаробод ПТК 1 май_2008 ОКТЯБР ишчи жадвал формула" xfId="6785"/>
    <cellStyle name="2_Зафаробод ПТК 1 май_2008 ОКТЯБР ишчи жадвал формула_2008 йил 1-декабр-сводлар-узгарди" xfId="6786"/>
    <cellStyle name="2_Зафаробод ПТК 1 май_2008 ОКТЯБР ишчи жадвал формула_2008 йил 1-декабр-сводлар-узгарди" xfId="6787"/>
    <cellStyle name="2_Зафаробод ПТК 1 май_2008 ОКТЯБР ишчи жадвал формула_2008 йил 1-ноябр-баланс билан" xfId="6788"/>
    <cellStyle name="2_Зафаробод ПТК 1 май_2008 ОКТЯБР ишчи жадвал формула_2008 йил 1-ноябр-баланс билан" xfId="6789"/>
    <cellStyle name="2_Зафаробод ПТК 1 май_2008_iil_APREL_ishchi_zhadval_formula2-СВОД" xfId="6790"/>
    <cellStyle name="2_Зафаробод ПТК 1 май_2008_iil_APREL_ishchi_zhadval_formula2-СВОД" xfId="6791"/>
    <cellStyle name="2_Зафаробод-19-олтин" xfId="6792"/>
    <cellStyle name="2_Зафаробод-19-олтин" xfId="6793"/>
    <cellStyle name="2_Зафаробод-19-олтин 2" xfId="6794"/>
    <cellStyle name="2_Зафаробод-19-олтин 2" xfId="6795"/>
    <cellStyle name="2_Зафаробод-19-олтин 3" xfId="6796"/>
    <cellStyle name="2_Зафаробод-19-олтин 3" xfId="6797"/>
    <cellStyle name="2_ЛИЗИНГ МОНИТОРИНГИ-1.11.08й русумлар буйича" xfId="6798"/>
    <cellStyle name="2_ЛИЗИНГ МОНИТОРИНГИ-1.11.08й русумлар буйича" xfId="6799"/>
    <cellStyle name="2_МАЙ кредит таксимоти 7 май БАНКЛАРГА" xfId="6800"/>
    <cellStyle name="2_МАЙ кредит таксимоти 7 май БАНКЛАРГА" xfId="6801"/>
    <cellStyle name="2_МАЙ кредит таксимоти 7 май БАНКЛАРГА 2" xfId="6802"/>
    <cellStyle name="2_МАЙ кредит таксимоти 7 май БАНКЛАРГА 2" xfId="6803"/>
    <cellStyle name="2_МАЙ кредит таксимоти 7 май БАНКЛАРГА 3" xfId="6804"/>
    <cellStyle name="2_МАЙ кредит таксимоти 7 май БАНКЛАРГА 3" xfId="6805"/>
    <cellStyle name="2_МАЙ кредит таксимоти 7 май БАНКЛАРГА_2008 ОКТЯБР ишчи жадвал формула" xfId="6806"/>
    <cellStyle name="2_МАЙ кредит таксимоти 7 май БАНКЛАРГА_2008 ОКТЯБР ишчи жадвал формула" xfId="6807"/>
    <cellStyle name="2_МАЙ кредит таксимоти 7 май БАНКЛАРГА_2008 ОКТЯБР ишчи жадвал формула_2008 йил 1-декабр-сводлар-узгарди" xfId="6808"/>
    <cellStyle name="2_МАЙ кредит таксимоти 7 май БАНКЛАРГА_2008 ОКТЯБР ишчи жадвал формула_2008 йил 1-декабр-сводлар-узгарди" xfId="6809"/>
    <cellStyle name="2_МАЙ кредит таксимоти 7 май БАНКЛАРГА_2008 ОКТЯБР ишчи жадвал формула_2008 йил 1-ноябр-баланс билан" xfId="6810"/>
    <cellStyle name="2_МАЙ кредит таксимоти 7 май БАНКЛАРГА_2008 ОКТЯБР ишчи жадвал формула_2008 йил 1-ноябр-баланс билан" xfId="6811"/>
    <cellStyle name="2_МАЙ кредит таксимоти 7 май БАНКЛАРГА_2008_iil_APREL_ishchi_zhadval_formula2-СВОД" xfId="6812"/>
    <cellStyle name="2_МАЙ кредит таксимоти 7 май БАНКЛАРГА_2008_iil_APREL_ishchi_zhadval_formula2-СВОД" xfId="6813"/>
    <cellStyle name="2_Май ойи кредит 14-05-07" xfId="6814"/>
    <cellStyle name="2_Май ойи кредит 14-05-07" xfId="6815"/>
    <cellStyle name="2_Май ойи кредит 14-05-07 2" xfId="6816"/>
    <cellStyle name="2_Май ойи кредит 14-05-07 2" xfId="6817"/>
    <cellStyle name="2_Май ойи кредит 14-05-07 3" xfId="6818"/>
    <cellStyle name="2_Май ойи кредит 14-05-07 3" xfId="6819"/>
    <cellStyle name="2_Май ойи кредит 15-05-07 Вилоятга" xfId="6820"/>
    <cellStyle name="2_Май ойи кредит 15-05-07 Вилоятга" xfId="6821"/>
    <cellStyle name="2_Май ойи кредит 15-05-07 Вилоятга 2" xfId="6822"/>
    <cellStyle name="2_Май ойи кредит 15-05-07 Вилоятга 2" xfId="6823"/>
    <cellStyle name="2_Май ойи кредит 15-05-07 Вилоятга 3" xfId="6824"/>
    <cellStyle name="2_Май ойи кредит 15-05-07 Вилоятга 3" xfId="6825"/>
    <cellStyle name="2_Май ойи кредит 23-05-07 Вилоятга" xfId="6826"/>
    <cellStyle name="2_Май ойи кредит 23-05-07 Вилоятга" xfId="6827"/>
    <cellStyle name="2_Май ойи кредит 23-05-07 Вилоятга 2" xfId="6828"/>
    <cellStyle name="2_Май ойи кредит 23-05-07 Вилоятга 2" xfId="6829"/>
    <cellStyle name="2_Май ойи кредит 23-05-07 Вилоятга 3" xfId="6830"/>
    <cellStyle name="2_Май ойи кредит 23-05-07 Вилоятга 3" xfId="6831"/>
    <cellStyle name="2_Март ойи талаби вилоят" xfId="6832"/>
    <cellStyle name="2_Март ойи талаби вилоят" xfId="6833"/>
    <cellStyle name="2_Март ойига талаб арнасой" xfId="6834"/>
    <cellStyle name="2_Март ойига талаб арнасой" xfId="6835"/>
    <cellStyle name="2_Март ойига талаб арнасой_УХКМ ва БИО форма 01. 02. 09" xfId="6836"/>
    <cellStyle name="2_Март ойига талаб арнасой_УХКМ ва БИО форма 01. 02. 09" xfId="6837"/>
    <cellStyle name="2_МАРТ-СВОД-01" xfId="6838"/>
    <cellStyle name="2_МАРТ-СВОД-01" xfId="6839"/>
    <cellStyle name="2_Мирзачул 24-10-2007 йил" xfId="6840"/>
    <cellStyle name="2_Мирзачул 24-10-2007 йил" xfId="6841"/>
    <cellStyle name="2_Мирзачул 24-10-2007 йил 2" xfId="6842"/>
    <cellStyle name="2_Мирзачул 24-10-2007 йил 2" xfId="6843"/>
    <cellStyle name="2_Мирзачул 24-10-2007 йил 3" xfId="6844"/>
    <cellStyle name="2_Мирзачул 24-10-2007 йил 3" xfId="6845"/>
    <cellStyle name="2_Мирзачул 27-10-2007 йил" xfId="6846"/>
    <cellStyle name="2_Мирзачул 27-10-2007 йил" xfId="6847"/>
    <cellStyle name="2_Мирзачул 27-10-2007 йил 2" xfId="6848"/>
    <cellStyle name="2_Мирзачул 27-10-2007 йил 2" xfId="6849"/>
    <cellStyle name="2_Мирзачул 27-10-2007 йил 3" xfId="6850"/>
    <cellStyle name="2_Мирзачул 27-10-2007 йил 3" xfId="6851"/>
    <cellStyle name="2_Мирзачул пахта 07-06-07" xfId="6852"/>
    <cellStyle name="2_Мирзачул пахта 07-06-07" xfId="6853"/>
    <cellStyle name="2_Мирзачул пахта 07-06-07 2" xfId="6854"/>
    <cellStyle name="2_Мирзачул пахта 07-06-07 2" xfId="6855"/>
    <cellStyle name="2_Мирзачул пахта 07-06-07 3" xfId="6856"/>
    <cellStyle name="2_Мирзачул пахта 07-06-07 3" xfId="6857"/>
    <cellStyle name="2_Мирзачул пахта 07-06-07_2008 ОКТЯБР ишчи жадвал формула" xfId="6858"/>
    <cellStyle name="2_Мирзачул пахта 07-06-07_2008 ОКТЯБР ишчи жадвал формула" xfId="6859"/>
    <cellStyle name="2_Мирзачул пахта 07-06-07_2008 ОКТЯБР ишчи жадвал формула_2008 йил 1-декабр-сводлар-узгарди" xfId="6860"/>
    <cellStyle name="2_Мирзачул пахта 07-06-07_2008 ОКТЯБР ишчи жадвал формула_2008 йил 1-декабр-сводлар-узгарди" xfId="6861"/>
    <cellStyle name="2_Мирзачул пахта 07-06-07_2008 ОКТЯБР ишчи жадвал формула_2008 йил 1-ноябр-баланс билан" xfId="6862"/>
    <cellStyle name="2_Мирзачул пахта 07-06-07_2008 ОКТЯБР ишчи жадвал формула_2008 йил 1-ноябр-баланс билан" xfId="6863"/>
    <cellStyle name="2_Мирзачул пахта 07-06-07_2008_iil_APREL_ishchi_zhadval_formula2-СВОД" xfId="6864"/>
    <cellStyle name="2_Мирзачул пахта 07-06-07_2008_iil_APREL_ishchi_zhadval_formula2-СВОД" xfId="6865"/>
    <cellStyle name="2_Мирзачул пахта 16-06-07" xfId="6866"/>
    <cellStyle name="2_Мирзачул пахта 16-06-07" xfId="6867"/>
    <cellStyle name="2_Мирзачул пахта 16-06-07 2" xfId="6868"/>
    <cellStyle name="2_Мирзачул пахта 16-06-07 2" xfId="6869"/>
    <cellStyle name="2_Мирзачул пахта 16-06-07 3" xfId="6870"/>
    <cellStyle name="2_Мирзачул пахта 16-06-07 3" xfId="6871"/>
    <cellStyle name="2_Мирзачул-16-11-07" xfId="6872"/>
    <cellStyle name="2_Мирзачул-16-11-07" xfId="6873"/>
    <cellStyle name="2_Мирзачул-16-11-07 2" xfId="6874"/>
    <cellStyle name="2_Мирзачул-16-11-07 2" xfId="6875"/>
    <cellStyle name="2_Мирзачул-16-11-07 3" xfId="6876"/>
    <cellStyle name="2_Мирзачул-16-11-07 3" xfId="6877"/>
    <cellStyle name="2_Мирзачул-19-олтин" xfId="6878"/>
    <cellStyle name="2_Мирзачул-19-олтин" xfId="6879"/>
    <cellStyle name="2_Мирзачул-19-олтин 2" xfId="6880"/>
    <cellStyle name="2_Мирзачул-19-олтин 2" xfId="6881"/>
    <cellStyle name="2_Мирзачул-19-олтин 3" xfId="6882"/>
    <cellStyle name="2_Мирзачул-19-олтин 3" xfId="6883"/>
    <cellStyle name="2_Мониторинг 01-05-07 Вилоят" xfId="6884"/>
    <cellStyle name="2_Мониторинг 01-05-07 Вилоят" xfId="6885"/>
    <cellStyle name="2_Мониторинг 01-05-07 Вилоят 2" xfId="6886"/>
    <cellStyle name="2_Мониторинг 01-05-07 Вилоят 2" xfId="6887"/>
    <cellStyle name="2_Мониторинг 01-05-07 Вилоят 3" xfId="6888"/>
    <cellStyle name="2_Мониторинг 01-05-07 Вилоят 3" xfId="6889"/>
    <cellStyle name="2_Мониторинг 30-04-07 Вилоят" xfId="6890"/>
    <cellStyle name="2_Мониторинг 30-04-07 Вилоят" xfId="6891"/>
    <cellStyle name="2_Мониторинг 30-04-07 Вилоят 2" xfId="6892"/>
    <cellStyle name="2_Мониторинг 30-04-07 Вилоят 2" xfId="6893"/>
    <cellStyle name="2_Мониторинг 30-04-07 Вилоят 3" xfId="6894"/>
    <cellStyle name="2_Мониторинг 30-04-07 Вилоят 3" xfId="6895"/>
    <cellStyle name="2_Мониторинг 31,08,06" xfId="6896"/>
    <cellStyle name="2_Мониторинг 31,08,06" xfId="6897"/>
    <cellStyle name="2_Мониторинг 31,08,06 2" xfId="6898"/>
    <cellStyle name="2_Мониторинг 31,08,06 2" xfId="6899"/>
    <cellStyle name="2_Мониторинг 31,08,06 3" xfId="6900"/>
    <cellStyle name="2_Мониторинг 31,08,06 3" xfId="6901"/>
    <cellStyle name="2_Мониторинг 31,08,06_УХКМ ва БИО форма 01. 02. 09" xfId="6902"/>
    <cellStyle name="2_Мониторинг 31,08,06_УХКМ ва БИО форма 01. 02. 09" xfId="6903"/>
    <cellStyle name="2_олтингугут" xfId="6904"/>
    <cellStyle name="2_олтингугут" xfId="6905"/>
    <cellStyle name="2_олтингугут 2" xfId="6906"/>
    <cellStyle name="2_олтингугут 2" xfId="6907"/>
    <cellStyle name="2_олтингугут 3" xfId="6908"/>
    <cellStyle name="2_олтингугут 3" xfId="6909"/>
    <cellStyle name="2_олтингугут_УХКМ ва БИО форма 01. 02. 09" xfId="6910"/>
    <cellStyle name="2_олтингугут_УХКМ ва БИО форма 01. 02. 09" xfId="6911"/>
    <cellStyle name="2_П+Г-2007 апрел_форма" xfId="6912"/>
    <cellStyle name="2_П+Г-2007 апрел_форма" xfId="6913"/>
    <cellStyle name="2_П+Г-2007 апрел_форма_2008 ОКТЯБР ишчи жадвал формула" xfId="6914"/>
    <cellStyle name="2_П+Г-2007 апрел_форма_2008 ОКТЯБР ишчи жадвал формула" xfId="6915"/>
    <cellStyle name="2_П+Г-2007 апрел_форма_2008 ОКТЯБР ишчи жадвал формула_2008 йил 1-декабр-сводлар-узгарди" xfId="6916"/>
    <cellStyle name="2_П+Г-2007 апрел_форма_2008 ОКТЯБР ишчи жадвал формула_2008 йил 1-декабр-сводлар-узгарди" xfId="6917"/>
    <cellStyle name="2_П+Г-2007 апрел_форма_2008 ОКТЯБР ишчи жадвал формула_2008 йил 1-ноябр-баланс билан" xfId="6918"/>
    <cellStyle name="2_П+Г-2007 апрел_форма_2008 ОКТЯБР ишчи жадвал формула_2008 йил 1-ноябр-баланс билан" xfId="6919"/>
    <cellStyle name="2_П+Г-2007 апрел_форма_2008_iil_APREL_ishchi_zhadval_formula2-СВОД" xfId="6920"/>
    <cellStyle name="2_П+Г-2007 апрел_форма_2008_iil_APREL_ishchi_zhadval_formula2-СВОД" xfId="6921"/>
    <cellStyle name="2_П+Г-2007 МАЙ_18" xfId="6922"/>
    <cellStyle name="2_П+Г-2007 МАЙ_18" xfId="6923"/>
    <cellStyle name="2_П+Г-2007 МАЙ_18_2008 ОКТЯБР ишчи жадвал формула" xfId="6924"/>
    <cellStyle name="2_П+Г-2007 МАЙ_18_2008 ОКТЯБР ишчи жадвал формула" xfId="6925"/>
    <cellStyle name="2_П+Г-2007 МАЙ_18_2008 ОКТЯБР ишчи жадвал формула_2008 йил 1-декабр-сводлар-узгарди" xfId="6926"/>
    <cellStyle name="2_П+Г-2007 МАЙ_18_2008 ОКТЯБР ишчи жадвал формула_2008 йил 1-декабр-сводлар-узгарди" xfId="6927"/>
    <cellStyle name="2_П+Г-2007 МАЙ_18_2008 ОКТЯБР ишчи жадвал формула_2008 йил 1-ноябр-баланс билан" xfId="6928"/>
    <cellStyle name="2_П+Г-2007 МАЙ_18_2008 ОКТЯБР ишчи жадвал формула_2008 йил 1-ноябр-баланс билан" xfId="6929"/>
    <cellStyle name="2_П+Г-2007 МАЙ_18_2008_iil_APREL_ishchi_zhadval_formula2-СВОД" xfId="6930"/>
    <cellStyle name="2_П+Г-2007 МАЙ_18_2008_iil_APREL_ishchi_zhadval_formula2-СВОД" xfId="6931"/>
    <cellStyle name="2_П+Г-2007 МАЙ_янги" xfId="6932"/>
    <cellStyle name="2_П+Г-2007 МАЙ_янги" xfId="6933"/>
    <cellStyle name="2_П+Г-2007 МАЙ_янги_2008 ОКТЯБР ишчи жадвал формула" xfId="6934"/>
    <cellStyle name="2_П+Г-2007 МАЙ_янги_2008 ОКТЯБР ишчи жадвал формула" xfId="6935"/>
    <cellStyle name="2_П+Г-2007 МАЙ_янги_2008 ОКТЯБР ишчи жадвал формула_2008 йил 1-декабр-сводлар-узгарди" xfId="6936"/>
    <cellStyle name="2_П+Г-2007 МАЙ_янги_2008 ОКТЯБР ишчи жадвал формула_2008 йил 1-декабр-сводлар-узгарди" xfId="6937"/>
    <cellStyle name="2_П+Г-2007 МАЙ_янги_2008 ОКТЯБР ишчи жадвал формула_2008 йил 1-ноябр-баланс билан" xfId="6938"/>
    <cellStyle name="2_П+Г-2007 МАЙ_янги_2008 ОКТЯБР ишчи жадвал формула_2008 йил 1-ноябр-баланс билан" xfId="6939"/>
    <cellStyle name="2_П+Г-2007 МАЙ_янги_2008_iil_APREL_ishchi_zhadval_formula2-СВОД" xfId="6940"/>
    <cellStyle name="2_П+Г-2007 МАЙ_янги_2008_iil_APREL_ishchi_zhadval_formula2-СВОД" xfId="6941"/>
    <cellStyle name="2_ПАХТА КРЕДИТ 2008 МАРТ " xfId="6942"/>
    <cellStyle name="2_ПАХТА КРЕДИТ 2008 МАРТ " xfId="6943"/>
    <cellStyle name="2_Пахта-2007 апрел кредит" xfId="6944"/>
    <cellStyle name="2_Пахта-2007 апрел кредит" xfId="6945"/>
    <cellStyle name="2_Пахта-2007 апрел кредит_2008 ОКТЯБР ишчи жадвал формула" xfId="6946"/>
    <cellStyle name="2_Пахта-2007 апрел кредит_2008 ОКТЯБР ишчи жадвал формула" xfId="6947"/>
    <cellStyle name="2_Пахта-2007 апрел кредит_2008 ОКТЯБР ишчи жадвал формула_2008 йил 1-декабр-сводлар-узгарди" xfId="6948"/>
    <cellStyle name="2_Пахта-2007 апрел кредит_2008 ОКТЯБР ишчи жадвал формула_2008 йил 1-декабр-сводлар-узгарди" xfId="6949"/>
    <cellStyle name="2_Пахта-2007 апрел кредит_2008 ОКТЯБР ишчи жадвал формула_2008 йил 1-ноябр-баланс билан" xfId="6950"/>
    <cellStyle name="2_Пахта-2007 апрел кредит_2008 ОКТЯБР ишчи жадвал формула_2008 йил 1-ноябр-баланс билан" xfId="6951"/>
    <cellStyle name="2_Пахта-2007 апрел кредит_2008_iil_APREL_ishchi_zhadval_formula2-СВОД" xfId="6952"/>
    <cellStyle name="2_Пахта-2007 апрел кредит_2008_iil_APREL_ishchi_zhadval_formula2-СВОД" xfId="6953"/>
    <cellStyle name="2_Пахта-2007 апрел кредит_Апрел кр такс иш хаки тулик 5.04.08 МБ га" xfId="6954"/>
    <cellStyle name="2_Пахта-2007 апрел кредит_Апрел кр такс иш хаки тулик 5.04.08 МБ га" xfId="6955"/>
    <cellStyle name="2_Пахта-2007 апрел кредит_ЛИЗИНГ МОНИТОРИНГИ-1.11.08й русумлар буйича" xfId="6956"/>
    <cellStyle name="2_Пахта-2007 апрел кредит_ЛИЗИНГ МОНИТОРИНГИ-1.11.08й русумлар буйича" xfId="6957"/>
    <cellStyle name="2_Пахта-2007 апрел кредит_УХКМ ва БИО форма 01. 02. 09" xfId="6958"/>
    <cellStyle name="2_Пахта-2007 апрел кредит_УХКМ ва БИО форма 01. 02. 09" xfId="6959"/>
    <cellStyle name="2_Пахта-Галла-Апрел-Кредит" xfId="6960"/>
    <cellStyle name="2_Пахта-Галла-Апрел-Кредит" xfId="6961"/>
    <cellStyle name="2_Пахта-Галла-Апрел-Кредит_2008 ОКТЯБР ишчи жадвал формула" xfId="6962"/>
    <cellStyle name="2_Пахта-Галла-Апрел-Кредит_2008 ОКТЯБР ишчи жадвал формула" xfId="6963"/>
    <cellStyle name="2_Пахта-Галла-Апрел-Кредит_2008 ОКТЯБР ишчи жадвал формула_2008 йил 1-декабр-сводлар-узгарди" xfId="6964"/>
    <cellStyle name="2_Пахта-Галла-Апрел-Кредит_2008 ОКТЯБР ишчи жадвал формула_2008 йил 1-декабр-сводлар-узгарди" xfId="6965"/>
    <cellStyle name="2_Пахта-Галла-Апрел-Кредит_2008 ОКТЯБР ишчи жадвал формула_2008 йил 1-ноябр-баланс билан" xfId="6966"/>
    <cellStyle name="2_Пахта-Галла-Апрел-Кредит_2008 ОКТЯБР ишчи жадвал формула_2008 йил 1-ноябр-баланс билан" xfId="6967"/>
    <cellStyle name="2_Пахта-Галла-Апрел-Кредит_2008_iil_APREL_ishchi_zhadval_formula2-СВОД" xfId="6968"/>
    <cellStyle name="2_Пахта-Галла-Апрел-Кредит_2008_iil_APREL_ishchi_zhadval_formula2-СВОД" xfId="6969"/>
    <cellStyle name="2_Пахта-Галла-Апрел-Кредит_Апрел кр такс иш хаки тулик 5.04.08 МБ га" xfId="6970"/>
    <cellStyle name="2_Пахта-Галла-Апрел-Кредит_Апрел кр такс иш хаки тулик 5.04.08 МБ га" xfId="6971"/>
    <cellStyle name="2_Пахта-Галла-Апрел-Кредит_ЛИЗИНГ МОНИТОРИНГИ-1.11.08й русумлар буйича" xfId="6972"/>
    <cellStyle name="2_Пахта-Галла-Апрел-Кредит_ЛИЗИНГ МОНИТОРИНГИ-1.11.08й русумлар буйича" xfId="6973"/>
    <cellStyle name="2_Пахта-Галла-Апрел-Кредит_УХКМ ва БИО форма 01. 02. 09" xfId="6974"/>
    <cellStyle name="2_Пахта-Галла-Апрел-Кредит_УХКМ ва БИО форма 01. 02. 09" xfId="6975"/>
    <cellStyle name="2_Пахта-Галла-Май-Кредит" xfId="6976"/>
    <cellStyle name="2_Пахта-Галла-Май-Кредит" xfId="6977"/>
    <cellStyle name="2_Пахта-Галла-Май-Кредит_2008 ОКТЯБР ишчи жадвал формула" xfId="6978"/>
    <cellStyle name="2_Пахта-Галла-Май-Кредит_2008 ОКТЯБР ишчи жадвал формула" xfId="6979"/>
    <cellStyle name="2_Пахта-Галла-Май-Кредит_2008 ОКТЯБР ишчи жадвал формула_2008 йил 1-декабр-сводлар-узгарди" xfId="6980"/>
    <cellStyle name="2_Пахта-Галла-Май-Кредит_2008 ОКТЯБР ишчи жадвал формула_2008 йил 1-декабр-сводлар-узгарди" xfId="6981"/>
    <cellStyle name="2_Пахта-Галла-Май-Кредит_2008 ОКТЯБР ишчи жадвал формула_2008 йил 1-ноябр-баланс билан" xfId="6982"/>
    <cellStyle name="2_Пахта-Галла-Май-Кредит_2008 ОКТЯБР ишчи жадвал формула_2008 йил 1-ноябр-баланс билан" xfId="6983"/>
    <cellStyle name="2_Пахта-Галла-Май-Кредит_2008_iil_APREL_ishchi_zhadval_formula2-СВОД" xfId="6984"/>
    <cellStyle name="2_Пахта-Галла-Май-Кредит_2008_iil_APREL_ishchi_zhadval_formula2-СВОД" xfId="6985"/>
    <cellStyle name="2_Пахта-Галла-Май-Кредит_Апрел кр такс иш хаки тулик 5.04.08 МБ га" xfId="6986"/>
    <cellStyle name="2_Пахта-Галла-Май-Кредит_Апрел кр такс иш хаки тулик 5.04.08 МБ га" xfId="6987"/>
    <cellStyle name="2_Пахта-Галла-Май-Кредит_ЛИЗИНГ МОНИТОРИНГИ-1.11.08й русумлар буйича" xfId="6988"/>
    <cellStyle name="2_Пахта-Галла-Май-Кредит_ЛИЗИНГ МОНИТОРИНГИ-1.11.08й русумлар буйича" xfId="6989"/>
    <cellStyle name="2_Пахта-Галла-Май-Кредит_УХКМ ва БИО форма 01. 02. 09" xfId="6990"/>
    <cellStyle name="2_Пахта-Галла-Май-Кредит_УХКМ ва БИО форма 01. 02. 09" xfId="6991"/>
    <cellStyle name="2_Пахта-Сентябр" xfId="6992"/>
    <cellStyle name="2_Пахта-Сентябр" xfId="6993"/>
    <cellStyle name="2_Пахта-Сентябр_2008 ОКТЯБР ишчи жадвал формула" xfId="6994"/>
    <cellStyle name="2_Пахта-Сентябр_2008 ОКТЯБР ишчи жадвал формула" xfId="6995"/>
    <cellStyle name="2_Пахта-Сентябр_2008 ОКТЯБР ишчи жадвал формула_2008 йил 1-декабр-сводлар-узгарди" xfId="6996"/>
    <cellStyle name="2_Пахта-Сентябр_2008 ОКТЯБР ишчи жадвал формула_2008 йил 1-декабр-сводлар-узгарди" xfId="6997"/>
    <cellStyle name="2_Пахта-Сентябр_2008 ОКТЯБР ишчи жадвал формула_2008 йил 1-ноябр-баланс билан" xfId="6998"/>
    <cellStyle name="2_Пахта-Сентябр_2008 ОКТЯБР ишчи жадвал формула_2008 йил 1-ноябр-баланс билан" xfId="6999"/>
    <cellStyle name="2_Пахта-Сентябр_2008_iil_APREL_ishchi_zhadval_formula2-СВОД" xfId="7000"/>
    <cellStyle name="2_Пахта-Сентябр_2008_iil_APREL_ishchi_zhadval_formula2-СВОД" xfId="7001"/>
    <cellStyle name="2_ПАХТА-Тех.карта" xfId="7002"/>
    <cellStyle name="2_ПАХТА-Тех.карта" xfId="7003"/>
    <cellStyle name="2_ПАХТА-Тех.карта_УХКМ ва БИО форма 01. 02. 09" xfId="7004"/>
    <cellStyle name="2_ПАХТА-Тех.карта_УХКМ ва БИО форма 01. 02. 09" xfId="7005"/>
    <cellStyle name="2_П-Г-Апрел-2 ЯРМИ" xfId="7006"/>
    <cellStyle name="2_П-Г-Апрел-2 ЯРМИ" xfId="7007"/>
    <cellStyle name="2_П-Г-Апрел-2 ЯРМИ_2008 ОКТЯБР ишчи жадвал формула" xfId="7008"/>
    <cellStyle name="2_П-Г-Апрел-2 ЯРМИ_2008 ОКТЯБР ишчи жадвал формула" xfId="7009"/>
    <cellStyle name="2_П-Г-Апрел-2 ЯРМИ_2008 ОКТЯБР ишчи жадвал формула_2008 йил 1-декабр-сводлар-узгарди" xfId="7010"/>
    <cellStyle name="2_П-Г-Апрел-2 ЯРМИ_2008 ОКТЯБР ишчи жадвал формула_2008 йил 1-декабр-сводлар-узгарди" xfId="7011"/>
    <cellStyle name="2_П-Г-Апрел-2 ЯРМИ_2008 ОКТЯБР ишчи жадвал формула_2008 йил 1-ноябр-баланс билан" xfId="7012"/>
    <cellStyle name="2_П-Г-Апрел-2 ЯРМИ_2008 ОКТЯБР ишчи жадвал формула_2008 йил 1-ноябр-баланс билан" xfId="7013"/>
    <cellStyle name="2_П-Г-Апрел-2 ЯРМИ_2008_iil_APREL_ishchi_zhadval_formula2-СВОД" xfId="7014"/>
    <cellStyle name="2_П-Г-Апрел-2 ЯРМИ_2008_iil_APREL_ishchi_zhadval_formula2-СВОД" xfId="7015"/>
    <cellStyle name="2_П-Г-Апрел-2 ЯРМИ_Апрел кр такс иш хаки тулик 5.04.08 МБ га" xfId="7016"/>
    <cellStyle name="2_П-Г-Апрел-2 ЯРМИ_Апрел кр такс иш хаки тулик 5.04.08 МБ га" xfId="7017"/>
    <cellStyle name="2_П-Г-Апрел-2 ЯРМИ_ЛИЗИНГ МОНИТОРИНГИ-1.11.08й русумлар буйича" xfId="7018"/>
    <cellStyle name="2_П-Г-Апрел-2 ЯРМИ_ЛИЗИНГ МОНИТОРИНГИ-1.11.08й русумлар буйича" xfId="7019"/>
    <cellStyle name="2_П-Г-Апрел-2 ЯРМИ_УХКМ ва БИО форма 01. 02. 09" xfId="7020"/>
    <cellStyle name="2_П-Г-Апрел-2 ЯРМИ_УХКМ ва БИО форма 01. 02. 09" xfId="7021"/>
    <cellStyle name="2_Режа апрел кредит 19-04-07 гача" xfId="7022"/>
    <cellStyle name="2_Режа апрел кредит 19-04-07 гача" xfId="7023"/>
    <cellStyle name="2_Режа апрел кредит 19-04-07 гача 2" xfId="7024"/>
    <cellStyle name="2_Режа апрел кредит 19-04-07 гача 2" xfId="7025"/>
    <cellStyle name="2_Режа апрел кредит 19-04-07 гача 3" xfId="7026"/>
    <cellStyle name="2_Режа апрел кредит 19-04-07 гача 3" xfId="7027"/>
    <cellStyle name="2_Солик_форма_епилган_умумий" xfId="7028"/>
    <cellStyle name="2_Солик_форма_епилган_умумий" xfId="7029"/>
    <cellStyle name="2_Солик_форма_умумий" xfId="7030"/>
    <cellStyle name="2_Солик_форма_умумий" xfId="7031"/>
    <cellStyle name="2_С-р , П Б, Х Б ва бошка банк 1,01,06 дан 25,05,06гача" xfId="7032"/>
    <cellStyle name="2_С-р , П Б, Х Б ва бошка банк 1,01,06 дан 25,05,06гача" xfId="7033"/>
    <cellStyle name="2_С-р , П Б, Х Б ва бошка банк 1,01,06 дан 25,05,06гача 2" xfId="7034"/>
    <cellStyle name="2_С-р , П Б, Х Б ва бошка банк 1,01,06 дан 25,05,06гача 2" xfId="7035"/>
    <cellStyle name="2_С-р , П Б, Х Б ва бошка банк 1,01,06 дан 25,05,06гача 3" xfId="7036"/>
    <cellStyle name="2_С-р , П Б, Х Б ва бошка банк 1,01,06 дан 25,05,06гача 3" xfId="7037"/>
    <cellStyle name="2_С-р , П Б, Х Б ва бошка банк 1,01,06 дан 25,05,06гача_УХКМ ва БИО форма 01. 02. 09" xfId="7038"/>
    <cellStyle name="2_С-р , П Б, Х Б ва бошка банк 1,01,06 дан 25,05,06гача_УХКМ ва БИО форма 01. 02. 09" xfId="7039"/>
    <cellStyle name="2_С-р , П Б, Х Б ва бошка банк 1,01,06 дан 25,05,06гача00" xfId="7040"/>
    <cellStyle name="2_С-р , П Б, Х Б ва бошка банк 1,01,06 дан 25,05,06гача00" xfId="7041"/>
    <cellStyle name="2_С-р , П Б, Х Б ва бошка банк 1,01,06 дан 25,05,06гача00 2" xfId="7042"/>
    <cellStyle name="2_С-р , П Б, Х Б ва бошка банк 1,01,06 дан 25,05,06гача00 2" xfId="7043"/>
    <cellStyle name="2_С-р , П Б, Х Б ва бошка банк 1,01,06 дан 25,05,06гача00 3" xfId="7044"/>
    <cellStyle name="2_С-р , П Б, Х Б ва бошка банк 1,01,06 дан 25,05,06гача00 3" xfId="7045"/>
    <cellStyle name="2_С-р , П Б, Х Б ва бошка банк 1,01,06 дан 25,05,06гача00_УХКМ ва БИО форма 01. 02. 09" xfId="7046"/>
    <cellStyle name="2_С-р , П Б, Х Б ва бошка банк 1,01,06 дан 25,05,06гача00_УХКМ ва БИО форма 01. 02. 09" xfId="7047"/>
    <cellStyle name="2_УХКМ ва БИО форма 01. 02. 09" xfId="7048"/>
    <cellStyle name="2_УХКМ ва БИО форма 01. 02. 09" xfId="7049"/>
    <cellStyle name="2_Факт 2006 йилга олганлар" xfId="7050"/>
    <cellStyle name="2_Факт 2006 йилга олганлар" xfId="7051"/>
    <cellStyle name="2_Факт 2006 йилга олганлар 2" xfId="7052"/>
    <cellStyle name="2_Факт 2006 йилга олганлар 2" xfId="7053"/>
    <cellStyle name="2_Факт 2006 йилга олганлар 3" xfId="7054"/>
    <cellStyle name="2_Факт 2006 йилга олганлар 3" xfId="7055"/>
    <cellStyle name="2_Факт 2006 йилга олганлар_2008 ОКТЯБР ишчи жадвал формула" xfId="7056"/>
    <cellStyle name="2_Факт 2006 йилга олганлар_2008 ОКТЯБР ишчи жадвал формула" xfId="7057"/>
    <cellStyle name="2_Факт 2006 йилга олганлар_2008 ОКТЯБР ишчи жадвал формула_2008 йил 1-декабр-сводлар-узгарди" xfId="7058"/>
    <cellStyle name="2_Факт 2006 йилга олганлар_2008 ОКТЯБР ишчи жадвал формула_2008 йил 1-декабр-сводлар-узгарди" xfId="7059"/>
    <cellStyle name="2_Факт 2006 йилга олганлар_2008 ОКТЯБР ишчи жадвал формула_2008 йил 1-ноябр-баланс билан" xfId="7060"/>
    <cellStyle name="2_Факт 2006 йилга олганлар_2008 ОКТЯБР ишчи жадвал формула_2008 йил 1-ноябр-баланс билан" xfId="7061"/>
    <cellStyle name="2_Факт 2006 йилга олганлар_2008_iil_APREL_ishchi_zhadval_formula2-СВОД" xfId="7062"/>
    <cellStyle name="2_Факт 2006 йилга олганлар_2008_iil_APREL_ishchi_zhadval_formula2-СВОД" xfId="7063"/>
    <cellStyle name="2_Факт 2006 йилга олганлар_Апрел кр такс иш хаки тулик 5.04.08 МБ га" xfId="7064"/>
    <cellStyle name="2_Факт 2006 йилга олганлар_Апрел кр такс иш хаки тулик 5.04.08 МБ га" xfId="7065"/>
    <cellStyle name="2_Факт 2006 йилга олганлар_ЛИЗИНГ МОНИТОРИНГИ-1.11.08й русумлар буйича" xfId="7066"/>
    <cellStyle name="2_Факт 2006 йилга олганлар_ЛИЗИНГ МОНИТОРИНГИ-1.11.08й русумлар буйича" xfId="7067"/>
    <cellStyle name="2_Факт 2006 йилга олганлар_УХКМ ва БИО форма 01. 02. 09" xfId="7068"/>
    <cellStyle name="2_Факт 2006 йилга олганлар_УХКМ ва БИО форма 01. 02. 09" xfId="7069"/>
    <cellStyle name="2_Химия-11" xfId="7070"/>
    <cellStyle name="2_Химия-11" xfId="7071"/>
    <cellStyle name="2_Химия-11_2008 ОКТЯБР ишчи жадвал формула" xfId="7072"/>
    <cellStyle name="2_Химия-11_2008 ОКТЯБР ишчи жадвал формула" xfId="7073"/>
    <cellStyle name="2_Химия-11_2008 ОКТЯБР ишчи жадвал формула_2008 йил 1-декабр-сводлар-узгарди" xfId="7074"/>
    <cellStyle name="2_Химия-11_2008 ОКТЯБР ишчи жадвал формула_2008 йил 1-декабр-сводлар-узгарди" xfId="7075"/>
    <cellStyle name="2_Химия-11_2008 ОКТЯБР ишчи жадвал формула_2008 йил 1-ноябр-баланс билан" xfId="7076"/>
    <cellStyle name="2_Химия-11_2008 ОКТЯБР ишчи жадвал формула_2008 йил 1-ноябр-баланс билан" xfId="7077"/>
    <cellStyle name="2_Химия-11_2008_iil_APREL_ishchi_zhadval_formula2-СВОД" xfId="7078"/>
    <cellStyle name="2_Химия-11_2008_iil_APREL_ishchi_zhadval_formula2-СВОД" xfId="7079"/>
    <cellStyle name="2_Чиким Апрел ойи котди" xfId="7080"/>
    <cellStyle name="2_Чиким Апрел ойи котди" xfId="7081"/>
    <cellStyle name="2_Чиким Апрел ойи котди 2" xfId="7082"/>
    <cellStyle name="2_Чиким Апрел ойи котди 2" xfId="7083"/>
    <cellStyle name="2_Чиким Апрел ойи котди 3" xfId="7084"/>
    <cellStyle name="2_Чиким Апрел ойи котди 3" xfId="7085"/>
    <cellStyle name="2_Чиким Апрел ойи котди_УХКМ ва БИО форма 01. 02. 09" xfId="7086"/>
    <cellStyle name="2_Чиким Апрел ойи котди_УХКМ ва БИО форма 01. 02. 09" xfId="7087"/>
    <cellStyle name="2_Чиким июн" xfId="7088"/>
    <cellStyle name="2_Чиким июн" xfId="7089"/>
    <cellStyle name="2_Чиким июн 2" xfId="7090"/>
    <cellStyle name="2_Чиким июн 2" xfId="7091"/>
    <cellStyle name="2_Чиким июн 3" xfId="7092"/>
    <cellStyle name="2_Чиким июн 3" xfId="7093"/>
    <cellStyle name="2_Чиким июн_2008 ОКТЯБР ишчи жадвал формула" xfId="7094"/>
    <cellStyle name="2_Чиким июн_2008 ОКТЯБР ишчи жадвал формула" xfId="7095"/>
    <cellStyle name="2_Чиким июн_2008 ОКТЯБР ишчи жадвал формула_2008 йил 1-декабр-сводлар-узгарди" xfId="7096"/>
    <cellStyle name="2_Чиким июн_2008 ОКТЯБР ишчи жадвал формула_2008 йил 1-декабр-сводлар-узгарди" xfId="7097"/>
    <cellStyle name="2_Чиким июн_2008 ОКТЯБР ишчи жадвал формула_2008 йил 1-ноябр-баланс билан" xfId="7098"/>
    <cellStyle name="2_Чиким июн_2008 ОКТЯБР ишчи жадвал формула_2008 йил 1-ноябр-баланс билан" xfId="7099"/>
    <cellStyle name="2_Чиким июн_2008_iil_APREL_ishchi_zhadval_formula2-СВОД" xfId="7100"/>
    <cellStyle name="2_Чиким июн_2008_iil_APREL_ishchi_zhadval_formula2-СВОД" xfId="7101"/>
    <cellStyle name="2_Чиким июн_Апрел кр такс иш хаки тулик 5.04.08 МБ га" xfId="7102"/>
    <cellStyle name="2_Чиким июн_Апрел кр такс иш хаки тулик 5.04.08 МБ га" xfId="7103"/>
    <cellStyle name="2_Чиким июн_ЛИЗИНГ МОНИТОРИНГИ-1.11.08й русумлар буйича" xfId="7104"/>
    <cellStyle name="2_Чиким июн_ЛИЗИНГ МОНИТОРИНГИ-1.11.08й русумлар буйича" xfId="7105"/>
    <cellStyle name="2_Чиким июн_УХКМ ва БИО форма 01. 02. 09" xfId="7106"/>
    <cellStyle name="2_Чиким июн_УХКМ ва БИО форма 01. 02. 09" xfId="7107"/>
    <cellStyle name="2_Энг охирги экипаж-1" xfId="7108"/>
    <cellStyle name="2_Энг охирги экипаж-1" xfId="7109"/>
    <cellStyle name="2_Энг охирги экипаж-1 2" xfId="7110"/>
    <cellStyle name="2_Энг охирги экипаж-1 2" xfId="7111"/>
    <cellStyle name="2_Энг охирги экипаж-1 3" xfId="7112"/>
    <cellStyle name="2_Энг охирги экипаж-1 3" xfId="7113"/>
    <cellStyle name="2_Энг охирги экипаж-1_УХКМ ва БИО форма 01. 02. 09" xfId="7114"/>
    <cellStyle name="2_Энг охирги экипаж-1_УХКМ ва БИО форма 01. 02. 09" xfId="7115"/>
    <cellStyle name="20% - Accent1" xfId="7116"/>
    <cellStyle name="20% - Accent1 2" xfId="7117"/>
    <cellStyle name="20% - Accent1 2 2" xfId="7118"/>
    <cellStyle name="20% - Accent1 2 3" xfId="7119"/>
    <cellStyle name="20% - Accent1 2 4" xfId="7120"/>
    <cellStyle name="20% - Accent1 2 5" xfId="7121"/>
    <cellStyle name="20% - Accent1 3" xfId="7122"/>
    <cellStyle name="20% - Accent1 4" xfId="7123"/>
    <cellStyle name="20% - Accent1 5" xfId="7124"/>
    <cellStyle name="20% - Accent1 6" xfId="7125"/>
    <cellStyle name="20% - Accent2" xfId="7126"/>
    <cellStyle name="20% - Accent2 2" xfId="7127"/>
    <cellStyle name="20% - Accent2 2 2" xfId="7128"/>
    <cellStyle name="20% - Accent2 2 3" xfId="7129"/>
    <cellStyle name="20% - Accent2 2 4" xfId="7130"/>
    <cellStyle name="20% - Accent2 2 5" xfId="7131"/>
    <cellStyle name="20% - Accent2 3" xfId="7132"/>
    <cellStyle name="20% - Accent2 4" xfId="7133"/>
    <cellStyle name="20% - Accent2 5" xfId="7134"/>
    <cellStyle name="20% - Accent2 6" xfId="7135"/>
    <cellStyle name="20% - Accent3" xfId="7136"/>
    <cellStyle name="20% - Accent3 2" xfId="7137"/>
    <cellStyle name="20% - Accent3 2 2" xfId="7138"/>
    <cellStyle name="20% - Accent3 2 3" xfId="7139"/>
    <cellStyle name="20% - Accent3 2 4" xfId="7140"/>
    <cellStyle name="20% - Accent3 2 5" xfId="7141"/>
    <cellStyle name="20% - Accent3 3" xfId="7142"/>
    <cellStyle name="20% - Accent3 4" xfId="7143"/>
    <cellStyle name="20% - Accent3 5" xfId="7144"/>
    <cellStyle name="20% - Accent3 6" xfId="7145"/>
    <cellStyle name="20% - Accent4" xfId="7146"/>
    <cellStyle name="20% - Accent4 2" xfId="7147"/>
    <cellStyle name="20% - Accent4 2 2" xfId="7148"/>
    <cellStyle name="20% - Accent4 2 3" xfId="7149"/>
    <cellStyle name="20% - Accent4 2 4" xfId="7150"/>
    <cellStyle name="20% - Accent4 2 5" xfId="7151"/>
    <cellStyle name="20% - Accent4 3" xfId="7152"/>
    <cellStyle name="20% - Accent4 4" xfId="7153"/>
    <cellStyle name="20% - Accent4 5" xfId="7154"/>
    <cellStyle name="20% - Accent4 6" xfId="7155"/>
    <cellStyle name="20% - Accent5" xfId="7156"/>
    <cellStyle name="20% - Accent5 2" xfId="7157"/>
    <cellStyle name="20% - Accent5 2 2" xfId="7158"/>
    <cellStyle name="20% - Accent5 2 3" xfId="7159"/>
    <cellStyle name="20% - Accent5 2 4" xfId="7160"/>
    <cellStyle name="20% - Accent5 2 5" xfId="7161"/>
    <cellStyle name="20% - Accent5 3" xfId="7162"/>
    <cellStyle name="20% - Accent5 4" xfId="7163"/>
    <cellStyle name="20% - Accent5 5" xfId="7164"/>
    <cellStyle name="20% - Accent5 6" xfId="7165"/>
    <cellStyle name="20% - Accent6" xfId="7166"/>
    <cellStyle name="20% - Accent6 2" xfId="7167"/>
    <cellStyle name="20% - Accent6 2 2" xfId="7168"/>
    <cellStyle name="20% - Accent6 2 3" xfId="7169"/>
    <cellStyle name="20% - Accent6 2 4" xfId="7170"/>
    <cellStyle name="20% - Accent6 2 5" xfId="7171"/>
    <cellStyle name="20% - Accent6 3" xfId="7172"/>
    <cellStyle name="20% - Accent6 4" xfId="7173"/>
    <cellStyle name="20% - Accent6 5" xfId="7174"/>
    <cellStyle name="20% - Accent6 6" xfId="7175"/>
    <cellStyle name="20% - Акцент1 2" xfId="7176"/>
    <cellStyle name="20% - Акцент2 2" xfId="7177"/>
    <cellStyle name="20% - Акцент3 2" xfId="7178"/>
    <cellStyle name="20% - Акцент4 2" xfId="7179"/>
    <cellStyle name="20% - Акцент5 2" xfId="7180"/>
    <cellStyle name="20% - Акцент6 2" xfId="7181"/>
    <cellStyle name="40% - Accent1" xfId="7182"/>
    <cellStyle name="40% - Accent1 2" xfId="7183"/>
    <cellStyle name="40% - Accent1 2 2" xfId="7184"/>
    <cellStyle name="40% - Accent1 2 3" xfId="7185"/>
    <cellStyle name="40% - Accent1 2 4" xfId="7186"/>
    <cellStyle name="40% - Accent1 2 5" xfId="7187"/>
    <cellStyle name="40% - Accent1 3" xfId="7188"/>
    <cellStyle name="40% - Accent1 4" xfId="7189"/>
    <cellStyle name="40% - Accent1 5" xfId="7190"/>
    <cellStyle name="40% - Accent1 6" xfId="7191"/>
    <cellStyle name="40% - Accent2" xfId="7192"/>
    <cellStyle name="40% - Accent2 2" xfId="7193"/>
    <cellStyle name="40% - Accent2 2 2" xfId="7194"/>
    <cellStyle name="40% - Accent2 2 3" xfId="7195"/>
    <cellStyle name="40% - Accent2 2 4" xfId="7196"/>
    <cellStyle name="40% - Accent2 2 5" xfId="7197"/>
    <cellStyle name="40% - Accent2 3" xfId="7198"/>
    <cellStyle name="40% - Accent2 4" xfId="7199"/>
    <cellStyle name="40% - Accent2 5" xfId="7200"/>
    <cellStyle name="40% - Accent2 6" xfId="7201"/>
    <cellStyle name="40% - Accent3" xfId="7202"/>
    <cellStyle name="40% - Accent3 2" xfId="7203"/>
    <cellStyle name="40% - Accent3 2 2" xfId="7204"/>
    <cellStyle name="40% - Accent3 2 3" xfId="7205"/>
    <cellStyle name="40% - Accent3 2 4" xfId="7206"/>
    <cellStyle name="40% - Accent3 2 5" xfId="7207"/>
    <cellStyle name="40% - Accent3 3" xfId="7208"/>
    <cellStyle name="40% - Accent3 4" xfId="7209"/>
    <cellStyle name="40% - Accent3 5" xfId="7210"/>
    <cellStyle name="40% - Accent3 6" xfId="7211"/>
    <cellStyle name="40% - Accent4" xfId="7212"/>
    <cellStyle name="40% - Accent4 2" xfId="7213"/>
    <cellStyle name="40% - Accent4 2 2" xfId="7214"/>
    <cellStyle name="40% - Accent4 2 3" xfId="7215"/>
    <cellStyle name="40% - Accent4 2 4" xfId="7216"/>
    <cellStyle name="40% - Accent4 2 5" xfId="7217"/>
    <cellStyle name="40% - Accent4 3" xfId="7218"/>
    <cellStyle name="40% - Accent4 4" xfId="7219"/>
    <cellStyle name="40% - Accent4 5" xfId="7220"/>
    <cellStyle name="40% - Accent4 6" xfId="7221"/>
    <cellStyle name="40% - Accent5" xfId="7222"/>
    <cellStyle name="40% - Accent5 2" xfId="7223"/>
    <cellStyle name="40% - Accent5 2 2" xfId="7224"/>
    <cellStyle name="40% - Accent5 2 3" xfId="7225"/>
    <cellStyle name="40% - Accent5 2 4" xfId="7226"/>
    <cellStyle name="40% - Accent5 2 5" xfId="7227"/>
    <cellStyle name="40% - Accent5 3" xfId="7228"/>
    <cellStyle name="40% - Accent5 4" xfId="7229"/>
    <cellStyle name="40% - Accent5 5" xfId="7230"/>
    <cellStyle name="40% - Accent5 6" xfId="7231"/>
    <cellStyle name="40% - Accent6" xfId="7232"/>
    <cellStyle name="40% - Accent6 2" xfId="7233"/>
    <cellStyle name="40% - Accent6 2 2" xfId="7234"/>
    <cellStyle name="40% - Accent6 2 3" xfId="7235"/>
    <cellStyle name="40% - Accent6 2 4" xfId="7236"/>
    <cellStyle name="40% - Accent6 2 5" xfId="7237"/>
    <cellStyle name="40% - Accent6 3" xfId="7238"/>
    <cellStyle name="40% - Accent6 4" xfId="7239"/>
    <cellStyle name="40% - Accent6 5" xfId="7240"/>
    <cellStyle name="40% - Accent6 6" xfId="7241"/>
    <cellStyle name="40% - Акцент1 2" xfId="7242"/>
    <cellStyle name="40% - Акцент2 2" xfId="7243"/>
    <cellStyle name="40% - Акцент3 2" xfId="7244"/>
    <cellStyle name="40% - Акцент4 2" xfId="7245"/>
    <cellStyle name="40% - Акцент5 2" xfId="7246"/>
    <cellStyle name="40% - Акцент6 2" xfId="7247"/>
    <cellStyle name="40ÿÿ- Acÿÿntÿ" xfId="7248"/>
    <cellStyle name="60% - Accent1" xfId="7249"/>
    <cellStyle name="60% - Accent2" xfId="7250"/>
    <cellStyle name="60% - Accent3" xfId="7251"/>
    <cellStyle name="60% - Accent4" xfId="7252"/>
    <cellStyle name="60% - Accent5" xfId="7253"/>
    <cellStyle name="60% - Accent6" xfId="7254"/>
    <cellStyle name="60% - Акцент1 2" xfId="7255"/>
    <cellStyle name="60% - Акцент2 2" xfId="7256"/>
    <cellStyle name="60% - Акцент3 2" xfId="7257"/>
    <cellStyle name="60% - Акцент4 2" xfId="7258"/>
    <cellStyle name="60% - Акцент5 2" xfId="7259"/>
    <cellStyle name="60% - Акцент6 2" xfId="7260"/>
    <cellStyle name="Aaia?iue" xfId="7261"/>
    <cellStyle name="Aaia?iue [0]" xfId="7262"/>
    <cellStyle name="Aaia?iue [0] 2" xfId="7263"/>
    <cellStyle name="Aaia?iue [0] 3" xfId="7264"/>
    <cellStyle name="Aaia?iue [0]_Бажарилиши (СВОД)" xfId="7265"/>
    <cellStyle name="Aaia?iue 2" xfId="7266"/>
    <cellStyle name="Aaia?iue 3" xfId="7267"/>
    <cellStyle name="Aaia?iue_,, 255 якуни" xfId="7268"/>
    <cellStyle name="Äåíåæíûé" xfId="7269"/>
    <cellStyle name="Äåíåæíûé [0]" xfId="7270"/>
    <cellStyle name="Äåíåæíûé [0] 2" xfId="7271"/>
    <cellStyle name="Äåíåæíûé [0] 3" xfId="7272"/>
    <cellStyle name="Äåíåæíûé 2" xfId="7273"/>
    <cellStyle name="Äåíåæíûé 3" xfId="7274"/>
    <cellStyle name="Äåíåæíûé_01.05.07 й.га формалар" xfId="7275"/>
    <cellStyle name="Accent1" xfId="7276"/>
    <cellStyle name="Accent1 - 20%" xfId="7277"/>
    <cellStyle name="Accent1 - 20% 2" xfId="7278"/>
    <cellStyle name="Accent1 - 20% 2 2" xfId="7279"/>
    <cellStyle name="Accent1 - 20% 2 3" xfId="7280"/>
    <cellStyle name="Accent1 - 20% 2 4" xfId="7281"/>
    <cellStyle name="Accent1 - 20% 2 5" xfId="7282"/>
    <cellStyle name="Accent1 - 20% 3" xfId="7283"/>
    <cellStyle name="Accent1 - 20% 4" xfId="7284"/>
    <cellStyle name="Accent1 - 20% 5" xfId="7285"/>
    <cellStyle name="Accent1 - 20% 6" xfId="7286"/>
    <cellStyle name="Accent1 - 40%" xfId="7287"/>
    <cellStyle name="Accent1 - 40% 2" xfId="7288"/>
    <cellStyle name="Accent1 - 40% 2 2" xfId="7289"/>
    <cellStyle name="Accent1 - 40% 2 3" xfId="7290"/>
    <cellStyle name="Accent1 - 40% 2 4" xfId="7291"/>
    <cellStyle name="Accent1 - 40% 2 5" xfId="7292"/>
    <cellStyle name="Accent1 - 40% 3" xfId="7293"/>
    <cellStyle name="Accent1 - 40% 4" xfId="7294"/>
    <cellStyle name="Accent1 - 40% 5" xfId="7295"/>
    <cellStyle name="Accent1 - 40% 6" xfId="7296"/>
    <cellStyle name="Accent1 - 60%" xfId="7297"/>
    <cellStyle name="Accent1_+СВОД  Узбекча Кашкадарё" xfId="7298"/>
    <cellStyle name="Accent2" xfId="7299"/>
    <cellStyle name="Accent2 - 20%" xfId="7300"/>
    <cellStyle name="Accent2 - 20% 2" xfId="7301"/>
    <cellStyle name="Accent2 - 20% 2 2" xfId="7302"/>
    <cellStyle name="Accent2 - 20% 2 3" xfId="7303"/>
    <cellStyle name="Accent2 - 20% 2 4" xfId="7304"/>
    <cellStyle name="Accent2 - 20% 2 5" xfId="7305"/>
    <cellStyle name="Accent2 - 20% 3" xfId="7306"/>
    <cellStyle name="Accent2 - 20% 4" xfId="7307"/>
    <cellStyle name="Accent2 - 20% 5" xfId="7308"/>
    <cellStyle name="Accent2 - 20% 6" xfId="7309"/>
    <cellStyle name="Accent2 - 40%" xfId="7310"/>
    <cellStyle name="Accent2 - 40% 2" xfId="7311"/>
    <cellStyle name="Accent2 - 40% 2 2" xfId="7312"/>
    <cellStyle name="Accent2 - 40% 2 3" xfId="7313"/>
    <cellStyle name="Accent2 - 40% 2 4" xfId="7314"/>
    <cellStyle name="Accent2 - 40% 2 5" xfId="7315"/>
    <cellStyle name="Accent2 - 40% 3" xfId="7316"/>
    <cellStyle name="Accent2 - 40% 4" xfId="7317"/>
    <cellStyle name="Accent2 - 40% 5" xfId="7318"/>
    <cellStyle name="Accent2 - 40% 6" xfId="7319"/>
    <cellStyle name="Accent2 - 60%" xfId="7320"/>
    <cellStyle name="Accent2_+СВОД  Узбекча Кашкадарё" xfId="7321"/>
    <cellStyle name="Accent3" xfId="7322"/>
    <cellStyle name="Accent3 - 20%" xfId="7323"/>
    <cellStyle name="Accent3 - 20% 2" xfId="7324"/>
    <cellStyle name="Accent3 - 20% 2 2" xfId="7325"/>
    <cellStyle name="Accent3 - 20% 2 3" xfId="7326"/>
    <cellStyle name="Accent3 - 20% 2 4" xfId="7327"/>
    <cellStyle name="Accent3 - 20% 2 5" xfId="7328"/>
    <cellStyle name="Accent3 - 20% 3" xfId="7329"/>
    <cellStyle name="Accent3 - 20% 4" xfId="7330"/>
    <cellStyle name="Accent3 - 20% 5" xfId="7331"/>
    <cellStyle name="Accent3 - 20% 6" xfId="7332"/>
    <cellStyle name="Accent3 - 40%" xfId="7333"/>
    <cellStyle name="Accent3 - 40% 2" xfId="7334"/>
    <cellStyle name="Accent3 - 40% 2 2" xfId="7335"/>
    <cellStyle name="Accent3 - 40% 2 3" xfId="7336"/>
    <cellStyle name="Accent3 - 40% 2 4" xfId="7337"/>
    <cellStyle name="Accent3 - 40% 2 5" xfId="7338"/>
    <cellStyle name="Accent3 - 40% 3" xfId="7339"/>
    <cellStyle name="Accent3 - 40% 4" xfId="7340"/>
    <cellStyle name="Accent3 - 40% 5" xfId="7341"/>
    <cellStyle name="Accent3 - 40% 6" xfId="7342"/>
    <cellStyle name="Accent3 - 60%" xfId="7343"/>
    <cellStyle name="Accent3_+СВОД  Узбекча Кашкадарё" xfId="7344"/>
    <cellStyle name="Accent4" xfId="7345"/>
    <cellStyle name="Accent4 - 20%" xfId="7346"/>
    <cellStyle name="Accent4 - 20% 2" xfId="7347"/>
    <cellStyle name="Accent4 - 20% 2 2" xfId="7348"/>
    <cellStyle name="Accent4 - 20% 2 3" xfId="7349"/>
    <cellStyle name="Accent4 - 20% 2 4" xfId="7350"/>
    <cellStyle name="Accent4 - 20% 2 5" xfId="7351"/>
    <cellStyle name="Accent4 - 20% 3" xfId="7352"/>
    <cellStyle name="Accent4 - 20% 4" xfId="7353"/>
    <cellStyle name="Accent4 - 20% 5" xfId="7354"/>
    <cellStyle name="Accent4 - 20% 6" xfId="7355"/>
    <cellStyle name="Accent4 - 40%" xfId="7356"/>
    <cellStyle name="Accent4 - 40% 2" xfId="7357"/>
    <cellStyle name="Accent4 - 40% 2 2" xfId="7358"/>
    <cellStyle name="Accent4 - 40% 2 3" xfId="7359"/>
    <cellStyle name="Accent4 - 40% 2 4" xfId="7360"/>
    <cellStyle name="Accent4 - 40% 2 5" xfId="7361"/>
    <cellStyle name="Accent4 - 40% 3" xfId="7362"/>
    <cellStyle name="Accent4 - 40% 4" xfId="7363"/>
    <cellStyle name="Accent4 - 40% 5" xfId="7364"/>
    <cellStyle name="Accent4 - 40% 6" xfId="7365"/>
    <cellStyle name="Accent4 - 60%" xfId="7366"/>
    <cellStyle name="Accent4_+СВОД  Узбекча Кашкадарё" xfId="7367"/>
    <cellStyle name="Accent5" xfId="7368"/>
    <cellStyle name="Accent5 - 20%" xfId="7369"/>
    <cellStyle name="Accent5 - 20% 2" xfId="7370"/>
    <cellStyle name="Accent5 - 20% 2 2" xfId="7371"/>
    <cellStyle name="Accent5 - 20% 2 3" xfId="7372"/>
    <cellStyle name="Accent5 - 20% 2 4" xfId="7373"/>
    <cellStyle name="Accent5 - 20% 2 5" xfId="7374"/>
    <cellStyle name="Accent5 - 20% 3" xfId="7375"/>
    <cellStyle name="Accent5 - 20% 4" xfId="7376"/>
    <cellStyle name="Accent5 - 20% 5" xfId="7377"/>
    <cellStyle name="Accent5 - 20% 6" xfId="7378"/>
    <cellStyle name="Accent5 - 40%" xfId="7379"/>
    <cellStyle name="Accent5 - 40% 2" xfId="7380"/>
    <cellStyle name="Accent5 - 40% 2 2" xfId="7381"/>
    <cellStyle name="Accent5 - 40% 2 3" xfId="7382"/>
    <cellStyle name="Accent5 - 40% 2 4" xfId="7383"/>
    <cellStyle name="Accent5 - 40% 2 5" xfId="7384"/>
    <cellStyle name="Accent5 - 40% 3" xfId="7385"/>
    <cellStyle name="Accent5 - 40% 4" xfId="7386"/>
    <cellStyle name="Accent5 - 40% 5" xfId="7387"/>
    <cellStyle name="Accent5 - 40% 6" xfId="7388"/>
    <cellStyle name="Accent5 - 60%" xfId="7389"/>
    <cellStyle name="Accent5_+СВОД  Узбекча Кашкадарё" xfId="7390"/>
    <cellStyle name="Accent6" xfId="7391"/>
    <cellStyle name="Accent6 - 20%" xfId="7392"/>
    <cellStyle name="Accent6 - 20% 2" xfId="7393"/>
    <cellStyle name="Accent6 - 20% 2 2" xfId="7394"/>
    <cellStyle name="Accent6 - 20% 2 3" xfId="7395"/>
    <cellStyle name="Accent6 - 20% 2 4" xfId="7396"/>
    <cellStyle name="Accent6 - 20% 2 5" xfId="7397"/>
    <cellStyle name="Accent6 - 20% 3" xfId="7398"/>
    <cellStyle name="Accent6 - 20% 4" xfId="7399"/>
    <cellStyle name="Accent6 - 20% 5" xfId="7400"/>
    <cellStyle name="Accent6 - 20% 6" xfId="7401"/>
    <cellStyle name="Accent6 - 40%" xfId="7402"/>
    <cellStyle name="Accent6 - 40% 2" xfId="7403"/>
    <cellStyle name="Accent6 - 40% 2 2" xfId="7404"/>
    <cellStyle name="Accent6 - 40% 2 3" xfId="7405"/>
    <cellStyle name="Accent6 - 40% 2 4" xfId="7406"/>
    <cellStyle name="Accent6 - 40% 2 5" xfId="7407"/>
    <cellStyle name="Accent6 - 40% 3" xfId="7408"/>
    <cellStyle name="Accent6 - 40% 4" xfId="7409"/>
    <cellStyle name="Accent6 - 40% 5" xfId="7410"/>
    <cellStyle name="Accent6 - 40% 6" xfId="7411"/>
    <cellStyle name="Accent6 - 60%" xfId="7412"/>
    <cellStyle name="Accent6_+СВОД  Узбекча Кашкадарё" xfId="7413"/>
    <cellStyle name="Acdldnnueer" xfId="7414"/>
    <cellStyle name="Ãèïåðññûëêà" xfId="7415"/>
    <cellStyle name="Ãèïåðññûëêà 2" xfId="7416"/>
    <cellStyle name="Ãèïåðññûëêà 3" xfId="7417"/>
    <cellStyle name="Alilciue [0]_ 2003 aia" xfId="7418"/>
    <cellStyle name="Alilciue_ 2003 aia" xfId="7419"/>
    <cellStyle name="Bad" xfId="7420"/>
    <cellStyle name="Calculation" xfId="7421"/>
    <cellStyle name="Calculation 2" xfId="7844"/>
    <cellStyle name="Calculation 2 2" xfId="7952"/>
    <cellStyle name="Calculation 2 2 2" xfId="8107"/>
    <cellStyle name="Calculation 2 2 2 2" xfId="8164"/>
    <cellStyle name="Calculation 2 2 2 2 2" xfId="8207"/>
    <cellStyle name="Calculation 2 2 2 3" xfId="8140"/>
    <cellStyle name="Calculation 2 2 2 4" xfId="8187"/>
    <cellStyle name="Calculation 2 2 2 5" xfId="7975"/>
    <cellStyle name="Calculation 2 2 3" xfId="8101"/>
    <cellStyle name="Calculation 2 2 4" xfId="8024"/>
    <cellStyle name="Calculation 2 2 5" xfId="8082"/>
    <cellStyle name="Calculation 2 3" xfId="7983"/>
    <cellStyle name="Calculation 3" xfId="7951"/>
    <cellStyle name="Calculation 3 2" xfId="8106"/>
    <cellStyle name="Calculation 3 2 2" xfId="8163"/>
    <cellStyle name="Calculation 3 2 2 2" xfId="8206"/>
    <cellStyle name="Calculation 3 2 3" xfId="8139"/>
    <cellStyle name="Calculation 3 2 4" xfId="8186"/>
    <cellStyle name="Calculation 3 2 5" xfId="7987"/>
    <cellStyle name="Calculation 3 3" xfId="8100"/>
    <cellStyle name="Calculation 3 4" xfId="8023"/>
    <cellStyle name="Calculation 3 5" xfId="8029"/>
    <cellStyle name="Calculation 4" xfId="7998"/>
    <cellStyle name="Calculation 5" xfId="7982"/>
    <cellStyle name="Check Cell" xfId="7422"/>
    <cellStyle name="Comma [0]_011007" xfId="7423"/>
    <cellStyle name="Comma_011007" xfId="7424"/>
    <cellStyle name="Comma0" xfId="7425"/>
    <cellStyle name="Currency [0]_011007" xfId="7426"/>
    <cellStyle name="Currency_011007" xfId="7427"/>
    <cellStyle name="Currency0" xfId="7428"/>
    <cellStyle name="Emphasis 1" xfId="7429"/>
    <cellStyle name="Emphasis 2" xfId="7430"/>
    <cellStyle name="Emphasis 3" xfId="7431"/>
    <cellStyle name="Euro" xfId="7432"/>
    <cellStyle name="Euro 2" xfId="7433"/>
    <cellStyle name="Explanatory Text" xfId="7434"/>
    <cellStyle name="F2" xfId="7435"/>
    <cellStyle name="F2 2" xfId="8001"/>
    <cellStyle name="F3" xfId="7436"/>
    <cellStyle name="F3 2" xfId="8002"/>
    <cellStyle name="F4" xfId="7437"/>
    <cellStyle name="F4 2" xfId="8003"/>
    <cellStyle name="F5" xfId="7438"/>
    <cellStyle name="F5 2" xfId="8004"/>
    <cellStyle name="F6" xfId="7439"/>
    <cellStyle name="F6 2" xfId="8005"/>
    <cellStyle name="F7" xfId="7440"/>
    <cellStyle name="F7 2" xfId="8006"/>
    <cellStyle name="F8" xfId="7441"/>
    <cellStyle name="F8 2" xfId="8007"/>
    <cellStyle name="Followed Hyperlink_Pril 1 k Rasp 1177 ot 22 09 2006 po NEW Tadb Ayol" xfId="7442"/>
    <cellStyle name="Good" xfId="7443"/>
    <cellStyle name="Grey" xfId="7444"/>
    <cellStyle name="Heading 1" xfId="7445"/>
    <cellStyle name="Heading 2" xfId="7446"/>
    <cellStyle name="Heading 3" xfId="7447"/>
    <cellStyle name="Heading 4" xfId="7448"/>
    <cellStyle name="Hyperlink_Pril 1 k Rasp 1177 ot 22 09 2006 po NEW Tadb Ayol" xfId="7449"/>
    <cellStyle name="I?ioaioiue" xfId="7450"/>
    <cellStyle name="I?ioaioiue 2" xfId="7451"/>
    <cellStyle name="I?ioaioiue 3" xfId="7452"/>
    <cellStyle name="I?ioaioiue_Бажарилиши (СВОД)" xfId="7453"/>
    <cellStyle name="I`u?iue_Deri98_D" xfId="7454"/>
    <cellStyle name="Iau?iue" xfId="7455"/>
    <cellStyle name="Iau?iue 2" xfId="7456"/>
    <cellStyle name="Iau?iue 3" xfId="7457"/>
    <cellStyle name="Iau?iue_ ailri.yeiiie." xfId="7458"/>
    <cellStyle name="Îáû÷íûé" xfId="7459"/>
    <cellStyle name="Îáû÷íûé 2" xfId="7460"/>
    <cellStyle name="Îáû÷íûé 3" xfId="7461"/>
    <cellStyle name="Ïðîöåíòíûé" xfId="7462"/>
    <cellStyle name="Ïðîöåíòíûé 2" xfId="7463"/>
    <cellStyle name="Ïðîöåíòíûé 3" xfId="7464"/>
    <cellStyle name="Ineduararr?n? acdldnnueer" xfId="7465"/>
    <cellStyle name="Input" xfId="7466"/>
    <cellStyle name="Input [yellow]" xfId="7467"/>
    <cellStyle name="Input [yellow] 2" xfId="7846"/>
    <cellStyle name="Input [yellow] 2 2" xfId="7955"/>
    <cellStyle name="Input [yellow] 2 2 2" xfId="8110"/>
    <cellStyle name="Input [yellow] 2 2 3" xfId="8103"/>
    <cellStyle name="Input [yellow] 3" xfId="7954"/>
    <cellStyle name="Input [yellow] 3 2" xfId="8109"/>
    <cellStyle name="Input [yellow] 3 3" xfId="8048"/>
    <cellStyle name="Input 10" xfId="8130"/>
    <cellStyle name="Input 11" xfId="7999"/>
    <cellStyle name="Input 12" xfId="7993"/>
    <cellStyle name="Input 13" xfId="7997"/>
    <cellStyle name="Input 14" xfId="7992"/>
    <cellStyle name="Input 15" xfId="7996"/>
    <cellStyle name="Input 16" xfId="7977"/>
    <cellStyle name="Input 2" xfId="7845"/>
    <cellStyle name="Input 2 2" xfId="7956"/>
    <cellStyle name="Input 2 2 2" xfId="8111"/>
    <cellStyle name="Input 2 2 2 2" xfId="8166"/>
    <cellStyle name="Input 2 2 2 2 2" xfId="8209"/>
    <cellStyle name="Input 2 2 2 3" xfId="8142"/>
    <cellStyle name="Input 2 2 2 4" xfId="8189"/>
    <cellStyle name="Input 2 2 2 5" xfId="7986"/>
    <cellStyle name="Input 2 2 3" xfId="8102"/>
    <cellStyle name="Input 2 2 4" xfId="8081"/>
    <cellStyle name="Input 2 2 5" xfId="8095"/>
    <cellStyle name="Input 2 3" xfId="8090"/>
    <cellStyle name="Input 3" xfId="7883"/>
    <cellStyle name="Input 3 2" xfId="7957"/>
    <cellStyle name="Input 3 2 2" xfId="8112"/>
    <cellStyle name="Input 3 2 2 2" xfId="8167"/>
    <cellStyle name="Input 3 2 2 2 2" xfId="8210"/>
    <cellStyle name="Input 3 2 2 3" xfId="8143"/>
    <cellStyle name="Input 3 2 2 4" xfId="8190"/>
    <cellStyle name="Input 3 2 2 5" xfId="7980"/>
    <cellStyle name="Input 3 2 3" xfId="8050"/>
    <cellStyle name="Input 3 2 4" xfId="8085"/>
    <cellStyle name="Input 3 2 5" xfId="8033"/>
    <cellStyle name="Input 3 3" xfId="7979"/>
    <cellStyle name="Input 4" xfId="7953"/>
    <cellStyle name="Input 4 2" xfId="8108"/>
    <cellStyle name="Input 4 2 2" xfId="8165"/>
    <cellStyle name="Input 4 2 2 2" xfId="8208"/>
    <cellStyle name="Input 4 2 3" xfId="8141"/>
    <cellStyle name="Input 4 2 4" xfId="8188"/>
    <cellStyle name="Input 4 2 5" xfId="7981"/>
    <cellStyle name="Input 4 3" xfId="8045"/>
    <cellStyle name="Input 4 4" xfId="8078"/>
    <cellStyle name="Input 4 5" xfId="8040"/>
    <cellStyle name="Input 5" xfId="7949"/>
    <cellStyle name="Input 5 2" xfId="8104"/>
    <cellStyle name="Input 5 2 2" xfId="8161"/>
    <cellStyle name="Input 5 2 2 2" xfId="8204"/>
    <cellStyle name="Input 5 2 3" xfId="8137"/>
    <cellStyle name="Input 5 2 4" xfId="8184"/>
    <cellStyle name="Input 5 2 5" xfId="7989"/>
    <cellStyle name="Input 5 3" xfId="8079"/>
    <cellStyle name="Input 5 4" xfId="8072"/>
    <cellStyle name="Input 5 5" xfId="8015"/>
    <cellStyle name="Input 6" xfId="7950"/>
    <cellStyle name="Input 6 2" xfId="8105"/>
    <cellStyle name="Input 6 2 2" xfId="8162"/>
    <cellStyle name="Input 6 2 2 2" xfId="8205"/>
    <cellStyle name="Input 6 2 3" xfId="8138"/>
    <cellStyle name="Input 6 2 4" xfId="8185"/>
    <cellStyle name="Input 6 2 5" xfId="7988"/>
    <cellStyle name="Input 6 3" xfId="8084"/>
    <cellStyle name="Input 6 4" xfId="8073"/>
    <cellStyle name="Input 6 5" xfId="8097"/>
    <cellStyle name="Input 7" xfId="8008"/>
    <cellStyle name="Input 7 2" xfId="8160"/>
    <cellStyle name="Input 7 3" xfId="8203"/>
    <cellStyle name="Input 8" xfId="7994"/>
    <cellStyle name="Input 9" xfId="8000"/>
    <cellStyle name="Input_+СВОД  Узбекча Кашкадарё" xfId="7468"/>
    <cellStyle name="Îòêðûâàâøàÿñÿ " xfId="7469"/>
    <cellStyle name="Îòêðûâàâøàÿñÿ  2" xfId="7470"/>
    <cellStyle name="Îòêðûâàâøàÿñÿ  3" xfId="7471"/>
    <cellStyle name="Linked Cell" xfId="7472"/>
    <cellStyle name="Milliers [0]_Conversion Summary" xfId="7473"/>
    <cellStyle name="Milliers_Conversion Summary" xfId="7474"/>
    <cellStyle name="Monйtaire [0]_Conversion Summary" xfId="7475"/>
    <cellStyle name="Monйtaire_Conversion Summary" xfId="7476"/>
    <cellStyle name="Neutral" xfId="7477"/>
    <cellStyle name="Normal - Style1" xfId="7478"/>
    <cellStyle name="Normal_011007" xfId="7479"/>
    <cellStyle name="Note" xfId="7480"/>
    <cellStyle name="Note 2" xfId="7847"/>
    <cellStyle name="Note 2 2" xfId="7959"/>
    <cellStyle name="Note 2 2 2" xfId="8114"/>
    <cellStyle name="Note 2 2 2 2" xfId="8169"/>
    <cellStyle name="Note 2 2 2 3" xfId="8145"/>
    <cellStyle name="Note 2 2 3" xfId="8052"/>
    <cellStyle name="Note 2 2 4" xfId="8086"/>
    <cellStyle name="Note 2 2 5" xfId="8030"/>
    <cellStyle name="Note 3" xfId="7958"/>
    <cellStyle name="Note 3 2" xfId="8113"/>
    <cellStyle name="Note 3 2 2" xfId="8168"/>
    <cellStyle name="Note 3 2 3" xfId="8144"/>
    <cellStyle name="Note 3 3" xfId="8051"/>
    <cellStyle name="Note 3 4" xfId="8094"/>
    <cellStyle name="Note 3 5" xfId="8071"/>
    <cellStyle name="Nun??c [0]_ 2003 aia" xfId="7481"/>
    <cellStyle name="Nun??c_ 2003 aia" xfId="7482"/>
    <cellStyle name="Ociriniaue [0]_1" xfId="7483"/>
    <cellStyle name="Ociriniaue_1" xfId="7484"/>
    <cellStyle name="Oeiainiaue" xfId="7485"/>
    <cellStyle name="Ôèíàíñîâûé" xfId="7486"/>
    <cellStyle name="Oeiainiaue [0]" xfId="7487"/>
    <cellStyle name="Ôèíàíñîâûé [0]" xfId="7488"/>
    <cellStyle name="Oeiainiaue [0] 2" xfId="7489"/>
    <cellStyle name="Ôèíàíñîâûé [0] 2" xfId="7490"/>
    <cellStyle name="Oeiainiaue [0] 3" xfId="7491"/>
    <cellStyle name="Ôèíàíñîâûé [0] 3" xfId="7492"/>
    <cellStyle name="Oeiainiaue [0]_+СВОД  Узбекча Кашкадарё" xfId="7493"/>
    <cellStyle name="Ôèíàíñîâûé [0]_Салохият 47та 24.07.2012" xfId="7494"/>
    <cellStyle name="Oeiainiaue 2" xfId="7495"/>
    <cellStyle name="Ôèíàíñîâûé 2" xfId="7496"/>
    <cellStyle name="Oeiainiaue 3" xfId="7497"/>
    <cellStyle name="Ôèíàíñîâûé 3" xfId="7498"/>
    <cellStyle name="Oeiainiaue_,, 255 якуни" xfId="7499"/>
    <cellStyle name="Ôèíàíñîâûé_01.05.07 й.га формалар" xfId="7500"/>
    <cellStyle name="Oeiainiaue_11.11.2008" xfId="7501"/>
    <cellStyle name="Ôèíàíñîâûé_2006 йил хосили учун чиким Счёт фактура" xfId="7502"/>
    <cellStyle name="Oeiainiaue_23-Кунград1" xfId="7503"/>
    <cellStyle name="Ôèíàíñîâûé_Салохият 47та 24.07.2012" xfId="7504"/>
    <cellStyle name="Output" xfId="7505"/>
    <cellStyle name="Output 2" xfId="7848"/>
    <cellStyle name="Output 2 2" xfId="7961"/>
    <cellStyle name="Output 2 2 2" xfId="8116"/>
    <cellStyle name="Output 2 2 2 2" xfId="8171"/>
    <cellStyle name="Output 2 2 2 2 2" xfId="8212"/>
    <cellStyle name="Output 2 2 2 3" xfId="8147"/>
    <cellStyle name="Output 2 2 2 4" xfId="8192"/>
    <cellStyle name="Output 2 2 3" xfId="8054"/>
    <cellStyle name="Output 2 2 4" xfId="8088"/>
    <cellStyle name="Output 2 2 5" xfId="8028"/>
    <cellStyle name="Output 3" xfId="7960"/>
    <cellStyle name="Output 3 2" xfId="8115"/>
    <cellStyle name="Output 3 2 2" xfId="8170"/>
    <cellStyle name="Output 3 2 2 2" xfId="8211"/>
    <cellStyle name="Output 3 2 3" xfId="8146"/>
    <cellStyle name="Output 3 2 4" xfId="8191"/>
    <cellStyle name="Output 3 3" xfId="8053"/>
    <cellStyle name="Output 3 4" xfId="8087"/>
    <cellStyle name="Output 3 5" xfId="8016"/>
    <cellStyle name="Percent [2]" xfId="7506"/>
    <cellStyle name="s]_x000d__x000a_;load=rrtsklst.exe_x000d__x000a_Beep=yes_x000d__x000a_NullPort=None_x000d__x000a_BorderWidth=3_x000d__x000a_CursorBlinkRate=530_x000d__x000a_DoubleClickSpeed=452_x000d__x000a_Programs=com" xfId="7507"/>
    <cellStyle name="s]_x000d__x000a_load=_x000d__x000a_run=_x000d__x000a_NullPort=None_x000d__x000a_device=Epson FX-1170,EPSON9,LPT1:_x000d__x000a__x000d__x000a_[Desktop]_x000d__x000a_Wallpaper=C:\WIN95\SKY.BMP_x000d__x000a_TileWallpap" xfId="7508"/>
    <cellStyle name="S0" xfId="7509"/>
    <cellStyle name="S1" xfId="7510"/>
    <cellStyle name="S2" xfId="7511"/>
    <cellStyle name="S3" xfId="7512"/>
    <cellStyle name="S4" xfId="7513"/>
    <cellStyle name="S5" xfId="7514"/>
    <cellStyle name="S6" xfId="7515"/>
    <cellStyle name="S6 2" xfId="7516"/>
    <cellStyle name="S7" xfId="7517"/>
    <cellStyle name="S8" xfId="7518"/>
    <cellStyle name="S9" xfId="7519"/>
    <cellStyle name="Sheet Title" xfId="7520"/>
    <cellStyle name="Standard_COST INPUT SHEET" xfId="7521"/>
    <cellStyle name="Style 1" xfId="7522"/>
    <cellStyle name="Style 1 2" xfId="7523"/>
    <cellStyle name="Style 1 3" xfId="7524"/>
    <cellStyle name="Style 1_Бажарилиши (СВОД)" xfId="7525"/>
    <cellStyle name="Title" xfId="7526"/>
    <cellStyle name="Total" xfId="7527"/>
    <cellStyle name="Total 2" xfId="7849"/>
    <cellStyle name="Total 2 2" xfId="7963"/>
    <cellStyle name="Total 2 2 2" xfId="8118"/>
    <cellStyle name="Total 2 2 2 2" xfId="8173"/>
    <cellStyle name="Total 2 2 2 2 2" xfId="8214"/>
    <cellStyle name="Total 2 2 2 3" xfId="8149"/>
    <cellStyle name="Total 2 2 2 4" xfId="8194"/>
    <cellStyle name="Total 2 2 3" xfId="8056"/>
    <cellStyle name="Total 2 2 4" xfId="8025"/>
    <cellStyle name="Total 2 2 5" xfId="8039"/>
    <cellStyle name="Total 3" xfId="7962"/>
    <cellStyle name="Total 3 2" xfId="8117"/>
    <cellStyle name="Total 3 2 2" xfId="8172"/>
    <cellStyle name="Total 3 2 2 2" xfId="8213"/>
    <cellStyle name="Total 3 2 3" xfId="8148"/>
    <cellStyle name="Total 3 2 4" xfId="8193"/>
    <cellStyle name="Total 3 3" xfId="8055"/>
    <cellStyle name="Total 3 4" xfId="8069"/>
    <cellStyle name="Total 3 5" xfId="8037"/>
    <cellStyle name="Warning Text" xfId="7528"/>
    <cellStyle name="Wдhrung [0]_Software Project Status" xfId="7529"/>
    <cellStyle name="Wдhrung_Software Project Status" xfId="7530"/>
    <cellStyle name="Акцент1 2" xfId="7531"/>
    <cellStyle name="Акцент2 2" xfId="7532"/>
    <cellStyle name="Акцент3 2" xfId="7533"/>
    <cellStyle name="Акцент4 2" xfId="7534"/>
    <cellStyle name="Акцент5 2" xfId="7535"/>
    <cellStyle name="Акцент6 2" xfId="7536"/>
    <cellStyle name="Ввод  2" xfId="7537"/>
    <cellStyle name="Ввод  2 2" xfId="7850"/>
    <cellStyle name="Ввод  2 2 2" xfId="7965"/>
    <cellStyle name="Ввод  2 2 2 2" xfId="8120"/>
    <cellStyle name="Ввод  2 2 2 2 2" xfId="8175"/>
    <cellStyle name="Ввод  2 2 2 2 2 2" xfId="8216"/>
    <cellStyle name="Ввод  2 2 2 2 3" xfId="8151"/>
    <cellStyle name="Ввод  2 2 2 2 4" xfId="8196"/>
    <cellStyle name="Ввод  2 2 2 2 5" xfId="8224"/>
    <cellStyle name="Ввод  2 2 2 3" xfId="8058"/>
    <cellStyle name="Ввод  2 2 2 4" xfId="8096"/>
    <cellStyle name="Ввод  2 2 2 5" xfId="8035"/>
    <cellStyle name="Ввод  2 2 3" xfId="8076"/>
    <cellStyle name="Ввод  2 3" xfId="7964"/>
    <cellStyle name="Ввод  2 3 2" xfId="8119"/>
    <cellStyle name="Ввод  2 3 2 2" xfId="8174"/>
    <cellStyle name="Ввод  2 3 2 2 2" xfId="8215"/>
    <cellStyle name="Ввод  2 3 2 3" xfId="8150"/>
    <cellStyle name="Ввод  2 3 2 4" xfId="8195"/>
    <cellStyle name="Ввод  2 3 2 5" xfId="8223"/>
    <cellStyle name="Ввод  2 3 3" xfId="8057"/>
    <cellStyle name="Ввод  2 3 4" xfId="8068"/>
    <cellStyle name="Ввод  2 3 5" xfId="8031"/>
    <cellStyle name="Ввод  2 4" xfId="8009"/>
    <cellStyle name="Ввод  2 5" xfId="8131"/>
    <cellStyle name="Вывод 2" xfId="7538"/>
    <cellStyle name="Вывод 2 2" xfId="7851"/>
    <cellStyle name="Вывод 2 2 2" xfId="7967"/>
    <cellStyle name="Вывод 2 2 2 2" xfId="8122"/>
    <cellStyle name="Вывод 2 2 2 2 2" xfId="8177"/>
    <cellStyle name="Вывод 2 2 2 2 2 2" xfId="8218"/>
    <cellStyle name="Вывод 2 2 2 2 3" xfId="8153"/>
    <cellStyle name="Вывод 2 2 2 2 4" xfId="8198"/>
    <cellStyle name="Вывод 2 2 2 3" xfId="8060"/>
    <cellStyle name="Вывод 2 2 2 4" xfId="8026"/>
    <cellStyle name="Вывод 2 2 2 5" xfId="8036"/>
    <cellStyle name="Вывод 2 3" xfId="7966"/>
    <cellStyle name="Вывод 2 3 2" xfId="8121"/>
    <cellStyle name="Вывод 2 3 2 2" xfId="8176"/>
    <cellStyle name="Вывод 2 3 2 2 2" xfId="8217"/>
    <cellStyle name="Вывод 2 3 2 3" xfId="8152"/>
    <cellStyle name="Вывод 2 3 2 4" xfId="8197"/>
    <cellStyle name="Вывод 2 3 3" xfId="8059"/>
    <cellStyle name="Вывод 2 3 4" xfId="8092"/>
    <cellStyle name="Вывод 2 3 5" xfId="8017"/>
    <cellStyle name="Вычисление 2" xfId="7539"/>
    <cellStyle name="Вычисление 2 2" xfId="7852"/>
    <cellStyle name="Вычисление 2 2 2" xfId="7969"/>
    <cellStyle name="Вычисление 2 2 2 2" xfId="8124"/>
    <cellStyle name="Вычисление 2 2 2 2 2" xfId="8179"/>
    <cellStyle name="Вычисление 2 2 2 2 2 2" xfId="8220"/>
    <cellStyle name="Вычисление 2 2 2 2 3" xfId="8155"/>
    <cellStyle name="Вычисление 2 2 2 2 4" xfId="8200"/>
    <cellStyle name="Вычисление 2 2 2 2 5" xfId="8226"/>
    <cellStyle name="Вычисление 2 2 2 3" xfId="8062"/>
    <cellStyle name="Вычисление 2 2 2 4" xfId="8070"/>
    <cellStyle name="Вычисление 2 2 2 5" xfId="8019"/>
    <cellStyle name="Вычисление 2 2 3" xfId="7985"/>
    <cellStyle name="Вычисление 2 3" xfId="7968"/>
    <cellStyle name="Вычисление 2 3 2" xfId="8123"/>
    <cellStyle name="Вычисление 2 3 2 2" xfId="8178"/>
    <cellStyle name="Вычисление 2 3 2 2 2" xfId="8219"/>
    <cellStyle name="Вычисление 2 3 2 3" xfId="8154"/>
    <cellStyle name="Вычисление 2 3 2 4" xfId="8199"/>
    <cellStyle name="Вычисление 2 3 2 5" xfId="8225"/>
    <cellStyle name="Вычисление 2 3 3" xfId="8061"/>
    <cellStyle name="Вычисление 2 3 4" xfId="8027"/>
    <cellStyle name="Вычисление 2 3 5" xfId="8018"/>
    <cellStyle name="Вычисление 2 4" xfId="8010"/>
    <cellStyle name="Вычисление 2 5" xfId="7991"/>
    <cellStyle name="Гиперссылка 2" xfId="7540"/>
    <cellStyle name="Денежный [0] 2" xfId="7541"/>
    <cellStyle name="Денежный 2" xfId="7542"/>
    <cellStyle name="Денежный 2 2" xfId="7543"/>
    <cellStyle name="Денежный 2 2 2" xfId="8011"/>
    <cellStyle name="Денежный 3" xfId="7544"/>
    <cellStyle name="ельводхоз" xfId="7545"/>
    <cellStyle name="Заголовок 1 2" xfId="7546"/>
    <cellStyle name="Заголовок 2 2" xfId="7547"/>
    <cellStyle name="Заголовок 3 2" xfId="7548"/>
    <cellStyle name="Заголовок 4 2" xfId="7549"/>
    <cellStyle name="Итог 2" xfId="7550"/>
    <cellStyle name="Итог 2 2" xfId="7853"/>
    <cellStyle name="Итог 2 2 2" xfId="7971"/>
    <cellStyle name="Итог 2 2 2 2" xfId="8126"/>
    <cellStyle name="Итог 2 2 2 2 2" xfId="8181"/>
    <cellStyle name="Итог 2 2 2 2 2 2" xfId="8222"/>
    <cellStyle name="Итог 2 2 2 2 3" xfId="8157"/>
    <cellStyle name="Итог 2 2 2 2 4" xfId="8202"/>
    <cellStyle name="Итог 2 2 2 3" xfId="8064"/>
    <cellStyle name="Итог 2 2 2 4" xfId="8089"/>
    <cellStyle name="Итог 2 2 2 5" xfId="8021"/>
    <cellStyle name="Итог 2 3" xfId="7970"/>
    <cellStyle name="Итог 2 3 2" xfId="8125"/>
    <cellStyle name="Итог 2 3 2 2" xfId="8180"/>
    <cellStyle name="Итог 2 3 2 2 2" xfId="8221"/>
    <cellStyle name="Итог 2 3 2 3" xfId="8156"/>
    <cellStyle name="Итог 2 3 2 4" xfId="8201"/>
    <cellStyle name="Итог 2 3 3" xfId="8063"/>
    <cellStyle name="Итог 2 3 4" xfId="8067"/>
    <cellStyle name="Итог 2 3 5" xfId="8020"/>
    <cellStyle name="К&gt;Нтрольная ячейка" xfId="7551"/>
    <cellStyle name="кан" xfId="7552"/>
    <cellStyle name="Контрольная ячейка 2" xfId="7553"/>
    <cellStyle name="Название 2" xfId="7554"/>
    <cellStyle name="НЕйтралшный" xfId="7555"/>
    <cellStyle name="Нейтральный 2" xfId="7556"/>
    <cellStyle name="О1ычный 3 2" xfId="7557"/>
    <cellStyle name="Обычныи 3" xfId="7691"/>
    <cellStyle name="Обычный" xfId="0" builtinId="0"/>
    <cellStyle name="Обычный 10" xfId="7558"/>
    <cellStyle name="Обычный 10 2" xfId="7559"/>
    <cellStyle name="Обычный 10 2 2" xfId="7560"/>
    <cellStyle name="Обычный 10 2 2 2" xfId="8013"/>
    <cellStyle name="Обычный 10 2 3" xfId="7561"/>
    <cellStyle name="Обычный 10 2 4" xfId="7562"/>
    <cellStyle name="Обычный 10 2 5" xfId="7563"/>
    <cellStyle name="Обычный 10 3" xfId="7564"/>
    <cellStyle name="Обычный 10 4" xfId="7565"/>
    <cellStyle name="Обычный 10 5" xfId="7566"/>
    <cellStyle name="Обычный 10 6" xfId="7567"/>
    <cellStyle name="Обычный 105" xfId="7568"/>
    <cellStyle name="Обычный 11" xfId="7569"/>
    <cellStyle name="Обычный 11 2" xfId="7570"/>
    <cellStyle name="Обычный 11 2 2" xfId="7571"/>
    <cellStyle name="Обычный 11 2 2 2" xfId="7939"/>
    <cellStyle name="Обычный 11 2 3" xfId="7572"/>
    <cellStyle name="Обычный 11 2 4" xfId="7573"/>
    <cellStyle name="Обычный 11 2 5" xfId="7574"/>
    <cellStyle name="Обычный 11 3" xfId="7575"/>
    <cellStyle name="Обычный 11 4" xfId="7576"/>
    <cellStyle name="Обычный 11 4 2 2" xfId="7867"/>
    <cellStyle name="Обычный 11 4 6" xfId="7869"/>
    <cellStyle name="Обычный 11 5" xfId="7577"/>
    <cellStyle name="Обычный 11 6" xfId="7578"/>
    <cellStyle name="Обычный 12" xfId="7579"/>
    <cellStyle name="Обычный 12 2" xfId="7580"/>
    <cellStyle name="Обычный 12 2 2" xfId="7581"/>
    <cellStyle name="Обычный 12 2 3" xfId="7582"/>
    <cellStyle name="Обычный 12 2 4" xfId="7583"/>
    <cellStyle name="Обычный 12 2 5" xfId="7584"/>
    <cellStyle name="Обычный 12 3" xfId="7585"/>
    <cellStyle name="Обычный 12 4" xfId="7586"/>
    <cellStyle name="Обычный 12 5" xfId="7587"/>
    <cellStyle name="Обычный 12 5 2 3" xfId="8032"/>
    <cellStyle name="Обычный 12 5 6 2 2 2 7 3 3" xfId="7887"/>
    <cellStyle name="Обычный 12 6" xfId="7588"/>
    <cellStyle name="Обычный 13" xfId="7589"/>
    <cellStyle name="Обычный 13 2" xfId="7590"/>
    <cellStyle name="Обычный 13 2 2" xfId="7591"/>
    <cellStyle name="Обычный 13 2 3" xfId="7592"/>
    <cellStyle name="Обычный 13 2 4" xfId="7593"/>
    <cellStyle name="Обычный 13 2 5" xfId="7594"/>
    <cellStyle name="Обычный 13 3" xfId="7595"/>
    <cellStyle name="Обычный 13 4" xfId="7596"/>
    <cellStyle name="Обычный 13 5" xfId="7597"/>
    <cellStyle name="Обычный 13 6" xfId="7598"/>
    <cellStyle name="Обычный 14" xfId="7599"/>
    <cellStyle name="Обычный 14 2" xfId="7600"/>
    <cellStyle name="Обычный 14 2 2" xfId="7817"/>
    <cellStyle name="Обычный 14 2 3" xfId="7984"/>
    <cellStyle name="Обычный 14 3" xfId="7601"/>
    <cellStyle name="Обычный 15" xfId="7602"/>
    <cellStyle name="Обычный 16" xfId="7603"/>
    <cellStyle name="Обычный 16 2" xfId="7604"/>
    <cellStyle name="Обычный 16 2 3" xfId="7605"/>
    <cellStyle name="Обычный 16 3" xfId="7838"/>
    <cellStyle name="Обычный 16 4" xfId="7990"/>
    <cellStyle name="Обычный 17" xfId="7606"/>
    <cellStyle name="Обычный 18" xfId="7607"/>
    <cellStyle name="Обычный 18 2" xfId="7608"/>
    <cellStyle name="Обычный 18 4" xfId="7871"/>
    <cellStyle name="Обычный 18_2013-2015 после замени последний" xfId="7609"/>
    <cellStyle name="Обычный 19" xfId="7610"/>
    <cellStyle name="Обычный 19 2" xfId="7896"/>
    <cellStyle name="Обычный 19 3" xfId="7611"/>
    <cellStyle name="Обычный 19 3 2" xfId="7612"/>
    <cellStyle name="Обычный 19 3 2 2" xfId="7613"/>
    <cellStyle name="Обычный 19 3_ПП_Приложения_05072013 янги" xfId="7614"/>
    <cellStyle name="Обычный 19 4 3 2 2 2 2 3 3 2" xfId="7897"/>
    <cellStyle name="Обычный 19 4 3 2 2 2 2 3 3 2 2" xfId="7944"/>
    <cellStyle name="Обычный 2" xfId="7615"/>
    <cellStyle name="Обычный 2 10" xfId="7616"/>
    <cellStyle name="Обычный 2 10 10" xfId="8014"/>
    <cellStyle name="Обычный 2 10 2" xfId="7862"/>
    <cellStyle name="Обычный 2 10 2 2" xfId="7935"/>
    <cellStyle name="Обычный 2 10 2 2 2" xfId="7902"/>
    <cellStyle name="Обычный 2 10 2 3" xfId="8012"/>
    <cellStyle name="Обычный 2 10 2 5" xfId="7894"/>
    <cellStyle name="Обычный 2 10 2 7" xfId="7925"/>
    <cellStyle name="Обычный 2 10 2 9" xfId="7940"/>
    <cellStyle name="Обычный 2 10 3" xfId="7822"/>
    <cellStyle name="Обычный 2 10 4" xfId="7978"/>
    <cellStyle name="Обычный 2 10 4 2" xfId="7868"/>
    <cellStyle name="Обычный 2 10 4 2 2" xfId="7910"/>
    <cellStyle name="Обычный 2 10 4 2 2 2" xfId="7938"/>
    <cellStyle name="Обычный 2 10 4 3" xfId="8022"/>
    <cellStyle name="Обычный 2 10 5" xfId="7903"/>
    <cellStyle name="Обычный 2 10 7" xfId="8038"/>
    <cellStyle name="Обычный 2 10 9" xfId="7864"/>
    <cellStyle name="Обычный 2 11" xfId="7617"/>
    <cellStyle name="Обычный 2 12" xfId="7618"/>
    <cellStyle name="Обычный 2 13" xfId="7619"/>
    <cellStyle name="Обычный 2 14" xfId="7620"/>
    <cellStyle name="Обычный 2 15" xfId="7621"/>
    <cellStyle name="Обычный 2 16" xfId="7622"/>
    <cellStyle name="Обычный 2 17" xfId="7623"/>
    <cellStyle name="Обычный 2 18" xfId="7624"/>
    <cellStyle name="Обычный 2 19" xfId="7625"/>
    <cellStyle name="Обычный 2 2" xfId="7626"/>
    <cellStyle name="Обычный 2 2 10" xfId="7861"/>
    <cellStyle name="Обычный 2 2 13" xfId="7823"/>
    <cellStyle name="Обычный 2 2 13 2" xfId="7875"/>
    <cellStyle name="Обычный 2 2 13 4" xfId="7904"/>
    <cellStyle name="Обычный 2 2 158" xfId="7930"/>
    <cellStyle name="Обычный 2 2 2" xfId="7627"/>
    <cellStyle name="Обычный 2 2 2 2" xfId="7628"/>
    <cellStyle name="Обычный 2 2 2 2 2" xfId="7629"/>
    <cellStyle name="Обычный 2 2 2 2 3" xfId="7630"/>
    <cellStyle name="Обычный 2 2 2 2 4" xfId="7631"/>
    <cellStyle name="Обычный 2 2 2 2 5" xfId="7632"/>
    <cellStyle name="Обычный 2 2 2 2 6" xfId="7916"/>
    <cellStyle name="Обычный 2 2 2 3" xfId="7633"/>
    <cellStyle name="Обычный 2 2 2 3 2" xfId="7921"/>
    <cellStyle name="Обычный 2 2 2 4" xfId="7634"/>
    <cellStyle name="Обычный 2 2 2 5" xfId="7635"/>
    <cellStyle name="Обычный 2 2 2 6" xfId="7636"/>
    <cellStyle name="Обычный 2 2 2 9" xfId="7832"/>
    <cellStyle name="Обычный 2 2 2 9 3" xfId="7858"/>
    <cellStyle name="Обычный 2 2 2_ПУЛ ТУШУМЛАРИ  ва ХАРАЖАТЛАРИ 25.05.2011 йил" xfId="7637"/>
    <cellStyle name="Обычный 2 2 20" xfId="7929"/>
    <cellStyle name="Обычный 2 2 3" xfId="7638"/>
    <cellStyle name="Обычный 2 2 3 2" xfId="2"/>
    <cellStyle name="Обычный 2 2 3 3" xfId="7639"/>
    <cellStyle name="Обычный 2 2 3 4" xfId="7640"/>
    <cellStyle name="Обычный 2 2 3 5" xfId="7641"/>
    <cellStyle name="Обычный 2 2 3 6" xfId="7945"/>
    <cellStyle name="Обычный 2 2 4" xfId="7642"/>
    <cellStyle name="Обычный 2 2 5" xfId="7643"/>
    <cellStyle name="Обычный 2 2 5 2" xfId="7937"/>
    <cellStyle name="Обычный 2 2 5 3" xfId="7924"/>
    <cellStyle name="Обычный 2 2 6" xfId="7644"/>
    <cellStyle name="Обычный 2 2 7" xfId="7645"/>
    <cellStyle name="Обычный 2 2 8" xfId="7646"/>
    <cellStyle name="Обычный 2 2_01.08.2010й.формалар" xfId="7647"/>
    <cellStyle name="Обычный 2 20" xfId="7648"/>
    <cellStyle name="Обычный 2 21" xfId="7649"/>
    <cellStyle name="Обычный 2 22" xfId="7650"/>
    <cellStyle name="Обычный 2 23" xfId="7651"/>
    <cellStyle name="Обычный 2 24" xfId="7652"/>
    <cellStyle name="Обычный 2 25" xfId="7653"/>
    <cellStyle name="Обычный 2 26" xfId="7654"/>
    <cellStyle name="Обычный 2 27" xfId="7655"/>
    <cellStyle name="Обычный 2 28" xfId="7656"/>
    <cellStyle name="Обычный 2 29" xfId="7657"/>
    <cellStyle name="Обычный 2 3" xfId="7658"/>
    <cellStyle name="Обычный 2 3 2" xfId="7659"/>
    <cellStyle name="Обычный 2 3 3" xfId="1"/>
    <cellStyle name="Обычный 2 3_+СВОД  Узбекча Кашкадарё" xfId="7660"/>
    <cellStyle name="Обычный 2 30" xfId="7661"/>
    <cellStyle name="Обычный 2 31" xfId="7662"/>
    <cellStyle name="Обычный 2 32" xfId="7663"/>
    <cellStyle name="Обычный 2 33" xfId="7664"/>
    <cellStyle name="Обычный 2 34" xfId="7665"/>
    <cellStyle name="Обычный 2 35" xfId="7666"/>
    <cellStyle name="Обычный 2 36" xfId="7667"/>
    <cellStyle name="Обычный 2 37" xfId="7668"/>
    <cellStyle name="Обычный 2 38" xfId="7669"/>
    <cellStyle name="Обычный 2 39" xfId="7670"/>
    <cellStyle name="Обычный 2 4" xfId="7671"/>
    <cellStyle name="Обычный 2 4 4" xfId="7820"/>
    <cellStyle name="Обычный 2 40" xfId="7672"/>
    <cellStyle name="Обычный 2 41" xfId="7673"/>
    <cellStyle name="Обычный 2 42" xfId="7674"/>
    <cellStyle name="Обычный 2 43" xfId="7675"/>
    <cellStyle name="Обычный 2 44" xfId="7676"/>
    <cellStyle name="Обычный 2 45" xfId="7677"/>
    <cellStyle name="Обычный 2 46" xfId="7678"/>
    <cellStyle name="Обычный 2 47" xfId="7679"/>
    <cellStyle name="Обычный 2 48" xfId="7976"/>
    <cellStyle name="Обычный 2 5" xfId="7680"/>
    <cellStyle name="Обычный 2 5 2" xfId="7681"/>
    <cellStyle name="Обычный 2 5 2 2" xfId="7909"/>
    <cellStyle name="Обычный 2 5 3 2 2" xfId="7872"/>
    <cellStyle name="Обычный 2 5 3 2 3" xfId="7899"/>
    <cellStyle name="Обычный 2 5 3 3 2 2" xfId="7931"/>
    <cellStyle name="Обычный 2 6" xfId="7682"/>
    <cellStyle name="Обычный 2 7" xfId="7683"/>
    <cellStyle name="Обычный 2 8" xfId="7684"/>
    <cellStyle name="Обычный 2 8 2" xfId="7815"/>
    <cellStyle name="Обычный 2 9" xfId="7685"/>
    <cellStyle name="Обычный 2 9 2" xfId="7834"/>
    <cellStyle name="Обычный 2 9 2 2" xfId="7859"/>
    <cellStyle name="Обычный 2 9 3" xfId="7833"/>
    <cellStyle name="Обычный 2 9 4" xfId="8129"/>
    <cellStyle name="Обычный 2 9 6" xfId="7835"/>
    <cellStyle name="Обычный 2_+СВОД  Узбекча Кашкадарё" xfId="7686"/>
    <cellStyle name="Обычный 20" xfId="7687"/>
    <cellStyle name="Обычный 21" xfId="7818"/>
    <cellStyle name="Обычный 21 2" xfId="7839"/>
    <cellStyle name="Обычный 22" xfId="7688"/>
    <cellStyle name="Обычный 23" xfId="7689"/>
    <cellStyle name="Обычный 23 2" xfId="7870"/>
    <cellStyle name="Обычный 24" xfId="7836"/>
    <cellStyle name="Обычный 24 3 5" xfId="7886"/>
    <cellStyle name="Обычный 24 3 5 2" xfId="7888"/>
    <cellStyle name="Обычный 24 4" xfId="7890"/>
    <cellStyle name="Обычный 24 5" xfId="7892"/>
    <cellStyle name="Обычный 25" xfId="7829"/>
    <cellStyle name="Обычный 26" xfId="7690"/>
    <cellStyle name="Обычный 28" xfId="7828"/>
    <cellStyle name="Обычный 29" xfId="7932"/>
    <cellStyle name="Обычный 29 2 2" xfId="7911"/>
    <cellStyle name="Обычный 3" xfId="7692"/>
    <cellStyle name="Обычный 3 10" xfId="7831"/>
    <cellStyle name="Обычный 3 11" xfId="7827"/>
    <cellStyle name="Обычный 3 11 2 3 2 2 2" xfId="7898"/>
    <cellStyle name="Обычный 3 11 3" xfId="7856"/>
    <cellStyle name="Обычный 3 11 5" xfId="7912"/>
    <cellStyle name="Обычный 3 12 2" xfId="7843"/>
    <cellStyle name="Обычный 3 12 2 3" xfId="7855"/>
    <cellStyle name="Обычный 3 2" xfId="7693"/>
    <cellStyle name="Обычный 3 2 10" xfId="7821"/>
    <cellStyle name="Обычный 3 2 10 2" xfId="7927"/>
    <cellStyle name="Обычный 3 2 10 2 2" xfId="7941"/>
    <cellStyle name="Обычный 3 2 11" xfId="7860"/>
    <cellStyle name="Обычный 3 2 12" xfId="7918"/>
    <cellStyle name="Обычный 3 2 2" xfId="7694"/>
    <cellStyle name="Обычный 3 2 2 2" xfId="7920"/>
    <cellStyle name="Обычный 3 2 3" xfId="7695"/>
    <cellStyle name="Обычный 3 2 4" xfId="7696"/>
    <cellStyle name="Обычный 3 2 5" xfId="7697"/>
    <cellStyle name="Обычный 3 2 6" xfId="7698"/>
    <cellStyle name="Обычный 3 2 7" xfId="7699"/>
    <cellStyle name="Обычный 3 2 8" xfId="7700"/>
    <cellStyle name="Обычный 3 2 9" xfId="7701"/>
    <cellStyle name="Обычный 3 3" xfId="7702"/>
    <cellStyle name="Обычный 3 3 2" xfId="7922"/>
    <cellStyle name="Обычный 3 3 4" xfId="7919"/>
    <cellStyle name="Обычный 3 3 4 2" xfId="7895"/>
    <cellStyle name="Обычный 3 3 4 2 2" xfId="7933"/>
    <cellStyle name="Обычный 3 4" xfId="7824"/>
    <cellStyle name="Обычный 3 4 2" xfId="7863"/>
    <cellStyle name="Обычный 3 4 3" xfId="7825"/>
    <cellStyle name="Обычный 3 4 3 2" xfId="7891"/>
    <cellStyle name="Обычный 3 4 3 3" xfId="7913"/>
    <cellStyle name="Обычный 3_01(1).06.2009й.формалар" xfId="7703"/>
    <cellStyle name="Обычный 31 17" xfId="7704"/>
    <cellStyle name="Обычный 37_7. 5-жадвал" xfId="7705"/>
    <cellStyle name="Обычный 4" xfId="7706"/>
    <cellStyle name="Обычный 4 2" xfId="7707"/>
    <cellStyle name="Обычный 4 3" xfId="7708"/>
    <cellStyle name="Обычный 4 4" xfId="7837"/>
    <cellStyle name="Обычный 4_Бажарилиши (СВОД)" xfId="7709"/>
    <cellStyle name="Обычный 43" xfId="7830"/>
    <cellStyle name="Обычный 49" xfId="7826"/>
    <cellStyle name="Обычный 5" xfId="7710"/>
    <cellStyle name="Обычный 5 2" xfId="7711"/>
    <cellStyle name="Обычный 5 3" xfId="7914"/>
    <cellStyle name="Обычный 5 8" xfId="7866"/>
    <cellStyle name="Обычный 52" xfId="7712"/>
    <cellStyle name="Обычный 6" xfId="7713"/>
    <cellStyle name="Обычный 6 2" xfId="7714"/>
    <cellStyle name="Обычный 6 2 2" xfId="7715"/>
    <cellStyle name="Обычный 6 2 3" xfId="7716"/>
    <cellStyle name="Обычный 6 2 4" xfId="7717"/>
    <cellStyle name="Обычный 6 2 5" xfId="7718"/>
    <cellStyle name="Обычный 6 3" xfId="7719"/>
    <cellStyle name="Обычный 6 4" xfId="7720"/>
    <cellStyle name="Обычный 6 5" xfId="7721"/>
    <cellStyle name="Обычный 6 6" xfId="7722"/>
    <cellStyle name="Обычный 61" xfId="7915"/>
    <cellStyle name="Обычный 61 2" xfId="8077"/>
    <cellStyle name="Обычный 61 2 2 2" xfId="7926"/>
    <cellStyle name="Обычный 61 2 3 3" xfId="7923"/>
    <cellStyle name="Обычный 61 2 3 3 2" xfId="7936"/>
    <cellStyle name="Обычный 61 2 3 3 3" xfId="7865"/>
    <cellStyle name="Обычный 61 3 2" xfId="8034"/>
    <cellStyle name="Обычный 61 3 2 2" xfId="7900"/>
    <cellStyle name="Обычный 61 4" xfId="7901"/>
    <cellStyle name="Обычный 63 2" xfId="7907"/>
    <cellStyle name="Обычный 65" xfId="7874"/>
    <cellStyle name="Обычный 66" xfId="7905"/>
    <cellStyle name="Обычный 67" xfId="7893"/>
    <cellStyle name="Обычный 7" xfId="7723"/>
    <cellStyle name="Обычный 7 2" xfId="7724"/>
    <cellStyle name="Обычный 7 2 2" xfId="7725"/>
    <cellStyle name="Обычный 7 2 3" xfId="7726"/>
    <cellStyle name="Обычный 7 2 4" xfId="7727"/>
    <cellStyle name="Обычный 7 2 5" xfId="7728"/>
    <cellStyle name="Обычный 7 2 6" xfId="7917"/>
    <cellStyle name="Обычный 7 3" xfId="7729"/>
    <cellStyle name="Обычный 7 4" xfId="7730"/>
    <cellStyle name="Обычный 7 5" xfId="7731"/>
    <cellStyle name="Обычный 7 6" xfId="7732"/>
    <cellStyle name="Обычный 7_2010 й КУШИМЧА ДАСТУР" xfId="7733"/>
    <cellStyle name="Обычный 70" xfId="7876"/>
    <cellStyle name="Обычный 74" xfId="7972"/>
    <cellStyle name="Обычный 8" xfId="7734"/>
    <cellStyle name="Обычный 8 2" xfId="7735"/>
    <cellStyle name="Обычный 8 2 2" xfId="7736"/>
    <cellStyle name="Обычный 8 2 3" xfId="7737"/>
    <cellStyle name="Обычный 8 2 4" xfId="7738"/>
    <cellStyle name="Обычный 8 2 5" xfId="7739"/>
    <cellStyle name="Обычный 8 3" xfId="7740"/>
    <cellStyle name="Обычный 8 4" xfId="7741"/>
    <cellStyle name="Обычный 8 5" xfId="7742"/>
    <cellStyle name="Обычный 8 6" xfId="7743"/>
    <cellStyle name="Обычный 85" xfId="7744"/>
    <cellStyle name="Обычный 86" xfId="7879"/>
    <cellStyle name="Обычный 9" xfId="7745"/>
    <cellStyle name="Обычный 9 2" xfId="7746"/>
    <cellStyle name="Обычный 9 2 2" xfId="7747"/>
    <cellStyle name="Обычный 9 2 3" xfId="7748"/>
    <cellStyle name="Обычный 9 2 4" xfId="7749"/>
    <cellStyle name="Обычный 9 2 5" xfId="7750"/>
    <cellStyle name="Обычный 9 3" xfId="7751"/>
    <cellStyle name="Обычный 9 4" xfId="7752"/>
    <cellStyle name="Обычный 9 5" xfId="7753"/>
    <cellStyle name="Обычный 9 6" xfId="7754"/>
    <cellStyle name="Обычный 9 7" xfId="7814"/>
    <cellStyle name="Обычный 93" xfId="7908"/>
    <cellStyle name="Плохой 2" xfId="7755"/>
    <cellStyle name="Пояснение 2" xfId="7756"/>
    <cellStyle name="Примечание 2" xfId="7757"/>
    <cellStyle name="Примечание 2 2" xfId="7854"/>
    <cellStyle name="Примечание 2 2 2" xfId="7974"/>
    <cellStyle name="Примечание 2 2 2 2" xfId="8128"/>
    <cellStyle name="Примечание 2 2 2 2 2" xfId="8183"/>
    <cellStyle name="Примечание 2 2 2 2 3" xfId="8159"/>
    <cellStyle name="Примечание 2 2 2 3" xfId="8133"/>
    <cellStyle name="Примечание 2 2 2 4" xfId="8134"/>
    <cellStyle name="Примечание 2 2 2 5" xfId="8136"/>
    <cellStyle name="Примечание 2 3" xfId="7973"/>
    <cellStyle name="Примечание 2 3 2" xfId="8127"/>
    <cellStyle name="Примечание 2 3 2 2" xfId="8182"/>
    <cellStyle name="Примечание 2 3 2 3" xfId="8158"/>
    <cellStyle name="Примечание 2 3 3" xfId="8132"/>
    <cellStyle name="Примечание 2 3 4" xfId="8093"/>
    <cellStyle name="Примечание 2 3 5" xfId="8135"/>
    <cellStyle name="Примечание 3" xfId="7758"/>
    <cellStyle name="Процентный 2" xfId="7759"/>
    <cellStyle name="Процентный 2 2" xfId="7928"/>
    <cellStyle name="Процентный 3" xfId="7760"/>
    <cellStyle name="Процентный 4" xfId="7889"/>
    <cellStyle name="Связанная ячейка 2" xfId="7761"/>
    <cellStyle name="Содик Омон" xfId="7762"/>
    <cellStyle name="Стиль 1" xfId="7763"/>
    <cellStyle name="Стиль 1 10" xfId="7764"/>
    <cellStyle name="Стиль 1 11" xfId="7765"/>
    <cellStyle name="Стиль 1 12" xfId="7766"/>
    <cellStyle name="Стиль 1 13" xfId="7767"/>
    <cellStyle name="Стиль 1 14" xfId="7768"/>
    <cellStyle name="Стиль 1 15" xfId="7769"/>
    <cellStyle name="Стиль 1 16" xfId="7770"/>
    <cellStyle name="Стиль 1 17" xfId="7771"/>
    <cellStyle name="Стиль 1 2" xfId="7772"/>
    <cellStyle name="Стиль 1 2 2" xfId="7773"/>
    <cellStyle name="Стиль 1 3" xfId="7774"/>
    <cellStyle name="Стиль 1 4" xfId="7775"/>
    <cellStyle name="Стиль 1 5" xfId="7776"/>
    <cellStyle name="Стиль 1 6" xfId="7777"/>
    <cellStyle name="Стиль 1 7" xfId="7778"/>
    <cellStyle name="Стиль 1 8" xfId="7779"/>
    <cellStyle name="Стиль 1 9" xfId="7780"/>
    <cellStyle name="Стиль 1_136-карор буйича" xfId="7781"/>
    <cellStyle name="Текст предупреждения 2" xfId="7782"/>
    <cellStyle name="Тысячи [0]_  осн" xfId="7783"/>
    <cellStyle name="Тысячи_  осн" xfId="7784"/>
    <cellStyle name="ФинансовЋй 4" xfId="7785"/>
    <cellStyle name="Финансовый 12" xfId="7882"/>
    <cellStyle name="Финансовый 12 2" xfId="7857"/>
    <cellStyle name="Финансовый 12 2 2" xfId="7934"/>
    <cellStyle name="Финансовый 12 2 2 2" xfId="8098"/>
    <cellStyle name="Финансовый 12 3" xfId="7840"/>
    <cellStyle name="Финансовый 12 4" xfId="7841"/>
    <cellStyle name="Финансовый 12 4 2" xfId="8074"/>
    <cellStyle name="Финансовый 12 4 3" xfId="7877"/>
    <cellStyle name="Финансовый 12 4 3 2" xfId="8080"/>
    <cellStyle name="Финансовый 12 4 4" xfId="7906"/>
    <cellStyle name="Финансовый 12 4 4 2" xfId="8091"/>
    <cellStyle name="Финансовый 12 5" xfId="7942"/>
    <cellStyle name="Финансовый 12 5 2" xfId="8099"/>
    <cellStyle name="Финансовый 12 6" xfId="8083"/>
    <cellStyle name="Финансовый 14" xfId="7842"/>
    <cellStyle name="Финансовый 14 2" xfId="8075"/>
    <cellStyle name="Финансовый 15" xfId="7878"/>
    <cellStyle name="Финансовый 15 2" xfId="7885"/>
    <cellStyle name="Финансовый 2" xfId="7786"/>
    <cellStyle name="Финансовый 2 2" xfId="7787"/>
    <cellStyle name="Финансовый 2 2 2" xfId="8042"/>
    <cellStyle name="Финансовый 2 3" xfId="7816"/>
    <cellStyle name="Финансовый 2 3 2" xfId="8065"/>
    <cellStyle name="Финансовый 2 4" xfId="7788"/>
    <cellStyle name="Финансовый 2 4 2" xfId="8043"/>
    <cellStyle name="Финансовый 2 5" xfId="8041"/>
    <cellStyle name="Финансовый 2 6" xfId="7873"/>
    <cellStyle name="Финансовый 2 6 2" xfId="7884"/>
    <cellStyle name="Финансовый 2 6 2 2" xfId="7943"/>
    <cellStyle name="Финансовый 3" xfId="7789"/>
    <cellStyle name="Финансовый 3 2" xfId="7946"/>
    <cellStyle name="Финансовый 3 3" xfId="8044"/>
    <cellStyle name="Финансовый 4" xfId="7790"/>
    <cellStyle name="Финансовый 5" xfId="7791"/>
    <cellStyle name="Финансовый 5 2" xfId="7792"/>
    <cellStyle name="Финансовый 5 2 2" xfId="7793"/>
    <cellStyle name="Финансовый 5 2 3" xfId="7948"/>
    <cellStyle name="Финансовый 5 2 4" xfId="8047"/>
    <cellStyle name="Финансовый 5 3" xfId="7947"/>
    <cellStyle name="Финансовый 5 4" xfId="8046"/>
    <cellStyle name="Финансовый 6" xfId="7794"/>
    <cellStyle name="Финансовый 6 2" xfId="8049"/>
    <cellStyle name="Финансовый 7" xfId="7819"/>
    <cellStyle name="Финансовый 7 2" xfId="8066"/>
    <cellStyle name="Хороший 2" xfId="7795"/>
    <cellStyle name="Џђћ–…ќ’ќ›‰" xfId="7796"/>
    <cellStyle name="Џђћ–…ќ’ќ›‰ 2" xfId="7797"/>
    <cellStyle name="Џђћ–…ќ’ќ›‰ 3" xfId="7798"/>
    <cellStyle name="Џђћ–…ќ’ќ›‰_Бажарилиши (СВОД)" xfId="7799"/>
    <cellStyle name="표준_03-01-##_Raw materials for Uz-DongWon" xfId="7800"/>
    <cellStyle name="㨄䀄䬄䈄䰄᠄㜄㈄㬄㔄䜄䰄ᄄ〄㜄〄弄" xfId="7801"/>
    <cellStyle name="㼿㼿" xfId="7802"/>
    <cellStyle name="㼿㼿?" xfId="7803"/>
    <cellStyle name="㼿㼿㼿" xfId="7804"/>
    <cellStyle name="㼿㼿㼿?" xfId="7805"/>
    <cellStyle name="㼿㼿㼿㼿" xfId="7806"/>
    <cellStyle name="㼿㼿㼿㼿?" xfId="7807"/>
    <cellStyle name="㼿㼿㼿㼿㼿" xfId="7808"/>
    <cellStyle name="㼿㼿㼿㼿㼿?" xfId="7809"/>
    <cellStyle name="㼿㼿㼿㼿㼿㼿?" xfId="7810"/>
    <cellStyle name="㼿㼿㼿㼿㼿㼿㼿㼿" xfId="7811"/>
    <cellStyle name="㼿㼿㼿㼿㼿㼿㼿㼿㼿" xfId="7812"/>
    <cellStyle name="㼿㼿㼿㼿㼿㼿㼿㼿㼿㼿" xfId="78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_usmon\Documents%20and%20Settings\User\&#1052;&#1086;&#1080;%20&#1076;&#1086;&#1082;&#1091;&#1084;&#1077;&#1085;&#1090;&#1099;\Downloads\&#1042;&#1057;&#1045;%20&#1052;&#1054;&#1048;%20&#1044;&#1054;&#1050;&#1059;&#1052;&#1045;&#1053;&#1058;&#1067;%2021.06.2009\&#1052;&#1086;&#1081;%20&#1076;&#1086;&#1082;&#1091;&#1084;&#1077;&#1085;&#1090;-2010\2010%20&#1081;.%20&#1071;&#1053;&#1043;&#1048;%20&#1048;&#1064;%20&#1059;&#1056;&#1048;&#1053;&#1051;&#1040;&#1056;&#1048;%20&#1046;&#1040;&#1052;&#1051;&#1040;&#1053;&#1043;&#1040;&#1053;%20%20&#1061;&#1048;&#1057;&#1054;&#1041;&#1054;&#1058;&#1051;&#1040;&#1056;\&#1071;&#1053;&#1042;&#1040;&#1056;.%202010%20&#1081;.%20&#1071;.&#1048;.&#1059;.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\&#1052;&#1086;&#1080;%20&#1076;&#1086;&#1082;&#1091;&#1084;&#1077;&#1085;&#1090;&#1099;\moy%20docc\&#1096;&#1091;&#1088;\Documents%20and%20Settings\future\&#1052;&#1086;&#1080;%20&#1076;&#1086;&#1082;&#1091;&#1084;&#1077;&#1085;&#1090;&#1099;\&#1064;&#1058;&#1040;&#1041;%20&#1055;&#1040;&#1061;&#1058;&#1040;-%202004\&#1044;&#1080;&#1089;&#1082;&#1077;&#1090;&#1083;&#1072;&#1088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1%20&#1052;&#1086;&#1081;%20&#1076;&#1086;&#1082;&#1091;&#1084;&#1077;&#1085;&#1090;/2011%20&#1081;&#1080;&#1083;/1%20&#1045;xel/&#1043;&#1072;&#1083;&#1083;&#1072;%20&#1091;&#1088;&#1080;&#1084;%20&#1081;&#1080;&#1075;&#1080;&#1084;%20&#1090;&#1072;&#1076;&#1073;&#1080;&#1088;&#1080;%202011/&#1058;&#1072;&#1076;&#1073;&#1080;&#1088;%20&#1091;&#1088;&#1080;&#1084;%20&#1081;&#1080;&#1075;&#1080;&#1084;%20&#1090;&#1072;&#1076;&#1073;&#1080;&#1088;&#1080;%202010/&#1056;&#1072;&#1079;&#1084;&#1080;&#1096;&#1080;&#1085;&#1103;/&#1052;&#1086;&#1080;%20&#1076;&#1086;&#1082;&#1091;&#1084;&#1077;&#1085;&#1090;&#1099;/&#1064;&#1072;&#1088;&#1086;&#1092;/2008%20&#1081;&#1080;&#1083;%20&#1092;&#1077;&#1088;&#1084;&#1077;&#1088;&#1083;&#1072;&#1088;%20&#1093;&#1080;&#1089;&#1086;&#1073;-&#1082;&#1080;&#1090;&#1086;&#1073;&#1080;/&#1058;&#1091;&#1084;&#1072;&#1085;&#1083;&#1072;&#1088;/&#1040;&#1088;&#1085;&#1072;&#1089;&#1086;&#1081;/&#1040;&#1088;&#1085;&#1072;&#1089;&#1086;&#1081;-&#1089;&#1090;&#1072;&#1090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3%20yilda/&#1057;&#1042;&#1054;&#1044;&#1050;&#1040;/27.12.13/C%20dagi/Moy%20dok/2010%20&#1081;&#1080;&#1083;%20&#1091;&#1095;&#1091;&#1085;/&#1044;&#1072;&#1089;&#1090;&#1091;&#1088;%20&#1083;&#1072;&#1081;&#1076;%20&#1073;&#1080;&#1083;&#1072;&#1085;%20&#1073;&#1080;&#1088;&#1075;&#1072;%2024.02.10%20&#1081;/&#1048;&#1083;&#1086;&#1074;&#1072;&#1083;&#1072;&#1088;/&#1041;&#1080;&#1088;&#1083;&#1072;&#1096;&#1084;&#1072;%202007%20&#1093;&#1086;&#1089;/1/Pk2003.1/&#1055;&#1050;20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antimon\Documents%20and%20Settings\&#1040;&#1076;&#1084;&#1080;&#1085;&#1080;&#1089;&#1090;&#1088;&#1072;&#1090;&#1086;&#1088;\&#1052;&#1086;&#1080;%20&#1076;&#1086;&#1082;&#1091;&#1084;&#1077;&#1085;&#1090;&#1099;\&#1078;&#1072;&#1089;&#1091;&#1088;%20&#1089;&#1074;&#1086;&#1076;\&#1103;&#1085;&#1075;&#1080;&#1086;&#1073;&#1086;&#1076;%20&#1090;&#1091;&#1084;&#1072;&#1085;&#1080;\&#1103;&#1085;&#1075;&#1080;&#1086;&#1073;&#1086;&#1076;%201\EXCEL%20&#1093;&#1091;&#1078;&#1078;&#1072;&#1090;&#1083;&#1072;&#1088;&#1080;\&#1058;&#1086;&#1093;&#1080;&#1088;&#1073;&#1077;&#1082;%202003-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antimon\&#1052;&#1086;&#1080;%20&#1076;&#1086;&#1082;&#1091;&#1084;&#1077;&#1085;&#1090;&#1099;\EXCEL%20&#1093;&#1091;&#1078;&#1078;&#1072;&#1090;&#1083;&#1072;&#1088;&#1080;\&#1058;&#1086;&#1093;&#1080;&#1088;&#1073;&#1077;&#1082;%202003-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_usmon\Documents%20and%20Settings\User\&#1052;&#1086;&#1080;%20&#1076;&#1086;&#1082;&#1091;&#1084;&#1077;&#1085;&#1090;&#1099;\Downloads\&#1056;&#1067;&#1053;&#1054;&#1050;\&#1060;&#1072;&#1088;&#1093;&#1072;&#1076;%202009\&#1044;&#1072;&#1089;&#1090;&#1091;&#1088;%20&#1082;&#1072;&#1089;&#1072;&#1085;&#1072;%202009\WINDOWS\&#1056;&#1072;&#1073;&#1086;&#1095;&#1080;&#1081;%20&#1089;&#1090;&#1086;&#1083;\&#1055;&#1088;&#1086;&#1075;%20-2&#1087;&#1075;-2001\EXCEL\BULL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retdinov-s\nss\&#1052;&#1086;&#1080;%20&#1076;&#1086;&#1082;&#1091;&#1084;&#1077;&#1085;&#1090;&#1099;\gjnht,%20rjhpbyf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_ubaidullaev\celeron\DS_M\&#1054;&#1073;&#1097;&#1072;&#1103;\2009\&#1052;&#1072;&#1089;&#1083;&#1086;%202009\&#1054;&#1090;&#1095;&#1077;&#1090;%20&#1084;&#1072;&#1089;&#1083;&#1086;%202009\&#1086;&#1090;&#1095;&#1077;&#1090;%20&#1084;&#1078;&#1082;\&#1053;&#1077;&#1092;&#1090;&#1077;&#1075;&#1072;&#1079;\&#1086;&#1090;&#1095;&#1077;&#1090;_&#1025;&#1043;_20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111\Documents%20and%20Settings\&#1040;&#1076;&#1084;&#1080;&#1085;&#1080;&#1089;&#1090;&#1088;&#1072;&#1090;&#1086;&#1088;\&#1052;&#1086;&#1080;%20&#1076;&#1086;&#1082;&#1091;&#1084;&#1077;&#1085;&#1090;&#1099;\&#1078;&#1072;&#1089;&#1091;&#1088;%20&#1089;&#1074;&#1086;&#1076;\&#1103;&#1085;&#1075;&#1080;&#1086;&#1073;&#1086;&#1076;%20&#1090;&#1091;&#1084;&#1072;&#1085;&#1080;\&#1103;&#1085;&#1075;&#1080;&#1086;&#1073;&#1086;&#1076;%201\EXCEL%20&#1093;&#1091;&#1078;&#1078;&#1072;&#1090;&#1083;&#1072;&#1088;&#1080;\&#1058;&#1086;&#1093;&#1080;&#1088;&#1073;&#1077;&#1082;%202003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_usmon\Documents%20and%20Settings\User\&#1052;&#1086;&#1080;%20&#1076;&#1086;&#1082;&#1091;&#1084;&#1077;&#1085;&#1090;&#1099;\Downloads\&#1056;&#1067;&#1053;&#1054;&#1050;\&#1060;&#1072;&#1088;&#1093;&#1072;&#1076;%202009\&#1044;&#1072;&#1089;&#1090;&#1091;&#1088;%20&#1082;&#1072;&#1089;&#1072;&#1085;&#1072;%202009\&#1076;&#1072;&#1089;&#1090;&#1091;&#1088;%20%20%20%202005-2006\&#1054;&#1090;&#1095;&#1077;&#1090;&#1099;%20&#1080;%20&#1087;&#1088;&#1086;&#1075;&#1088;&#1072;&#1084;&#1084;&#1099;\&#1086;&#1090;&#1095;&#1077;&#1090;%202005\1%20&#1087;&#1075;.2005%20&#1075;\&#1086;&#1090;&#1095;.%202004%20&#1075;\WINDOWS\&#1056;&#1072;&#1073;&#1086;&#1095;&#1080;&#1081;%20&#1089;&#1090;&#1086;&#1083;\&#1055;&#1088;&#1086;&#1075;%20-2&#1087;&#1075;-2001\EXCEL\BULL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antimon\&#1052;&#1086;&#1080;%20&#1076;&#1086;&#1082;&#1091;&#1084;&#1077;&#1085;&#1090;&#1099;\&#1043;&#1072;&#1083;&#1083;&#1072;-2005\EXCEL%20&#1093;&#1091;&#1078;&#1078;&#1072;&#1090;&#1083;&#1072;&#1088;&#1080;\123\&#1058;&#1086;&#1093;&#1080;&#1088;&#1073;&#1077;&#1082;%202003-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7\&#1056;&#1072;&#1073;&#1086;&#1095;&#1080;&#1081;%20&#1089;&#1090;&#1086;&#1083;\Documents%20and%20Settings\&#1044;&#1080;&#1088;&#1077;&#1082;&#1090;&#1086;&#1088;\&#1056;&#1072;&#1073;&#1086;&#1095;&#1080;&#1081;%20&#1089;&#1090;&#1086;&#1083;\&#1093;&#1091;&#1088;&#1096;&#1080;&#1076;-&#1072;&#1082;&#1072;\2001-1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0-4\djavalitdin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dil\SHER%20(C)\&#1052;&#1086;&#1080;%20&#1076;&#1086;&#1082;&#1091;&#1084;&#1077;&#1085;&#1090;&#1099;\&#1076;&#1080;&#1089;&#1082;\2005%20&#1093;&#1086;&#1089;&#1080;&#1083;&#1080;%20&#1079;&#1072;&#1075;&#1072;&#1090;\&#1054;&#1087;&#1089;%20&#1087;&#1072;&#1088;&#1090;&#1080;&#1103;%202005-2&#1101;&#1090;&#1072;&#1087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xa\&#1052;&#1086;&#1080;%20&#1076;&#1086;&#1082;&#1091;&#1084;&#1077;&#1085;&#1090;&#1099;\&#1052;&#1086;&#1081;%20&#1076;&#1086;&#1082;&#1091;&#1084;&#1077;&#1085;&#1090;\&#1043;&#1072;&#1081;&#1088;&#1072;&#1090;\&#1041;&#1072;&#1085;&#1082;\2006%20&#1081;%20&#1080;&#1084;&#1090;&#1105;%20&#1082;&#1088;\&#1048;&#1084;%20&#1082;&#1088;%20&#1084;&#1072;&#1081;%20&#1086;&#1081;&#1080;%201&#1095;&#1080;%20&#1103;&#1088;\&#1058;&#1091;&#1084;&#1072;&#1085;%20&#1090;&#1072;&#1096;\&#1044;&#1086;&#1082;&#1091;&#1084;&#1077;&#1085;&#1090;&#1099;\&#1052;&#1054;&#1053;&#1048;&#1058;&#1054;&#1056;&#1048;&#1053;&#1043;2006%20&#1040;&#1043;&#1056;&#1054;&#1055;&#1056;&#1054;&#1052;\2006%20&#1081;&#1080;&#1083;%2015.05.2006%20&#1075;&#1072;\&#1058;&#1072;&#1076;%20&#1073;&#1072;&#1085;&#1082;%2015.05.06%2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_usmon\Documents%20and%20Settings\User\&#1052;&#1086;&#1080;%20&#1076;&#1086;&#1082;&#1091;&#1084;&#1077;&#1085;&#1090;&#1099;\Downloads\Documents%20and%20Settings\Administrator\Desktop\&#1042;&#1089;&#1077;%20&#1087;&#1088;&#1086;&#1075;&#1088;&#1072;&#1084;&#1084;&#1099;\&#1054;&#1090;&#1095;&#1077;&#1090;&#1099;%20&#1080;%20&#1087;&#1088;&#1086;&#1075;&#1088;&#1072;&#1084;&#1084;&#1099;\&#1054;&#1090;&#1095;&#1105;&#1090;%202006\1%20&#1082;&#1074;\&#1054;&#1090;&#1095;&#1077;&#1090;&#1099;%20&#1080;%20&#1087;&#1088;&#1086;&#1075;&#1088;&#1072;&#1084;&#1084;&#1099;\&#1086;&#1090;&#1095;&#1077;&#1090;%202005\1%20&#1087;&#1075;.2005%20&#1075;\EXCEL\BULLE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antimon\&#1052;&#1086;&#1080;%20&#1076;&#1086;&#1082;&#1091;&#1084;&#1077;&#1085;&#1090;&#1099;\&#1043;&#1072;&#1083;&#1083;&#1072;-2005\EXCEL%20&#1093;&#1091;&#1078;&#1078;&#1072;&#1090;&#1083;&#1072;&#1088;&#1080;\123\&#1040;&#1073;&#1076;&#1091;&#1084;&#1091;&#1088;&#1086;&#1076;&#1075;&#1072;_&#1086;&#1093;&#1080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_usmon\Documents%20and%20Settings\User\&#1052;&#1086;&#1080;%20&#1076;&#1086;&#1082;&#1091;&#1084;&#1077;&#1085;&#1090;&#1099;\Downloads\&#1056;&#1067;&#1053;&#1054;&#1050;\&#1060;&#1072;&#1088;&#1093;&#1072;&#1076;%202009\&#1044;&#1072;&#1089;&#1090;&#1091;&#1088;%20&#1082;&#1072;&#1089;&#1072;&#1085;&#1072;%202009\&#1042;&#1089;&#1077;%20&#1087;&#1088;&#1086;&#1075;&#1088;&#1072;&#1084;&#1084;&#1099;\&#1054;&#1090;&#1095;&#1077;&#1090;&#1099;%20&#1080;%20&#1087;&#1088;&#1086;&#1075;&#1088;&#1072;&#1084;&#1084;&#1099;\&#1086;&#1090;&#1095;&#1077;&#1090;%202005\12%20&#1084;&#1077;&#1089;.2005%20&#1075;\&#1054;&#1090;&#1095;&#1077;&#1090;&#1099;%20&#1080;%20&#1087;&#1088;&#1086;&#1075;&#1088;&#1072;&#1084;&#1084;&#1099;\&#1086;&#1090;&#1095;&#1077;&#1090;%202005\1%20&#1087;&#1075;.2005%20&#1075;\EXCEL\BULLET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1040;&#1076;&#1084;&#1080;&#1085;&#1080;&#1089;&#1090;&#1088;&#1072;&#1090;&#1086;&#1088;/Application%20Data/Microsoft/Excel/---------ZIP---------/&#1057;&#1042;&#1054;&#1044;_&#1061;&#1054;&#1050;&#1048;&#1052;&#1048;&#1071;&#1058;%20&#1082;&#1088;&#1077;&#1076;&#1080;&#1090;&#1083;&#1080;%20&#1083;&#1086;&#1081;&#1080;&#1093;&#1072;&#1083;&#1072;&#1088;&#1080;_4.11.2016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\C\EXCEL\BULLE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&#1074;&#1072;&#1093;&#1086;&#1073;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qtisod_45\&#1085;&#1086;&#1074;&#1072;&#1103;%20&#1087;&#1072;&#1087;&#1082;&#1072;\&#1052;&#1086;&#1080;%20&#1076;&#1086;&#1082;&#1091;&#1084;&#1077;&#1085;&#1090;&#1099;\&#1043;&#1072;&#1083;&#1083;&#1072;-2005\EXCEL%20&#1093;&#1091;&#1078;&#1078;&#1072;&#1090;&#1083;&#1072;&#1088;&#1080;\123\&#1058;&#1086;&#1093;&#1080;&#1088;&#1073;&#1077;&#1082;%202003-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07\c\BAL_214S\21409\214\&#1056;&#1077;&#1079;&#1077;&#1088;&#1074;\BAL.dbf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_usmon\Documents%20and%20Settings\User\&#1052;&#1086;&#1080;%20&#1076;&#1086;&#1082;&#1091;&#1084;&#1077;&#1085;&#1090;&#1099;\Downloads\&#1056;&#1067;&#1053;&#1054;&#1050;\&#1060;&#1072;&#1088;&#1093;&#1072;&#1076;%202009\&#1044;&#1072;&#1089;&#1090;&#1091;&#1088;%20&#1082;&#1072;&#1089;&#1072;&#1085;&#1072;%202009\EXCEL\BULL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mronbek\&#1044;&#1086;&#1082;&#1091;&#1084;&#1077;&#1085;&#1090;&#1099;\Otabek\Azimov%20Dilshod\Fond-tablica\SME\2006\Work\My%20Documents\Fond-tablica\SME\2001\_1999(~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ws83\&#1052;&#1086;&#1080;%20&#1076;&#1086;&#1082;&#1091;&#1084;&#1077;&#1085;&#1090;&#1099;\Bobur\&#1057;&#1090;&#1072;&#1090;&#1080;&#1089;&#1090;&#1080;&#1082;&#1072;\&#1048;&#1084;&#1087;&#1086;&#1088;&#1090;%202000-20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.DESKTOP-JV31NAB/Desktop/&#1058;&#1086;&#1096;&#1082;&#1077;&#1085;&#1090;%20&#1074;&#1080;&#1083;&#1086;&#1103;&#1090;/&#1071;&#1053;&#1043;&#1048;%20&#1041;&#1040;&#1053;&#1050;/&#1041;&#1072;&#1085;&#1082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_usmon\Documents%20and%20Settings\User\&#1052;&#1086;&#1080;%20&#1076;&#1086;&#1082;&#1091;&#1084;&#1077;&#1085;&#1090;&#1099;\Downloads\&#1052;&#1086;&#1080;%20&#1076;&#1086;&#1082;&#1091;&#1084;&#1077;&#1085;&#1090;&#1099;\&#1057;&#1086;&#1074;.&#1084;&#1080;&#1085;\EXCEL\BULL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ВИЙ ПРАВИЙ"/>
      <sheetName val="ИНКИРОЗ"/>
      <sheetName val="ВИЛОЯТ 6 ОЙ РЕЖА БАЛАНС (2)"/>
      <sheetName val="общи.17та "/>
      <sheetName val="ФОРМУЛА (ойларда)"/>
      <sheetName val="ФОРМУЛА (ТАЙЁР)"/>
      <sheetName val="Параметр (ФОРМУДА)"/>
      <sheetName val="Параметр ЗНАЧЕНИЯ"/>
      <sheetName val="январ 17та йун."/>
      <sheetName val="вилоят"/>
      <sheetName val="карши ш."/>
      <sheetName val="гузор"/>
      <sheetName val="дехкон."/>
      <sheetName val="камаши"/>
      <sheetName val="карши т."/>
      <sheetName val="касби"/>
      <sheetName val="китоб"/>
      <sheetName val="косон"/>
      <sheetName val="миришкор"/>
      <sheetName val="муборак"/>
      <sheetName val="нишон"/>
      <sheetName val="чирокчи"/>
      <sheetName val="шахрисабз"/>
      <sheetName val="яккабог"/>
      <sheetName val="ЛЕВИЙ_ПРАВИЙ"/>
      <sheetName val="ВИЛОЯТ_6_ОЙ_РЕЖА_БАЛАНС_(2)"/>
      <sheetName val="общи_17та_"/>
      <sheetName val="ФОРМУЛА_(ойларда)"/>
      <sheetName val="ФОРМУЛА_(ТАЙЁР)"/>
      <sheetName val="Параметр_(ФОРМУДА)"/>
      <sheetName val="Параметр_ЗНАЧЕНИЯ"/>
      <sheetName val="январ_17та_йун_"/>
      <sheetName val="карши_ш_"/>
      <sheetName val="дехкон_"/>
      <sheetName val="карши_т_"/>
      <sheetName val="Руйхат (иш учун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оборот"/>
      <sheetName val="ж а м и"/>
      <sheetName val="Macro1"/>
      <sheetName val="10513"/>
      <sheetName val="1-жадвал"/>
      <sheetName val="Tosh_sh жами 1жадвал "/>
      <sheetName val="Фао-т т.коди"/>
      <sheetName val="Пул топ-к коди "/>
      <sheetName val="Тиж-банккоди "/>
      <sheetName val="Хукукий Макоми"/>
      <sheetName val="МФО Last"/>
      <sheetName val="Зан-ть(р-ны)"/>
      <sheetName val="Store"/>
      <sheetName val="выполнение"/>
      <sheetName val="Tit"/>
      <sheetName val="Date"/>
      <sheetName val="Тохирбек 2003-1"/>
      <sheetName val="максади"/>
      <sheetName val="банклар"/>
      <sheetName val="Худуд"/>
      <sheetName val="фориш_свод"/>
      <sheetName val="Фориш_2003"/>
      <sheetName val="Жиззах_янги_раз"/>
      <sheetName val="ж_а_м_и"/>
      <sheetName val="Tosh_sh_жами_1жадвал_"/>
      <sheetName val="Фао-т_т_коди"/>
      <sheetName val="Пул_топ-к_коди_"/>
      <sheetName val="Тиж-банккоди_"/>
      <sheetName val="Хукукий_Макоми"/>
      <sheetName val="МФО_Last"/>
      <sheetName val="19903"/>
      <sheetName val="экс хар"/>
      <sheetName val="Реестр"/>
      <sheetName val="фориш_свод1"/>
      <sheetName val="Фориш_20031"/>
      <sheetName val="Жиззах_янги_раз1"/>
      <sheetName val="ж_а_м_и1"/>
      <sheetName val="Tosh_sh_жами_1жадвал_1"/>
      <sheetName val="Фао-т_т_коди1"/>
      <sheetName val="Пул_топ-к_коди_1"/>
      <sheetName val="Тиж-банккоди_1"/>
      <sheetName val="Хукукий_Макоми1"/>
      <sheetName val="МФО_Last1"/>
      <sheetName val="Тохирбек_2003-1"/>
      <sheetName val="экс_хар"/>
      <sheetName val="Қолган-193 та 28.12.2018"/>
      <sheetName val="Results"/>
      <sheetName val="фориш_свод2"/>
      <sheetName val="Фориш_20032"/>
      <sheetName val="Жиззах_янги_раз2"/>
      <sheetName val="ж_а_м_и2"/>
      <sheetName val="Tosh_sh_жами_1жадвал_2"/>
      <sheetName val="Фао-т_т_коди2"/>
      <sheetName val="Пул_топ-к_коди_2"/>
      <sheetName val="Тиж-банккоди_2"/>
      <sheetName val="Хукукий_Макоми2"/>
      <sheetName val="МФО_Last2"/>
      <sheetName val="Тохирбек_2003-11"/>
      <sheetName val="экс_хар1"/>
      <sheetName val="Қолган-193_та_28_12_2018"/>
      <sheetName val="фориш_свод3"/>
      <sheetName val="Фориш_20033"/>
      <sheetName val="Жиззах_янги_раз3"/>
      <sheetName val="ж_а_м_и3"/>
      <sheetName val="Tosh_sh_жами_1жадвал_3"/>
      <sheetName val="Фао-т_т_коди3"/>
      <sheetName val="Пул_топ-к_коди_3"/>
      <sheetName val="Тиж-банккоди_3"/>
      <sheetName val="Хукукий_Макоми3"/>
      <sheetName val="МФО_Last3"/>
      <sheetName val="Тохирбек_2003-12"/>
      <sheetName val="экс_хар2"/>
      <sheetName val="Қолган-193_та_28_12_2018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>
        <row r="4">
          <cell r="O4">
            <v>67.099999999999994</v>
          </cell>
        </row>
      </sheetData>
      <sheetData sheetId="28">
        <row r="4">
          <cell r="O4">
            <v>67.099999999999994</v>
          </cell>
        </row>
      </sheetData>
      <sheetData sheetId="29">
        <row r="4">
          <cell r="O4">
            <v>67.099999999999994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>
        <row r="4">
          <cell r="O4">
            <v>67.099999999999994</v>
          </cell>
        </row>
      </sheetData>
      <sheetData sheetId="47">
        <row r="4">
          <cell r="O4">
            <v>67.099999999999994</v>
          </cell>
        </row>
      </sheetData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 refreshError="1"/>
      <sheetData sheetId="53" refreshError="1"/>
      <sheetData sheetId="54">
        <row r="4">
          <cell r="O4">
            <v>67.099999999999994</v>
          </cell>
        </row>
      </sheetData>
      <sheetData sheetId="55">
        <row r="4">
          <cell r="O4">
            <v>67.099999999999994</v>
          </cell>
        </row>
      </sheetData>
      <sheetData sheetId="56">
        <row r="4">
          <cell r="O4">
            <v>67.099999999999994</v>
          </cell>
        </row>
      </sheetData>
      <sheetData sheetId="57">
        <row r="4">
          <cell r="O4">
            <v>67.099999999999994</v>
          </cell>
        </row>
      </sheetData>
      <sheetData sheetId="58">
        <row r="4">
          <cell r="O4">
            <v>67.099999999999994</v>
          </cell>
        </row>
      </sheetData>
      <sheetData sheetId="59">
        <row r="4">
          <cell r="O4">
            <v>67.099999999999994</v>
          </cell>
        </row>
      </sheetData>
      <sheetData sheetId="60">
        <row r="4">
          <cell r="O4">
            <v>67.099999999999994</v>
          </cell>
        </row>
      </sheetData>
      <sheetData sheetId="61">
        <row r="4">
          <cell r="O4">
            <v>67.099999999999994</v>
          </cell>
        </row>
      </sheetData>
      <sheetData sheetId="62">
        <row r="4">
          <cell r="O4">
            <v>67.099999999999994</v>
          </cell>
        </row>
      </sheetData>
      <sheetData sheetId="63">
        <row r="4">
          <cell r="O4">
            <v>67.099999999999994</v>
          </cell>
        </row>
      </sheetData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 refreshError="1"/>
      <sheetData sheetId="67">
        <row r="4">
          <cell r="O4">
            <v>67.099999999999994</v>
          </cell>
        </row>
      </sheetData>
      <sheetData sheetId="68">
        <row r="4">
          <cell r="O4">
            <v>67.099999999999994</v>
          </cell>
        </row>
      </sheetData>
      <sheetData sheetId="69">
        <row r="4">
          <cell r="O4">
            <v>67.099999999999994</v>
          </cell>
        </row>
      </sheetData>
      <sheetData sheetId="70">
        <row r="4">
          <cell r="O4">
            <v>67.099999999999994</v>
          </cell>
        </row>
      </sheetData>
      <sheetData sheetId="71">
        <row r="4">
          <cell r="O4">
            <v>67.099999999999994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 "/>
      <sheetName val="Ер ресурс Свод"/>
      <sheetName val="Ер Ресурс"/>
      <sheetName val="Технадзор-свод"/>
      <sheetName val="шартли мол"/>
      <sheetName val="Бог-ток"/>
      <sheetName val="11-жадвал"/>
      <sheetName val="12-жадвал"/>
      <sheetName val="KAT2344"/>
      <sheetName val="Фориш 2003"/>
      <sheetName val="Стат_"/>
      <sheetName val="Ер_ресурс_Свод"/>
      <sheetName val="Ер_Ресурс"/>
      <sheetName val="шартли_мол"/>
      <sheetName val="Фориш_200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ункт"/>
      <sheetName val="режа"/>
      <sheetName val="Нарх"/>
      <sheetName val="программа"/>
      <sheetName val="Куритиш нормаси"/>
      <sheetName val="маълумот"/>
      <sheetName val="ПК-17"/>
      <sheetName val="Ер Ресурс"/>
      <sheetName val="Куритиш_нормаси"/>
      <sheetName val="Ер_Ресурс"/>
    </sheetNames>
    <sheetDataSet>
      <sheetData sheetId="0" refreshError="1"/>
      <sheetData sheetId="1" refreshError="1">
        <row r="1">
          <cell r="A1" t="str">
            <v>шарт</v>
          </cell>
          <cell r="B1" t="str">
            <v>хўжалик</v>
          </cell>
          <cell r="C1" t="str">
            <v>хўж/тури</v>
          </cell>
          <cell r="D1" t="str">
            <v>Туман</v>
          </cell>
          <cell r="E1" t="str">
            <v>Завод</v>
          </cell>
          <cell r="F1" t="str">
            <v>режа</v>
          </cell>
          <cell r="G1" t="str">
            <v>Уруглик</v>
          </cell>
          <cell r="H1" t="str">
            <v>1дислокация</v>
          </cell>
          <cell r="I1" t="str">
            <v>2дислокация</v>
          </cell>
          <cell r="J1" t="str">
            <v>3дислокация</v>
          </cell>
          <cell r="K1" t="str">
            <v>4дислокация</v>
          </cell>
          <cell r="L1" t="str">
            <v>5дислокация</v>
          </cell>
          <cell r="M1" t="str">
            <v>6дислокация</v>
          </cell>
          <cell r="N1" t="str">
            <v>7дислокация</v>
          </cell>
          <cell r="O1" t="str">
            <v>8дислокация</v>
          </cell>
          <cell r="P1" t="str">
            <v>амал</v>
          </cell>
          <cell r="Q1" t="str">
            <v>баж%</v>
          </cell>
          <cell r="R1" t="str">
            <v>Аванс</v>
          </cell>
        </row>
        <row r="2">
          <cell r="A2">
            <v>780</v>
          </cell>
          <cell r="B2" t="str">
            <v>Азиз-Лочин</v>
          </cell>
          <cell r="C2" t="str">
            <v>ф/х</v>
          </cell>
          <cell r="D2" t="str">
            <v>Чимкургон</v>
          </cell>
          <cell r="E2" t="str">
            <v>Зафаробод</v>
          </cell>
          <cell r="F2">
            <v>7500</v>
          </cell>
          <cell r="H2">
            <v>19</v>
          </cell>
        </row>
        <row r="3">
          <cell r="A3">
            <v>781</v>
          </cell>
          <cell r="B3" t="str">
            <v>Алимардон Тураев</v>
          </cell>
          <cell r="C3" t="str">
            <v>ф/х</v>
          </cell>
          <cell r="D3" t="str">
            <v>Чимкургон</v>
          </cell>
          <cell r="E3" t="str">
            <v>Зафаробод</v>
          </cell>
          <cell r="F3">
            <v>21400</v>
          </cell>
          <cell r="J3">
            <v>17</v>
          </cell>
        </row>
        <row r="4">
          <cell r="A4">
            <v>782</v>
          </cell>
          <cell r="B4" t="str">
            <v>Асадбек-Олим</v>
          </cell>
          <cell r="C4" t="str">
            <v>ф/х</v>
          </cell>
          <cell r="D4" t="str">
            <v>Чимкургон</v>
          </cell>
          <cell r="E4" t="str">
            <v>Зафаробод</v>
          </cell>
          <cell r="F4">
            <v>24600</v>
          </cell>
          <cell r="J4">
            <v>18</v>
          </cell>
        </row>
        <row r="5">
          <cell r="A5">
            <v>783</v>
          </cell>
          <cell r="B5" t="str">
            <v>Аскар-Анорбой</v>
          </cell>
          <cell r="C5" t="str">
            <v>ф/х</v>
          </cell>
          <cell r="D5" t="str">
            <v>Чимкургон</v>
          </cell>
          <cell r="E5" t="str">
            <v>Зафаробод</v>
          </cell>
          <cell r="F5">
            <v>20000</v>
          </cell>
          <cell r="J5">
            <v>15</v>
          </cell>
        </row>
        <row r="6">
          <cell r="A6">
            <v>784</v>
          </cell>
          <cell r="B6" t="str">
            <v>Баланд осмон курки</v>
          </cell>
          <cell r="C6" t="str">
            <v>ф/х</v>
          </cell>
          <cell r="D6" t="str">
            <v>Чимкургон</v>
          </cell>
          <cell r="E6" t="str">
            <v>Зафаробод</v>
          </cell>
          <cell r="F6">
            <v>13600</v>
          </cell>
          <cell r="J6">
            <v>14</v>
          </cell>
        </row>
        <row r="7">
          <cell r="A7">
            <v>785</v>
          </cell>
          <cell r="B7" t="str">
            <v>Берди-Курбон</v>
          </cell>
          <cell r="C7" t="str">
            <v>ф/х</v>
          </cell>
          <cell r="D7" t="str">
            <v>Чимкургон</v>
          </cell>
          <cell r="E7" t="str">
            <v>Зафаробод</v>
          </cell>
          <cell r="F7">
            <v>7600</v>
          </cell>
          <cell r="J7">
            <v>15</v>
          </cell>
        </row>
        <row r="8">
          <cell r="A8">
            <v>786</v>
          </cell>
          <cell r="B8" t="str">
            <v>Бойжигит орзуси</v>
          </cell>
          <cell r="C8" t="str">
            <v>ф/х</v>
          </cell>
          <cell r="D8" t="str">
            <v>Чимкургон</v>
          </cell>
          <cell r="E8" t="str">
            <v>Зафаробод</v>
          </cell>
          <cell r="F8">
            <v>9000</v>
          </cell>
          <cell r="J8">
            <v>15</v>
          </cell>
        </row>
        <row r="9">
          <cell r="A9">
            <v>787</v>
          </cell>
          <cell r="B9" t="str">
            <v>Гузал-Норбуви</v>
          </cell>
          <cell r="C9" t="str">
            <v>ф/х</v>
          </cell>
          <cell r="D9" t="str">
            <v>Чимкургон</v>
          </cell>
          <cell r="E9" t="str">
            <v>Зафаробод</v>
          </cell>
          <cell r="F9">
            <v>15000</v>
          </cell>
          <cell r="J9">
            <v>18</v>
          </cell>
        </row>
        <row r="10">
          <cell r="A10">
            <v>788</v>
          </cell>
          <cell r="B10" t="str">
            <v>Гулчехра-Олим</v>
          </cell>
          <cell r="C10" t="str">
            <v>ф/х</v>
          </cell>
          <cell r="D10" t="str">
            <v>Чимкургон</v>
          </cell>
          <cell r="E10" t="str">
            <v>Зафаробод</v>
          </cell>
          <cell r="F10">
            <v>33200</v>
          </cell>
          <cell r="J10">
            <v>17</v>
          </cell>
        </row>
        <row r="11">
          <cell r="A11">
            <v>789</v>
          </cell>
          <cell r="B11" t="str">
            <v>Дилшод-Тадбиркор</v>
          </cell>
          <cell r="C11" t="str">
            <v>ф/х</v>
          </cell>
          <cell r="D11" t="str">
            <v>Чимкургон</v>
          </cell>
          <cell r="E11" t="str">
            <v>Зафаробод</v>
          </cell>
          <cell r="F11">
            <v>75000</v>
          </cell>
          <cell r="J11">
            <v>15</v>
          </cell>
        </row>
        <row r="12">
          <cell r="A12">
            <v>790</v>
          </cell>
          <cell r="B12" t="str">
            <v>Достык</v>
          </cell>
          <cell r="C12" t="str">
            <v>ф/х</v>
          </cell>
          <cell r="D12" t="str">
            <v>Чимкургон</v>
          </cell>
          <cell r="E12" t="str">
            <v>Зафаробод</v>
          </cell>
          <cell r="F12">
            <v>17800</v>
          </cell>
          <cell r="J12">
            <v>17</v>
          </cell>
        </row>
        <row r="13">
          <cell r="A13">
            <v>791</v>
          </cell>
          <cell r="B13" t="str">
            <v>Жавохир-Гулсарабону</v>
          </cell>
          <cell r="C13" t="str">
            <v>ф/х</v>
          </cell>
          <cell r="D13" t="str">
            <v>Чимкургон</v>
          </cell>
          <cell r="E13" t="str">
            <v>Зафаробод</v>
          </cell>
          <cell r="F13">
            <v>6900</v>
          </cell>
          <cell r="J13">
            <v>14</v>
          </cell>
        </row>
        <row r="14">
          <cell r="A14">
            <v>792</v>
          </cell>
          <cell r="B14" t="str">
            <v>Кажмухан</v>
          </cell>
          <cell r="C14" t="str">
            <v>ф/х</v>
          </cell>
          <cell r="D14" t="str">
            <v>Чимкургон</v>
          </cell>
          <cell r="E14" t="str">
            <v>Зафаробод</v>
          </cell>
          <cell r="F14">
            <v>22600</v>
          </cell>
          <cell r="J14">
            <v>15</v>
          </cell>
        </row>
        <row r="15">
          <cell r="A15">
            <v>793</v>
          </cell>
          <cell r="B15" t="str">
            <v>Камалак-Комолот</v>
          </cell>
          <cell r="C15" t="str">
            <v>ф/х</v>
          </cell>
          <cell r="D15" t="str">
            <v>Чимкургон</v>
          </cell>
          <cell r="E15" t="str">
            <v>Зафаробод</v>
          </cell>
          <cell r="F15">
            <v>25500</v>
          </cell>
          <cell r="J15">
            <v>14</v>
          </cell>
        </row>
        <row r="16">
          <cell r="A16">
            <v>794</v>
          </cell>
          <cell r="B16" t="str">
            <v>Кахор хожи бобо-Мамай угли</v>
          </cell>
          <cell r="C16" t="str">
            <v>ф/х</v>
          </cell>
          <cell r="D16" t="str">
            <v>Чимкургон</v>
          </cell>
          <cell r="E16" t="str">
            <v>Зафаробод</v>
          </cell>
          <cell r="F16">
            <v>22900</v>
          </cell>
          <cell r="J16">
            <v>16</v>
          </cell>
        </row>
        <row r="17">
          <cell r="A17">
            <v>795</v>
          </cell>
          <cell r="B17" t="str">
            <v>Лозуд гурухи</v>
          </cell>
          <cell r="C17" t="str">
            <v>ф/х</v>
          </cell>
          <cell r="D17" t="str">
            <v>Чимкургон</v>
          </cell>
          <cell r="E17" t="str">
            <v>Зафаробод</v>
          </cell>
          <cell r="F17">
            <v>18400</v>
          </cell>
          <cell r="J17">
            <v>15</v>
          </cell>
        </row>
        <row r="18">
          <cell r="A18">
            <v>796</v>
          </cell>
          <cell r="B18" t="str">
            <v>Мехринисо-Мархоба</v>
          </cell>
          <cell r="C18" t="str">
            <v>ф/х</v>
          </cell>
          <cell r="D18" t="str">
            <v>Чимкургон</v>
          </cell>
          <cell r="E18" t="str">
            <v>Зафаробод</v>
          </cell>
          <cell r="F18">
            <v>35000</v>
          </cell>
          <cell r="J18">
            <v>15</v>
          </cell>
        </row>
        <row r="19">
          <cell r="A19">
            <v>797</v>
          </cell>
          <cell r="B19" t="str">
            <v>Миржалол-Баходир</v>
          </cell>
          <cell r="C19" t="str">
            <v>ф/х</v>
          </cell>
          <cell r="D19" t="str">
            <v>Чимкургон</v>
          </cell>
          <cell r="E19" t="str">
            <v>Зафаробод</v>
          </cell>
          <cell r="F19">
            <v>14900</v>
          </cell>
          <cell r="J19">
            <v>14</v>
          </cell>
        </row>
        <row r="20">
          <cell r="A20">
            <v>798</v>
          </cell>
          <cell r="B20" t="str">
            <v>Миркомил бобо орзуси</v>
          </cell>
          <cell r="C20" t="str">
            <v>ф/х</v>
          </cell>
          <cell r="D20" t="str">
            <v>Чимкургон</v>
          </cell>
          <cell r="E20" t="str">
            <v>Зафаробод</v>
          </cell>
          <cell r="F20">
            <v>26700</v>
          </cell>
          <cell r="J20">
            <v>18</v>
          </cell>
        </row>
        <row r="21">
          <cell r="A21">
            <v>799</v>
          </cell>
          <cell r="B21" t="str">
            <v>Мурат</v>
          </cell>
          <cell r="C21" t="str">
            <v>ф/х</v>
          </cell>
          <cell r="D21" t="str">
            <v>Чимкургон</v>
          </cell>
          <cell r="E21" t="str">
            <v>Зафаробод</v>
          </cell>
          <cell r="F21">
            <v>12200</v>
          </cell>
          <cell r="J21">
            <v>17</v>
          </cell>
        </row>
        <row r="22">
          <cell r="A22">
            <v>800</v>
          </cell>
          <cell r="B22" t="str">
            <v>Одилбек-Дилшод</v>
          </cell>
          <cell r="C22" t="str">
            <v>ф/х</v>
          </cell>
          <cell r="D22" t="str">
            <v>Чимкургон</v>
          </cell>
          <cell r="E22" t="str">
            <v>Зафаробод</v>
          </cell>
          <cell r="F22">
            <v>20700</v>
          </cell>
          <cell r="J22">
            <v>14</v>
          </cell>
        </row>
        <row r="23">
          <cell r="A23">
            <v>801</v>
          </cell>
          <cell r="B23" t="str">
            <v>Ойкорча юлдуз</v>
          </cell>
          <cell r="C23" t="str">
            <v>ф/х</v>
          </cell>
          <cell r="D23" t="str">
            <v>Чимкургон</v>
          </cell>
          <cell r="E23" t="str">
            <v>Зафаробод</v>
          </cell>
          <cell r="F23">
            <v>21000</v>
          </cell>
          <cell r="J23">
            <v>18</v>
          </cell>
        </row>
        <row r="24">
          <cell r="A24">
            <v>802</v>
          </cell>
          <cell r="B24" t="str">
            <v>Прантон лоласи</v>
          </cell>
          <cell r="C24" t="str">
            <v>ф/х</v>
          </cell>
          <cell r="D24" t="str">
            <v>Чимкургон</v>
          </cell>
          <cell r="E24" t="str">
            <v>Зафаробод</v>
          </cell>
          <cell r="F24">
            <v>6000</v>
          </cell>
          <cell r="J24">
            <v>14</v>
          </cell>
        </row>
        <row r="25">
          <cell r="A25">
            <v>803</v>
          </cell>
          <cell r="B25" t="str">
            <v>Пулат-Мавлон</v>
          </cell>
          <cell r="C25" t="str">
            <v>ф/х</v>
          </cell>
          <cell r="D25" t="str">
            <v>Чимкургон</v>
          </cell>
          <cell r="E25" t="str">
            <v>Зафаробод</v>
          </cell>
          <cell r="F25">
            <v>15100</v>
          </cell>
          <cell r="J25">
            <v>13</v>
          </cell>
        </row>
        <row r="26">
          <cell r="A26">
            <v>804</v>
          </cell>
          <cell r="B26" t="str">
            <v>Сазхон-Кумуш</v>
          </cell>
          <cell r="C26" t="str">
            <v>ф/х</v>
          </cell>
          <cell r="D26" t="str">
            <v>Чимкургон</v>
          </cell>
          <cell r="E26" t="str">
            <v>Зафаробод</v>
          </cell>
          <cell r="F26">
            <v>24200</v>
          </cell>
          <cell r="J26">
            <v>15</v>
          </cell>
        </row>
        <row r="27">
          <cell r="A27">
            <v>805</v>
          </cell>
          <cell r="B27" t="str">
            <v>Санжар</v>
          </cell>
          <cell r="C27" t="str">
            <v>ф/х</v>
          </cell>
          <cell r="D27" t="str">
            <v>Чимкургон</v>
          </cell>
          <cell r="E27" t="str">
            <v>Зафаробод</v>
          </cell>
          <cell r="F27">
            <v>14600</v>
          </cell>
          <cell r="J27">
            <v>17</v>
          </cell>
        </row>
        <row r="28">
          <cell r="A28">
            <v>806</v>
          </cell>
          <cell r="B28" t="str">
            <v>Севара Хилола</v>
          </cell>
          <cell r="C28" t="str">
            <v>ф/х</v>
          </cell>
          <cell r="D28" t="str">
            <v>Чимкургон</v>
          </cell>
          <cell r="E28" t="str">
            <v>Зафаробод</v>
          </cell>
          <cell r="F28">
            <v>21700</v>
          </cell>
          <cell r="J28">
            <v>16</v>
          </cell>
        </row>
        <row r="29">
          <cell r="A29">
            <v>808</v>
          </cell>
          <cell r="B29" t="str">
            <v>Турдикул-Сиддик</v>
          </cell>
          <cell r="C29" t="str">
            <v>ф/х</v>
          </cell>
          <cell r="D29" t="str">
            <v>Чимкургон</v>
          </cell>
          <cell r="E29" t="str">
            <v>Зафаробод</v>
          </cell>
          <cell r="F29">
            <v>26300</v>
          </cell>
          <cell r="J29">
            <v>13</v>
          </cell>
        </row>
        <row r="30">
          <cell r="A30">
            <v>809</v>
          </cell>
          <cell r="B30" t="str">
            <v>Тухтамиш-Полвон</v>
          </cell>
          <cell r="C30" t="str">
            <v>ф/х</v>
          </cell>
          <cell r="D30" t="str">
            <v>Чимкургон</v>
          </cell>
          <cell r="E30" t="str">
            <v>Зафаробод</v>
          </cell>
          <cell r="F30">
            <v>31500</v>
          </cell>
          <cell r="J30">
            <v>15</v>
          </cell>
        </row>
        <row r="31">
          <cell r="A31">
            <v>810</v>
          </cell>
          <cell r="B31" t="str">
            <v>Улугбек Коракулов</v>
          </cell>
          <cell r="C31" t="str">
            <v>ф/х</v>
          </cell>
          <cell r="D31" t="str">
            <v>Чимкургон</v>
          </cell>
          <cell r="E31" t="str">
            <v>Зафаробод</v>
          </cell>
          <cell r="F31">
            <v>57000</v>
          </cell>
          <cell r="J31">
            <v>14</v>
          </cell>
        </row>
        <row r="32">
          <cell r="A32">
            <v>811</v>
          </cell>
          <cell r="B32" t="str">
            <v>УЯ-64/73</v>
          </cell>
          <cell r="C32" t="str">
            <v>ф/х</v>
          </cell>
          <cell r="D32" t="str">
            <v>Чимкургон</v>
          </cell>
          <cell r="E32" t="str">
            <v>Зафаробод</v>
          </cell>
          <cell r="F32">
            <v>349500</v>
          </cell>
          <cell r="J32">
            <v>14</v>
          </cell>
        </row>
        <row r="33">
          <cell r="A33">
            <v>812</v>
          </cell>
          <cell r="B33" t="str">
            <v>УЯ-64/78</v>
          </cell>
          <cell r="C33" t="str">
            <v>ф/х</v>
          </cell>
          <cell r="D33" t="str">
            <v>Чимкургон</v>
          </cell>
          <cell r="E33" t="str">
            <v>Зафаробод</v>
          </cell>
          <cell r="F33">
            <v>300000</v>
          </cell>
          <cell r="J33">
            <v>14</v>
          </cell>
        </row>
        <row r="34">
          <cell r="A34">
            <v>813</v>
          </cell>
          <cell r="B34" t="str">
            <v>Хайдар-Мумин</v>
          </cell>
          <cell r="C34" t="str">
            <v>ф/х</v>
          </cell>
          <cell r="D34" t="str">
            <v>Чимкургон</v>
          </cell>
          <cell r="E34" t="str">
            <v>Зафаробод</v>
          </cell>
          <cell r="F34">
            <v>17600</v>
          </cell>
          <cell r="J34">
            <v>15</v>
          </cell>
        </row>
        <row r="35">
          <cell r="A35">
            <v>814</v>
          </cell>
          <cell r="B35" t="str">
            <v>Хонбой-Тура</v>
          </cell>
          <cell r="C35" t="str">
            <v>ф/х</v>
          </cell>
          <cell r="D35" t="str">
            <v>Чимкургон</v>
          </cell>
          <cell r="E35" t="str">
            <v>Зафаробод</v>
          </cell>
          <cell r="F35">
            <v>15500</v>
          </cell>
          <cell r="J35">
            <v>15</v>
          </cell>
        </row>
        <row r="36">
          <cell r="A36">
            <v>815</v>
          </cell>
          <cell r="B36" t="str">
            <v>Шокибой</v>
          </cell>
          <cell r="C36" t="str">
            <v>ф/х</v>
          </cell>
          <cell r="D36" t="str">
            <v>Чимкургон</v>
          </cell>
          <cell r="E36" t="str">
            <v>Зафаробод</v>
          </cell>
          <cell r="F36">
            <v>34500</v>
          </cell>
          <cell r="J36">
            <v>18</v>
          </cell>
        </row>
        <row r="37">
          <cell r="A37">
            <v>816</v>
          </cell>
          <cell r="B37" t="str">
            <v>Эгизбулок кишлоги</v>
          </cell>
          <cell r="C37" t="str">
            <v>ф/х</v>
          </cell>
          <cell r="D37" t="str">
            <v>Чимкургон</v>
          </cell>
          <cell r="E37" t="str">
            <v>Зафаробод</v>
          </cell>
          <cell r="F37">
            <v>45000</v>
          </cell>
          <cell r="J37">
            <v>15</v>
          </cell>
        </row>
        <row r="38">
          <cell r="A38">
            <v>817</v>
          </cell>
          <cell r="B38" t="str">
            <v>Элёр Абдуганиев</v>
          </cell>
          <cell r="C38" t="str">
            <v>ф/х</v>
          </cell>
          <cell r="D38" t="str">
            <v>Чимкургон</v>
          </cell>
          <cell r="E38" t="str">
            <v>Зафаробод</v>
          </cell>
          <cell r="F38">
            <v>32000</v>
          </cell>
          <cell r="J38">
            <v>18</v>
          </cell>
        </row>
        <row r="39">
          <cell r="A39">
            <v>807</v>
          </cell>
          <cell r="B39" t="str">
            <v>Томур Тожик</v>
          </cell>
          <cell r="C39" t="str">
            <v>б/т</v>
          </cell>
          <cell r="D39" t="str">
            <v>Чимкургон</v>
          </cell>
          <cell r="E39" t="str">
            <v>Зафаробод</v>
          </cell>
          <cell r="F39">
            <v>6800</v>
          </cell>
          <cell r="J39">
            <v>14</v>
          </cell>
        </row>
        <row r="40">
          <cell r="A40">
            <v>703</v>
          </cell>
          <cell r="B40" t="str">
            <v>Абу-Ата</v>
          </cell>
          <cell r="C40" t="str">
            <v>ф/х</v>
          </cell>
          <cell r="D40" t="str">
            <v>Х.Олимжон</v>
          </cell>
          <cell r="E40" t="str">
            <v>Зафаробод</v>
          </cell>
          <cell r="F40">
            <v>49800</v>
          </cell>
          <cell r="J40">
            <v>2</v>
          </cell>
        </row>
        <row r="41">
          <cell r="A41">
            <v>704</v>
          </cell>
          <cell r="B41" t="str">
            <v>Алишер</v>
          </cell>
          <cell r="C41" t="str">
            <v>ф/х</v>
          </cell>
          <cell r="D41" t="str">
            <v>Х.Олимжон</v>
          </cell>
          <cell r="E41" t="str">
            <v>Зафаробод</v>
          </cell>
          <cell r="F41">
            <v>54300</v>
          </cell>
          <cell r="H41">
            <v>22</v>
          </cell>
        </row>
        <row r="42">
          <cell r="A42">
            <v>705</v>
          </cell>
          <cell r="B42" t="str">
            <v>Анора-Муниса</v>
          </cell>
          <cell r="C42" t="str">
            <v>ф/х</v>
          </cell>
          <cell r="D42" t="str">
            <v>Х.Олимжон</v>
          </cell>
          <cell r="E42" t="str">
            <v>Зафаробод</v>
          </cell>
          <cell r="F42">
            <v>30000</v>
          </cell>
          <cell r="H42">
            <v>18</v>
          </cell>
        </row>
        <row r="43">
          <cell r="A43">
            <v>706</v>
          </cell>
          <cell r="B43" t="str">
            <v>Анорбой Отабек орзуси</v>
          </cell>
          <cell r="C43" t="str">
            <v>ф/х</v>
          </cell>
          <cell r="D43" t="str">
            <v>Х.Олимжон</v>
          </cell>
          <cell r="E43" t="str">
            <v>Зафаробод</v>
          </cell>
          <cell r="F43">
            <v>28500</v>
          </cell>
          <cell r="H43">
            <v>18</v>
          </cell>
        </row>
        <row r="44">
          <cell r="A44">
            <v>707</v>
          </cell>
          <cell r="B44" t="str">
            <v>Аскар-Пулат</v>
          </cell>
          <cell r="C44" t="str">
            <v>ф/х</v>
          </cell>
          <cell r="D44" t="str">
            <v>Х.Олимжон</v>
          </cell>
          <cell r="E44" t="str">
            <v>Зафаробод</v>
          </cell>
          <cell r="F44">
            <v>46200</v>
          </cell>
          <cell r="H44">
            <v>20</v>
          </cell>
        </row>
        <row r="45">
          <cell r="A45">
            <v>708</v>
          </cell>
          <cell r="B45" t="str">
            <v>Ахмадхон</v>
          </cell>
          <cell r="C45" t="str">
            <v>ф/х</v>
          </cell>
          <cell r="D45" t="str">
            <v>Х.Олимжон</v>
          </cell>
          <cell r="E45" t="str">
            <v>Зафаробод</v>
          </cell>
          <cell r="F45">
            <v>58000</v>
          </cell>
          <cell r="H45">
            <v>18</v>
          </cell>
        </row>
        <row r="46">
          <cell r="A46">
            <v>709</v>
          </cell>
          <cell r="B46" t="str">
            <v>Б.Боголони</v>
          </cell>
          <cell r="C46" t="str">
            <v>ф/х</v>
          </cell>
          <cell r="D46" t="str">
            <v>Х.Олимжон</v>
          </cell>
          <cell r="E46" t="str">
            <v>Зафаробод</v>
          </cell>
          <cell r="F46">
            <v>72800</v>
          </cell>
          <cell r="H46">
            <v>22</v>
          </cell>
        </row>
        <row r="47">
          <cell r="A47">
            <v>710</v>
          </cell>
          <cell r="B47" t="str">
            <v>Баходир-Ботир</v>
          </cell>
          <cell r="C47" t="str">
            <v>ф/х</v>
          </cell>
          <cell r="D47" t="str">
            <v>Х.Олимжон</v>
          </cell>
          <cell r="E47" t="str">
            <v>Зафаробод</v>
          </cell>
          <cell r="F47">
            <v>133100</v>
          </cell>
          <cell r="H47">
            <v>20</v>
          </cell>
        </row>
        <row r="48">
          <cell r="A48">
            <v>711</v>
          </cell>
          <cell r="B48" t="str">
            <v>Баходир-Соиб</v>
          </cell>
          <cell r="C48" t="str">
            <v>ф/х</v>
          </cell>
          <cell r="D48" t="str">
            <v>Х.Олимжон</v>
          </cell>
          <cell r="E48" t="str">
            <v>Зафаробод</v>
          </cell>
          <cell r="F48">
            <v>16500</v>
          </cell>
          <cell r="H48">
            <v>17</v>
          </cell>
        </row>
        <row r="49">
          <cell r="A49">
            <v>712</v>
          </cell>
          <cell r="B49" t="str">
            <v>Бахтиёр-Сардор</v>
          </cell>
          <cell r="C49" t="str">
            <v>ф/х</v>
          </cell>
          <cell r="D49" t="str">
            <v>Х.Олимжон</v>
          </cell>
          <cell r="E49" t="str">
            <v>Зафаробод</v>
          </cell>
          <cell r="F49">
            <v>18000</v>
          </cell>
          <cell r="H49">
            <v>19</v>
          </cell>
        </row>
        <row r="50">
          <cell r="A50">
            <v>713</v>
          </cell>
          <cell r="B50" t="str">
            <v>Бобур-Комил</v>
          </cell>
          <cell r="C50" t="str">
            <v>ф/х</v>
          </cell>
          <cell r="D50" t="str">
            <v>Х.Олимжон</v>
          </cell>
          <cell r="E50" t="str">
            <v>Зафаробод</v>
          </cell>
          <cell r="F50">
            <v>21300</v>
          </cell>
          <cell r="H50">
            <v>18</v>
          </cell>
        </row>
        <row r="51">
          <cell r="A51">
            <v>714</v>
          </cell>
          <cell r="B51" t="str">
            <v>Булунгур-2</v>
          </cell>
          <cell r="C51" t="str">
            <v>ф/х</v>
          </cell>
          <cell r="D51" t="str">
            <v>Х.Олимжон</v>
          </cell>
          <cell r="E51" t="str">
            <v>Зафаробод</v>
          </cell>
          <cell r="F51">
            <v>43200</v>
          </cell>
          <cell r="H51">
            <v>17</v>
          </cell>
        </row>
        <row r="52">
          <cell r="A52">
            <v>715</v>
          </cell>
          <cell r="B52" t="str">
            <v>Бурибой</v>
          </cell>
          <cell r="C52" t="str">
            <v>ф/х</v>
          </cell>
          <cell r="D52" t="str">
            <v>Х.Олимжон</v>
          </cell>
          <cell r="E52" t="str">
            <v>Зафаробод</v>
          </cell>
          <cell r="F52">
            <v>78000</v>
          </cell>
          <cell r="H52">
            <v>17</v>
          </cell>
        </row>
        <row r="53">
          <cell r="A53">
            <v>716</v>
          </cell>
          <cell r="B53" t="str">
            <v>Бурон</v>
          </cell>
          <cell r="C53" t="str">
            <v>ф/х</v>
          </cell>
          <cell r="D53" t="str">
            <v>Х.Олимжон</v>
          </cell>
          <cell r="E53" t="str">
            <v>Зафаробод</v>
          </cell>
          <cell r="F53">
            <v>37800</v>
          </cell>
          <cell r="H53">
            <v>17</v>
          </cell>
        </row>
        <row r="54">
          <cell r="A54">
            <v>717</v>
          </cell>
          <cell r="B54" t="str">
            <v>Вахоб</v>
          </cell>
          <cell r="C54" t="str">
            <v>ф/х</v>
          </cell>
          <cell r="D54" t="str">
            <v>Х.Олимжон</v>
          </cell>
          <cell r="E54" t="str">
            <v>Зафаробод</v>
          </cell>
          <cell r="F54">
            <v>22100</v>
          </cell>
          <cell r="H54">
            <v>18</v>
          </cell>
        </row>
        <row r="55">
          <cell r="A55">
            <v>718</v>
          </cell>
          <cell r="B55" t="str">
            <v>Давлатёр</v>
          </cell>
          <cell r="C55" t="str">
            <v>ф/х</v>
          </cell>
          <cell r="D55" t="str">
            <v>Х.Олимжон</v>
          </cell>
          <cell r="E55" t="str">
            <v>Зафаробод</v>
          </cell>
          <cell r="F55">
            <v>35000</v>
          </cell>
          <cell r="H55">
            <v>18</v>
          </cell>
        </row>
        <row r="56">
          <cell r="A56">
            <v>719</v>
          </cell>
          <cell r="B56" t="str">
            <v>Диёрбек-Асилбек</v>
          </cell>
          <cell r="C56" t="str">
            <v>ф/х</v>
          </cell>
          <cell r="D56" t="str">
            <v>Х.Олимжон</v>
          </cell>
          <cell r="E56" t="str">
            <v>Зафаробод</v>
          </cell>
          <cell r="F56">
            <v>28000</v>
          </cell>
          <cell r="H56">
            <v>18</v>
          </cell>
        </row>
        <row r="57">
          <cell r="A57">
            <v>720</v>
          </cell>
          <cell r="B57" t="str">
            <v>Дилмурод-Кузи</v>
          </cell>
          <cell r="C57" t="str">
            <v>ф/х</v>
          </cell>
          <cell r="D57" t="str">
            <v>Х.Олимжон</v>
          </cell>
          <cell r="E57" t="str">
            <v>Зафаробод</v>
          </cell>
          <cell r="F57">
            <v>41200</v>
          </cell>
          <cell r="H57">
            <v>20</v>
          </cell>
        </row>
        <row r="58">
          <cell r="A58">
            <v>721</v>
          </cell>
          <cell r="B58" t="str">
            <v>Дилсафар</v>
          </cell>
          <cell r="C58" t="str">
            <v>ф/х</v>
          </cell>
          <cell r="D58" t="str">
            <v>Х.Олимжон</v>
          </cell>
          <cell r="E58" t="str">
            <v>Зафаробод</v>
          </cell>
          <cell r="F58">
            <v>13800</v>
          </cell>
          <cell r="H58">
            <v>17</v>
          </cell>
        </row>
        <row r="59">
          <cell r="A59">
            <v>722</v>
          </cell>
          <cell r="B59" t="str">
            <v>Доринсой</v>
          </cell>
          <cell r="C59" t="str">
            <v>ф/х</v>
          </cell>
          <cell r="D59" t="str">
            <v>Х.Олимжон</v>
          </cell>
          <cell r="E59" t="str">
            <v>Зафаробод</v>
          </cell>
          <cell r="F59">
            <v>15000</v>
          </cell>
          <cell r="H59">
            <v>19</v>
          </cell>
        </row>
        <row r="60">
          <cell r="A60">
            <v>723</v>
          </cell>
          <cell r="B60" t="str">
            <v>Дувлат</v>
          </cell>
          <cell r="C60" t="str">
            <v>ф/х</v>
          </cell>
          <cell r="D60" t="str">
            <v>Х.Олимжон</v>
          </cell>
          <cell r="E60" t="str">
            <v>Зафаробод</v>
          </cell>
          <cell r="F60">
            <v>344200</v>
          </cell>
          <cell r="H60">
            <v>19</v>
          </cell>
        </row>
        <row r="61">
          <cell r="A61">
            <v>724</v>
          </cell>
          <cell r="B61" t="str">
            <v>Жахонгир Д</v>
          </cell>
          <cell r="C61" t="str">
            <v>ф/х</v>
          </cell>
          <cell r="D61" t="str">
            <v>Х.Олимжон</v>
          </cell>
          <cell r="E61" t="str">
            <v>Зафаробод</v>
          </cell>
          <cell r="F61">
            <v>41900</v>
          </cell>
          <cell r="H61">
            <v>17</v>
          </cell>
        </row>
        <row r="62">
          <cell r="A62">
            <v>725</v>
          </cell>
          <cell r="B62" t="str">
            <v>Зевес киёфаси</v>
          </cell>
          <cell r="C62" t="str">
            <v>ф/х</v>
          </cell>
          <cell r="D62" t="str">
            <v>Х.Олимжон</v>
          </cell>
          <cell r="E62" t="str">
            <v>Зафаробод</v>
          </cell>
          <cell r="F62">
            <v>28500</v>
          </cell>
          <cell r="H62">
            <v>16</v>
          </cell>
        </row>
        <row r="63">
          <cell r="A63">
            <v>726</v>
          </cell>
          <cell r="B63" t="str">
            <v>Икромжон</v>
          </cell>
          <cell r="C63" t="str">
            <v>ф/х</v>
          </cell>
          <cell r="D63" t="str">
            <v>Х.Олимжон</v>
          </cell>
          <cell r="E63" t="str">
            <v>Зафаробод</v>
          </cell>
          <cell r="F63">
            <v>55200</v>
          </cell>
          <cell r="H63">
            <v>21</v>
          </cell>
        </row>
        <row r="64">
          <cell r="A64">
            <v>727</v>
          </cell>
          <cell r="B64" t="str">
            <v>Иштихон-Гузор</v>
          </cell>
          <cell r="C64" t="str">
            <v>ф/х</v>
          </cell>
          <cell r="D64" t="str">
            <v>Х.Олимжон</v>
          </cell>
          <cell r="E64" t="str">
            <v>Зафаробод</v>
          </cell>
          <cell r="F64">
            <v>30300</v>
          </cell>
          <cell r="H64">
            <v>22</v>
          </cell>
        </row>
        <row r="65">
          <cell r="A65">
            <v>728</v>
          </cell>
          <cell r="B65" t="str">
            <v>Кахрамон-Жамшид</v>
          </cell>
          <cell r="C65" t="str">
            <v>ф/х</v>
          </cell>
          <cell r="D65" t="str">
            <v>Х.Олимжон</v>
          </cell>
          <cell r="E65" t="str">
            <v>Зафаробод</v>
          </cell>
          <cell r="F65">
            <v>21500</v>
          </cell>
          <cell r="H65">
            <v>20</v>
          </cell>
        </row>
        <row r="66">
          <cell r="A66">
            <v>729</v>
          </cell>
          <cell r="B66" t="str">
            <v>Керегатош</v>
          </cell>
          <cell r="C66" t="str">
            <v>ф/х</v>
          </cell>
          <cell r="D66" t="str">
            <v>Х.Олимжон</v>
          </cell>
          <cell r="E66" t="str">
            <v>Зафаробод</v>
          </cell>
          <cell r="F66">
            <v>28500</v>
          </cell>
          <cell r="H66">
            <v>24</v>
          </cell>
        </row>
        <row r="67">
          <cell r="A67">
            <v>730</v>
          </cell>
          <cell r="B67" t="str">
            <v xml:space="preserve">Кобул-Боймон </v>
          </cell>
          <cell r="C67" t="str">
            <v>ф/х</v>
          </cell>
          <cell r="D67" t="str">
            <v>Х.Олимжон</v>
          </cell>
          <cell r="E67" t="str">
            <v>Зафаробод</v>
          </cell>
          <cell r="F67">
            <v>32400</v>
          </cell>
          <cell r="H67">
            <v>22</v>
          </cell>
        </row>
        <row r="68">
          <cell r="A68">
            <v>731</v>
          </cell>
          <cell r="B68" t="str">
            <v>Кодир Чурогон</v>
          </cell>
          <cell r="C68" t="str">
            <v>ф/х</v>
          </cell>
          <cell r="D68" t="str">
            <v>Х.Олимжон</v>
          </cell>
          <cell r="E68" t="str">
            <v>Зафаробод</v>
          </cell>
          <cell r="F68">
            <v>49700</v>
          </cell>
          <cell r="H68">
            <v>22</v>
          </cell>
        </row>
        <row r="69">
          <cell r="A69">
            <v>732</v>
          </cell>
          <cell r="B69" t="str">
            <v>Коратош</v>
          </cell>
          <cell r="C69" t="str">
            <v>ф/х</v>
          </cell>
          <cell r="D69" t="str">
            <v>Х.Олимжон</v>
          </cell>
          <cell r="E69" t="str">
            <v>Зафаробод</v>
          </cell>
          <cell r="F69">
            <v>39300</v>
          </cell>
          <cell r="H69">
            <v>18</v>
          </cell>
        </row>
        <row r="70">
          <cell r="A70">
            <v>733</v>
          </cell>
          <cell r="B70" t="str">
            <v>Кувон тупли-Имонкул ота</v>
          </cell>
          <cell r="C70" t="str">
            <v>ф/х</v>
          </cell>
          <cell r="D70" t="str">
            <v>Х.Олимжон</v>
          </cell>
          <cell r="E70" t="str">
            <v>Зафаробод</v>
          </cell>
          <cell r="F70">
            <v>43800</v>
          </cell>
          <cell r="H70">
            <v>17</v>
          </cell>
        </row>
        <row r="71">
          <cell r="A71">
            <v>734</v>
          </cell>
          <cell r="B71" t="str">
            <v>Курбон хожи</v>
          </cell>
          <cell r="C71" t="str">
            <v>ф/х</v>
          </cell>
          <cell r="D71" t="str">
            <v>Х.Олимжон</v>
          </cell>
          <cell r="E71" t="str">
            <v>Зафаробод</v>
          </cell>
          <cell r="F71">
            <v>42300</v>
          </cell>
          <cell r="H71">
            <v>22</v>
          </cell>
        </row>
        <row r="72">
          <cell r="A72">
            <v>735</v>
          </cell>
          <cell r="B72" t="str">
            <v>Маматкул ота Холмирзаев</v>
          </cell>
          <cell r="C72" t="str">
            <v>ф/х</v>
          </cell>
          <cell r="D72" t="str">
            <v>Х.Олимжон</v>
          </cell>
          <cell r="E72" t="str">
            <v>Зафаробод</v>
          </cell>
          <cell r="F72">
            <v>68400</v>
          </cell>
          <cell r="H72">
            <v>17</v>
          </cell>
        </row>
        <row r="73">
          <cell r="A73">
            <v>736</v>
          </cell>
          <cell r="B73" t="str">
            <v>Мана-Сахар</v>
          </cell>
          <cell r="C73" t="str">
            <v>ф/х</v>
          </cell>
          <cell r="D73" t="str">
            <v>Х.Олимжон</v>
          </cell>
          <cell r="E73" t="str">
            <v>Зафаробод</v>
          </cell>
          <cell r="F73">
            <v>52800</v>
          </cell>
          <cell r="H73">
            <v>20</v>
          </cell>
        </row>
        <row r="74">
          <cell r="A74">
            <v>737</v>
          </cell>
          <cell r="B74" t="str">
            <v>Марди бобо1</v>
          </cell>
          <cell r="C74" t="str">
            <v>ф/х</v>
          </cell>
          <cell r="D74" t="str">
            <v>Х.Олимжон</v>
          </cell>
          <cell r="E74" t="str">
            <v>Зафаробод</v>
          </cell>
          <cell r="F74">
            <v>87400</v>
          </cell>
          <cell r="H74">
            <v>23</v>
          </cell>
        </row>
        <row r="75">
          <cell r="A75">
            <v>738</v>
          </cell>
          <cell r="B75" t="str">
            <v>Матонат</v>
          </cell>
          <cell r="C75" t="str">
            <v>ф/х</v>
          </cell>
          <cell r="D75" t="str">
            <v>Х.Олимжон</v>
          </cell>
          <cell r="E75" t="str">
            <v>Зафаробод</v>
          </cell>
          <cell r="F75">
            <v>72200</v>
          </cell>
          <cell r="H75">
            <v>18</v>
          </cell>
        </row>
        <row r="76">
          <cell r="A76">
            <v>739</v>
          </cell>
          <cell r="B76" t="str">
            <v>Маъмур</v>
          </cell>
          <cell r="C76" t="str">
            <v>ф/х</v>
          </cell>
          <cell r="D76" t="str">
            <v>Х.Олимжон</v>
          </cell>
          <cell r="E76" t="str">
            <v>Зафаробод</v>
          </cell>
          <cell r="F76">
            <v>36400</v>
          </cell>
          <cell r="H76">
            <v>17</v>
          </cell>
        </row>
        <row r="77">
          <cell r="A77">
            <v>740</v>
          </cell>
          <cell r="B77" t="str">
            <v>Мезон-Гул</v>
          </cell>
          <cell r="C77" t="str">
            <v>ф/х</v>
          </cell>
          <cell r="D77" t="str">
            <v>Х.Олимжон</v>
          </cell>
          <cell r="E77" t="str">
            <v>Зафаробод</v>
          </cell>
          <cell r="F77">
            <v>52000</v>
          </cell>
          <cell r="H77">
            <v>17</v>
          </cell>
        </row>
        <row r="78">
          <cell r="A78">
            <v>741</v>
          </cell>
          <cell r="B78" t="str">
            <v>Муаззам-Мазмут</v>
          </cell>
          <cell r="C78" t="str">
            <v>ф/х</v>
          </cell>
          <cell r="D78" t="str">
            <v>Х.Олимжон</v>
          </cell>
          <cell r="E78" t="str">
            <v>Зафаробод</v>
          </cell>
          <cell r="F78">
            <v>23300</v>
          </cell>
          <cell r="H78">
            <v>17</v>
          </cell>
        </row>
        <row r="79">
          <cell r="A79">
            <v>742</v>
          </cell>
          <cell r="B79" t="str">
            <v>Муз океан</v>
          </cell>
          <cell r="C79" t="str">
            <v>ф/х</v>
          </cell>
          <cell r="D79" t="str">
            <v>Х.Олимжон</v>
          </cell>
          <cell r="E79" t="str">
            <v>Зафаробод</v>
          </cell>
          <cell r="F79">
            <v>27300</v>
          </cell>
          <cell r="H79">
            <v>18</v>
          </cell>
        </row>
        <row r="80">
          <cell r="A80">
            <v>743</v>
          </cell>
          <cell r="B80" t="str">
            <v>Мусурмон ота</v>
          </cell>
          <cell r="C80" t="str">
            <v>ф/х</v>
          </cell>
          <cell r="D80" t="str">
            <v>Х.Олимжон</v>
          </cell>
          <cell r="E80" t="str">
            <v>Зафаробод</v>
          </cell>
          <cell r="F80">
            <v>32500</v>
          </cell>
          <cell r="H80">
            <v>18</v>
          </cell>
        </row>
        <row r="81">
          <cell r="A81">
            <v>744</v>
          </cell>
          <cell r="B81" t="str">
            <v>Немат Авалбоев</v>
          </cell>
          <cell r="C81" t="str">
            <v>ф/х</v>
          </cell>
          <cell r="D81" t="str">
            <v>Х.Олимжон</v>
          </cell>
          <cell r="E81" t="str">
            <v>Зафаробод</v>
          </cell>
          <cell r="F81">
            <v>7100</v>
          </cell>
          <cell r="H81">
            <v>18</v>
          </cell>
        </row>
        <row r="82">
          <cell r="A82">
            <v>745</v>
          </cell>
          <cell r="B82" t="str">
            <v>Нурбобо Исоков</v>
          </cell>
          <cell r="C82" t="str">
            <v>ф/х</v>
          </cell>
          <cell r="D82" t="str">
            <v>Х.Олимжон</v>
          </cell>
          <cell r="E82" t="str">
            <v>Зафаробод</v>
          </cell>
          <cell r="F82">
            <v>39300</v>
          </cell>
          <cell r="H82">
            <v>19</v>
          </cell>
        </row>
        <row r="83">
          <cell r="A83">
            <v>746</v>
          </cell>
          <cell r="B83" t="str">
            <v>Нуриддин Туракулов</v>
          </cell>
          <cell r="C83" t="str">
            <v>ф/х</v>
          </cell>
          <cell r="D83" t="str">
            <v>Х.Олимжон</v>
          </cell>
          <cell r="E83" t="str">
            <v>Зафаробод</v>
          </cell>
          <cell r="F83">
            <v>48500</v>
          </cell>
          <cell r="H83">
            <v>20</v>
          </cell>
        </row>
        <row r="84">
          <cell r="A84">
            <v>747</v>
          </cell>
          <cell r="B84" t="str">
            <v>Ойбек</v>
          </cell>
          <cell r="C84" t="str">
            <v>ф/х</v>
          </cell>
          <cell r="D84" t="str">
            <v>Х.Олимжон</v>
          </cell>
          <cell r="E84" t="str">
            <v>Зафаробод</v>
          </cell>
          <cell r="F84">
            <v>13000</v>
          </cell>
          <cell r="H84">
            <v>21</v>
          </cell>
        </row>
        <row r="85">
          <cell r="A85">
            <v>748</v>
          </cell>
          <cell r="B85" t="str">
            <v>Оллон кудук</v>
          </cell>
          <cell r="C85" t="str">
            <v>ф/х</v>
          </cell>
          <cell r="D85" t="str">
            <v>Х.Олимжон</v>
          </cell>
          <cell r="E85" t="str">
            <v>Зафаробод</v>
          </cell>
          <cell r="F85">
            <v>30900</v>
          </cell>
          <cell r="H85">
            <v>24</v>
          </cell>
        </row>
        <row r="86">
          <cell r="A86">
            <v>749</v>
          </cell>
          <cell r="B86" t="str">
            <v>Олмос-Мухаммад</v>
          </cell>
          <cell r="C86" t="str">
            <v>ф/х</v>
          </cell>
          <cell r="D86" t="str">
            <v>Х.Олимжон</v>
          </cell>
          <cell r="E86" t="str">
            <v>Зафаробод</v>
          </cell>
          <cell r="F86">
            <v>53700</v>
          </cell>
          <cell r="H86">
            <v>20</v>
          </cell>
        </row>
        <row r="87">
          <cell r="A87">
            <v>750</v>
          </cell>
          <cell r="B87" t="str">
            <v>Ориф-Маман</v>
          </cell>
          <cell r="C87" t="str">
            <v>ф/х</v>
          </cell>
          <cell r="D87" t="str">
            <v>Х.Олимжон</v>
          </cell>
          <cell r="E87" t="str">
            <v>Зафаробод</v>
          </cell>
          <cell r="F87">
            <v>45500</v>
          </cell>
          <cell r="H87">
            <v>22</v>
          </cell>
        </row>
        <row r="88">
          <cell r="A88">
            <v>751</v>
          </cell>
          <cell r="B88" t="str">
            <v>Рахмат дом</v>
          </cell>
          <cell r="C88" t="str">
            <v>ф/х</v>
          </cell>
          <cell r="D88" t="str">
            <v>Х.Олимжон</v>
          </cell>
          <cell r="E88" t="str">
            <v>Зафаробод</v>
          </cell>
          <cell r="F88">
            <v>9000</v>
          </cell>
          <cell r="H88">
            <v>21</v>
          </cell>
        </row>
        <row r="89">
          <cell r="A89">
            <v>752</v>
          </cell>
          <cell r="B89" t="str">
            <v>Рузиева Шахринисо</v>
          </cell>
          <cell r="C89" t="str">
            <v>ф/х</v>
          </cell>
          <cell r="D89" t="str">
            <v>Х.Олимжон</v>
          </cell>
          <cell r="E89" t="str">
            <v>Зафаробод</v>
          </cell>
          <cell r="F89">
            <v>3000</v>
          </cell>
          <cell r="H89">
            <v>20</v>
          </cell>
        </row>
        <row r="90">
          <cell r="A90">
            <v>753</v>
          </cell>
          <cell r="B90" t="str">
            <v>Садирсой</v>
          </cell>
          <cell r="C90" t="str">
            <v>ф/х</v>
          </cell>
          <cell r="D90" t="str">
            <v>Х.Олимжон</v>
          </cell>
          <cell r="E90" t="str">
            <v>Зафаробод</v>
          </cell>
          <cell r="F90">
            <v>17500</v>
          </cell>
          <cell r="H90">
            <v>19</v>
          </cell>
        </row>
        <row r="91">
          <cell r="A91">
            <v>754</v>
          </cell>
          <cell r="B91" t="str">
            <v>Сайхурд</v>
          </cell>
          <cell r="C91" t="str">
            <v>ф/х</v>
          </cell>
          <cell r="D91" t="str">
            <v>Х.Олимжон</v>
          </cell>
          <cell r="E91" t="str">
            <v>Зафаробод</v>
          </cell>
          <cell r="F91">
            <v>8800</v>
          </cell>
          <cell r="H91">
            <v>22</v>
          </cell>
        </row>
        <row r="92">
          <cell r="A92">
            <v>755</v>
          </cell>
          <cell r="B92" t="str">
            <v>Сароиб</v>
          </cell>
          <cell r="C92" t="str">
            <v>ф/х</v>
          </cell>
          <cell r="D92" t="str">
            <v>Х.Олимжон</v>
          </cell>
          <cell r="E92" t="str">
            <v>Зафаробод</v>
          </cell>
          <cell r="F92">
            <v>60500</v>
          </cell>
          <cell r="H92">
            <v>22</v>
          </cell>
        </row>
        <row r="93">
          <cell r="A93">
            <v>756</v>
          </cell>
          <cell r="B93" t="str">
            <v>Синдор ота</v>
          </cell>
          <cell r="C93" t="str">
            <v>ф/х</v>
          </cell>
          <cell r="D93" t="str">
            <v>Х.Олимжон</v>
          </cell>
          <cell r="E93" t="str">
            <v>Зафаробод</v>
          </cell>
          <cell r="F93">
            <v>68900</v>
          </cell>
          <cell r="H93">
            <v>18</v>
          </cell>
        </row>
        <row r="94">
          <cell r="A94">
            <v>757</v>
          </cell>
          <cell r="B94" t="str">
            <v>Сирож</v>
          </cell>
          <cell r="C94" t="str">
            <v>ф/х</v>
          </cell>
          <cell r="D94" t="str">
            <v>Х.Олимжон</v>
          </cell>
          <cell r="E94" t="str">
            <v>Зафаробод</v>
          </cell>
          <cell r="F94">
            <v>113900</v>
          </cell>
          <cell r="H94">
            <v>17</v>
          </cell>
        </row>
        <row r="95">
          <cell r="A95">
            <v>758</v>
          </cell>
          <cell r="B95" t="str">
            <v>Солжукбек</v>
          </cell>
          <cell r="C95" t="str">
            <v>ф/х</v>
          </cell>
          <cell r="D95" t="str">
            <v>Х.Олимжон</v>
          </cell>
          <cell r="E95" t="str">
            <v>Зафаробод</v>
          </cell>
          <cell r="F95">
            <v>18200</v>
          </cell>
          <cell r="H95">
            <v>20</v>
          </cell>
        </row>
        <row r="96">
          <cell r="A96">
            <v>759</v>
          </cell>
          <cell r="B96" t="str">
            <v>Субон бобо</v>
          </cell>
          <cell r="C96" t="str">
            <v>ф/х</v>
          </cell>
          <cell r="D96" t="str">
            <v>Х.Олимжон</v>
          </cell>
          <cell r="E96" t="str">
            <v>Зафаробод</v>
          </cell>
          <cell r="F96">
            <v>19200</v>
          </cell>
          <cell r="H96">
            <v>17</v>
          </cell>
        </row>
        <row r="97">
          <cell r="A97">
            <v>760</v>
          </cell>
          <cell r="B97" t="str">
            <v>Сугдиёна</v>
          </cell>
          <cell r="C97" t="str">
            <v>ф/х</v>
          </cell>
          <cell r="D97" t="str">
            <v>Х.Олимжон</v>
          </cell>
          <cell r="E97" t="str">
            <v>Зафаробод</v>
          </cell>
          <cell r="F97">
            <v>30800</v>
          </cell>
          <cell r="H97">
            <v>20</v>
          </cell>
        </row>
        <row r="98">
          <cell r="A98">
            <v>761</v>
          </cell>
          <cell r="B98" t="str">
            <v>Тилов ота</v>
          </cell>
          <cell r="C98" t="str">
            <v>ф/х</v>
          </cell>
          <cell r="D98" t="str">
            <v>Х.Олимжон</v>
          </cell>
          <cell r="E98" t="str">
            <v>Зафаробод</v>
          </cell>
          <cell r="F98">
            <v>68700</v>
          </cell>
          <cell r="H98">
            <v>20</v>
          </cell>
        </row>
        <row r="99">
          <cell r="A99">
            <v>762</v>
          </cell>
          <cell r="B99" t="str">
            <v>Тулгоной</v>
          </cell>
          <cell r="C99" t="str">
            <v>ф/х</v>
          </cell>
          <cell r="D99" t="str">
            <v>Х.Олимжон</v>
          </cell>
          <cell r="E99" t="str">
            <v>Зафаробод</v>
          </cell>
          <cell r="F99">
            <v>87800</v>
          </cell>
          <cell r="H99">
            <v>18</v>
          </cell>
        </row>
        <row r="100">
          <cell r="A100">
            <v>763</v>
          </cell>
          <cell r="B100" t="str">
            <v>Турабек</v>
          </cell>
          <cell r="C100" t="str">
            <v>ф/х</v>
          </cell>
          <cell r="D100" t="str">
            <v>Х.Олимжон</v>
          </cell>
          <cell r="E100" t="str">
            <v>Зафаробод</v>
          </cell>
          <cell r="F100">
            <v>21000</v>
          </cell>
          <cell r="H100">
            <v>18</v>
          </cell>
        </row>
        <row r="101">
          <cell r="A101">
            <v>764</v>
          </cell>
          <cell r="B101" t="str">
            <v>Туфаланг</v>
          </cell>
          <cell r="C101" t="str">
            <v>ф/х</v>
          </cell>
          <cell r="D101" t="str">
            <v>Х.Олимжон</v>
          </cell>
          <cell r="E101" t="str">
            <v>Зафаробод</v>
          </cell>
          <cell r="F101">
            <v>30000</v>
          </cell>
          <cell r="H101">
            <v>20</v>
          </cell>
        </row>
        <row r="102">
          <cell r="A102">
            <v>766</v>
          </cell>
          <cell r="B102" t="str">
            <v>Феруз</v>
          </cell>
          <cell r="C102" t="str">
            <v>ф/х</v>
          </cell>
          <cell r="D102" t="str">
            <v>Х.Олимжон</v>
          </cell>
          <cell r="E102" t="str">
            <v>Зафаробод</v>
          </cell>
          <cell r="F102">
            <v>80600</v>
          </cell>
          <cell r="H102">
            <v>22</v>
          </cell>
        </row>
        <row r="103">
          <cell r="A103">
            <v>767</v>
          </cell>
          <cell r="B103" t="str">
            <v>Феруза Мамирова</v>
          </cell>
          <cell r="C103" t="str">
            <v>ф/х</v>
          </cell>
          <cell r="D103" t="str">
            <v>Х.Олимжон</v>
          </cell>
          <cell r="E103" t="str">
            <v>Зафаробод</v>
          </cell>
          <cell r="F103">
            <v>25700</v>
          </cell>
          <cell r="H103">
            <v>17</v>
          </cell>
        </row>
        <row r="104">
          <cell r="A104">
            <v>768</v>
          </cell>
          <cell r="B104" t="str">
            <v>Фуркат</v>
          </cell>
          <cell r="C104" t="str">
            <v>ф/х</v>
          </cell>
          <cell r="D104" t="str">
            <v>Х.Олимжон</v>
          </cell>
          <cell r="E104" t="str">
            <v>Зафаробод</v>
          </cell>
          <cell r="F104">
            <v>86500</v>
          </cell>
          <cell r="H104">
            <v>18</v>
          </cell>
        </row>
        <row r="105">
          <cell r="A105">
            <v>769</v>
          </cell>
          <cell r="B105" t="str">
            <v>Худоёрхон</v>
          </cell>
          <cell r="C105" t="str">
            <v>ф/х</v>
          </cell>
          <cell r="D105" t="str">
            <v>Х.Олимжон</v>
          </cell>
          <cell r="E105" t="str">
            <v>Зафаробод</v>
          </cell>
          <cell r="F105">
            <v>100000</v>
          </cell>
          <cell r="H105">
            <v>17</v>
          </cell>
        </row>
        <row r="106">
          <cell r="A106">
            <v>770</v>
          </cell>
          <cell r="B106" t="str">
            <v>Худойберди ота</v>
          </cell>
          <cell r="C106" t="str">
            <v>ф/х</v>
          </cell>
          <cell r="D106" t="str">
            <v>Х.Олимжон</v>
          </cell>
          <cell r="E106" t="str">
            <v>Зафаробод</v>
          </cell>
          <cell r="F106">
            <v>17900</v>
          </cell>
          <cell r="H106">
            <v>24</v>
          </cell>
        </row>
        <row r="107">
          <cell r="A107">
            <v>771</v>
          </cell>
          <cell r="B107" t="str">
            <v>Хулкар</v>
          </cell>
          <cell r="C107" t="str">
            <v>ф/х</v>
          </cell>
          <cell r="D107" t="str">
            <v>Х.Олимжон</v>
          </cell>
          <cell r="E107" t="str">
            <v>Зафаробод</v>
          </cell>
          <cell r="F107">
            <v>34700</v>
          </cell>
          <cell r="H107">
            <v>17</v>
          </cell>
        </row>
        <row r="108">
          <cell r="A108">
            <v>772</v>
          </cell>
          <cell r="B108" t="str">
            <v>Хумо-Хол</v>
          </cell>
          <cell r="C108" t="str">
            <v>ф/х</v>
          </cell>
          <cell r="D108" t="str">
            <v>Х.Олимжон</v>
          </cell>
          <cell r="E108" t="str">
            <v>Зафаробод</v>
          </cell>
          <cell r="F108">
            <v>75100</v>
          </cell>
          <cell r="H108">
            <v>17</v>
          </cell>
        </row>
        <row r="109">
          <cell r="A109">
            <v>773</v>
          </cell>
          <cell r="B109" t="str">
            <v>Хур диёр орзуси</v>
          </cell>
          <cell r="C109" t="str">
            <v>ф/х</v>
          </cell>
          <cell r="D109" t="str">
            <v>Х.Олимжон</v>
          </cell>
          <cell r="E109" t="str">
            <v>Зафаробод</v>
          </cell>
          <cell r="F109">
            <v>43200</v>
          </cell>
          <cell r="H109">
            <v>18</v>
          </cell>
        </row>
        <row r="110">
          <cell r="A110">
            <v>774</v>
          </cell>
          <cell r="B110" t="str">
            <v>Чингизхон</v>
          </cell>
          <cell r="C110" t="str">
            <v>ф/х</v>
          </cell>
          <cell r="D110" t="str">
            <v>Х.Олимжон</v>
          </cell>
          <cell r="E110" t="str">
            <v>Зафаробод</v>
          </cell>
          <cell r="F110">
            <v>60800</v>
          </cell>
          <cell r="H110">
            <v>19</v>
          </cell>
        </row>
        <row r="111">
          <cell r="A111">
            <v>775</v>
          </cell>
          <cell r="B111" t="str">
            <v>Шерзот</v>
          </cell>
          <cell r="C111" t="str">
            <v>ф/х</v>
          </cell>
          <cell r="D111" t="str">
            <v>Х.Олимжон</v>
          </cell>
          <cell r="E111" t="str">
            <v>Зафаробод</v>
          </cell>
          <cell r="F111">
            <v>112800</v>
          </cell>
          <cell r="H111">
            <v>22</v>
          </cell>
        </row>
        <row r="112">
          <cell r="A112">
            <v>776</v>
          </cell>
          <cell r="B112" t="str">
            <v>Шухрат-1</v>
          </cell>
          <cell r="C112" t="str">
            <v>ф/х</v>
          </cell>
          <cell r="D112" t="str">
            <v>Х.Олимжон</v>
          </cell>
          <cell r="E112" t="str">
            <v>Зафаробод</v>
          </cell>
          <cell r="F112">
            <v>24900</v>
          </cell>
          <cell r="H112">
            <v>19</v>
          </cell>
        </row>
        <row r="113">
          <cell r="A113">
            <v>777</v>
          </cell>
          <cell r="B113" t="str">
            <v>Элёр-Сардор</v>
          </cell>
          <cell r="C113" t="str">
            <v>ф/х</v>
          </cell>
          <cell r="D113" t="str">
            <v>Х.Олимжон</v>
          </cell>
          <cell r="E113" t="str">
            <v>Зафаробод</v>
          </cell>
          <cell r="F113">
            <v>27000</v>
          </cell>
          <cell r="H113">
            <v>18</v>
          </cell>
        </row>
        <row r="114">
          <cell r="A114">
            <v>778</v>
          </cell>
          <cell r="B114" t="str">
            <v>Эргаш-Шербек</v>
          </cell>
          <cell r="C114" t="str">
            <v>ф/х</v>
          </cell>
          <cell r="D114" t="str">
            <v>Х.Олимжон</v>
          </cell>
          <cell r="E114" t="str">
            <v>Зафаробод</v>
          </cell>
          <cell r="F114">
            <v>21300</v>
          </cell>
          <cell r="H114">
            <v>15</v>
          </cell>
        </row>
        <row r="115">
          <cell r="A115">
            <v>779</v>
          </cell>
          <cell r="B115" t="str">
            <v>Эсанбой Умаров</v>
          </cell>
          <cell r="C115" t="str">
            <v>ф/х</v>
          </cell>
          <cell r="D115" t="str">
            <v>Х.Олимжон</v>
          </cell>
          <cell r="E115" t="str">
            <v>Зафаробод</v>
          </cell>
          <cell r="F115">
            <v>31000</v>
          </cell>
          <cell r="H115">
            <v>18</v>
          </cell>
        </row>
        <row r="116">
          <cell r="A116">
            <v>765</v>
          </cell>
          <cell r="B116" t="str">
            <v>Улуг-Тожибой</v>
          </cell>
          <cell r="C116" t="str">
            <v>б/т</v>
          </cell>
          <cell r="D116" t="str">
            <v>Х.Олимжон</v>
          </cell>
          <cell r="E116" t="str">
            <v>Зафаробод</v>
          </cell>
          <cell r="F116">
            <v>15500</v>
          </cell>
          <cell r="H116">
            <v>21</v>
          </cell>
        </row>
        <row r="117">
          <cell r="A117">
            <v>650</v>
          </cell>
          <cell r="B117" t="str">
            <v>CASSIO</v>
          </cell>
          <cell r="C117" t="str">
            <v>ф/х</v>
          </cell>
          <cell r="D117" t="str">
            <v>Ф.Хужаев</v>
          </cell>
          <cell r="E117" t="str">
            <v>Зафаробод</v>
          </cell>
          <cell r="F117">
            <v>13900</v>
          </cell>
          <cell r="H117">
            <v>17</v>
          </cell>
        </row>
        <row r="118">
          <cell r="A118">
            <v>651</v>
          </cell>
          <cell r="B118" t="str">
            <v>Аббос-Шахзод</v>
          </cell>
          <cell r="C118" t="str">
            <v>ф/х</v>
          </cell>
          <cell r="D118" t="str">
            <v>Ф.Хужаев</v>
          </cell>
          <cell r="E118" t="str">
            <v>Зафаробод</v>
          </cell>
          <cell r="F118">
            <v>29600</v>
          </cell>
          <cell r="J118">
            <v>8</v>
          </cell>
        </row>
        <row r="119">
          <cell r="A119">
            <v>652</v>
          </cell>
          <cell r="B119" t="str">
            <v>Азия-Д</v>
          </cell>
          <cell r="C119" t="str">
            <v>ф/х</v>
          </cell>
          <cell r="D119" t="str">
            <v>Ф.Хужаев</v>
          </cell>
          <cell r="E119" t="str">
            <v>Зафаробод</v>
          </cell>
          <cell r="F119">
            <v>16300</v>
          </cell>
          <cell r="J119">
            <v>5</v>
          </cell>
        </row>
        <row r="120">
          <cell r="A120">
            <v>653</v>
          </cell>
          <cell r="B120" t="str">
            <v>Албарегум</v>
          </cell>
          <cell r="C120" t="str">
            <v>ф/х</v>
          </cell>
          <cell r="D120" t="str">
            <v>Ф.Хужаев</v>
          </cell>
          <cell r="E120" t="str">
            <v>Зафаробод</v>
          </cell>
          <cell r="F120">
            <v>30200</v>
          </cell>
          <cell r="J120">
            <v>8</v>
          </cell>
        </row>
        <row r="121">
          <cell r="A121">
            <v>654</v>
          </cell>
          <cell r="B121" t="str">
            <v xml:space="preserve">Бехзод-Алишер </v>
          </cell>
          <cell r="C121" t="str">
            <v>ф/х</v>
          </cell>
          <cell r="D121" t="str">
            <v>Ф.Хужаев</v>
          </cell>
          <cell r="E121" t="str">
            <v>Зафаробод</v>
          </cell>
          <cell r="F121">
            <v>17300</v>
          </cell>
          <cell r="J121">
            <v>8</v>
          </cell>
        </row>
        <row r="122">
          <cell r="A122">
            <v>655</v>
          </cell>
          <cell r="B122" t="str">
            <v>Бодом тог</v>
          </cell>
          <cell r="C122" t="str">
            <v>ф/х</v>
          </cell>
          <cell r="D122" t="str">
            <v>Ф.Хужаев</v>
          </cell>
          <cell r="E122" t="str">
            <v>Зафаробод</v>
          </cell>
          <cell r="F122">
            <v>19600</v>
          </cell>
          <cell r="J122">
            <v>5</v>
          </cell>
        </row>
        <row r="123">
          <cell r="A123">
            <v>656</v>
          </cell>
          <cell r="B123" t="str">
            <v>Ботирхон</v>
          </cell>
          <cell r="C123" t="str">
            <v>ф/х</v>
          </cell>
          <cell r="D123" t="str">
            <v>Ф.Хужаев</v>
          </cell>
          <cell r="E123" t="str">
            <v>Зафаробод</v>
          </cell>
          <cell r="F123">
            <v>25000</v>
          </cell>
          <cell r="J123">
            <v>5</v>
          </cell>
        </row>
        <row r="124">
          <cell r="A124">
            <v>657</v>
          </cell>
          <cell r="B124" t="str">
            <v>Бунёд-Шер</v>
          </cell>
          <cell r="C124" t="str">
            <v>ф/х</v>
          </cell>
          <cell r="D124" t="str">
            <v>Ф.Хужаев</v>
          </cell>
          <cell r="E124" t="str">
            <v>Зафаробод</v>
          </cell>
          <cell r="F124">
            <v>14000</v>
          </cell>
          <cell r="J124">
            <v>6</v>
          </cell>
        </row>
        <row r="125">
          <cell r="A125">
            <v>658</v>
          </cell>
          <cell r="B125" t="str">
            <v>Гайрат</v>
          </cell>
          <cell r="C125" t="str">
            <v>ф/х</v>
          </cell>
          <cell r="D125" t="str">
            <v>Ф.Хужаев</v>
          </cell>
          <cell r="E125" t="str">
            <v>Зафаробод</v>
          </cell>
          <cell r="F125">
            <v>15000</v>
          </cell>
          <cell r="J125">
            <v>6</v>
          </cell>
        </row>
        <row r="126">
          <cell r="A126">
            <v>659</v>
          </cell>
          <cell r="B126" t="str">
            <v>Гараша</v>
          </cell>
          <cell r="C126" t="str">
            <v>ф/х</v>
          </cell>
          <cell r="D126" t="str">
            <v>Ф.Хужаев</v>
          </cell>
          <cell r="E126" t="str">
            <v>Зафаробод</v>
          </cell>
          <cell r="F126">
            <v>32400</v>
          </cell>
          <cell r="J126">
            <v>6</v>
          </cell>
        </row>
        <row r="127">
          <cell r="A127">
            <v>660</v>
          </cell>
          <cell r="B127" t="str">
            <v>Даврон ота</v>
          </cell>
          <cell r="C127" t="str">
            <v>ф/х</v>
          </cell>
          <cell r="D127" t="str">
            <v>Ф.Хужаев</v>
          </cell>
          <cell r="E127" t="str">
            <v>Зафаробод</v>
          </cell>
          <cell r="F127">
            <v>24500</v>
          </cell>
          <cell r="J127">
            <v>4</v>
          </cell>
        </row>
        <row r="128">
          <cell r="A128">
            <v>661</v>
          </cell>
          <cell r="B128" t="str">
            <v>Даврон юлдузи</v>
          </cell>
          <cell r="C128" t="str">
            <v>ф/х</v>
          </cell>
          <cell r="D128" t="str">
            <v>Ф.Хужаев</v>
          </cell>
          <cell r="E128" t="str">
            <v>Зафаробод</v>
          </cell>
          <cell r="F128">
            <v>27900</v>
          </cell>
          <cell r="J128">
            <v>4</v>
          </cell>
        </row>
        <row r="129">
          <cell r="A129">
            <v>662</v>
          </cell>
          <cell r="B129" t="str">
            <v>Дилмурод</v>
          </cell>
          <cell r="C129" t="str">
            <v>ф/х</v>
          </cell>
          <cell r="D129" t="str">
            <v>Ф.Хужаев</v>
          </cell>
          <cell r="E129" t="str">
            <v>Зафаробод</v>
          </cell>
          <cell r="F129">
            <v>96000</v>
          </cell>
          <cell r="J129">
            <v>8</v>
          </cell>
        </row>
        <row r="130">
          <cell r="A130">
            <v>663</v>
          </cell>
          <cell r="B130" t="str">
            <v>Дилшод-Бобобек</v>
          </cell>
          <cell r="C130" t="str">
            <v>ф/х</v>
          </cell>
          <cell r="D130" t="str">
            <v>Ф.Хужаев</v>
          </cell>
          <cell r="E130" t="str">
            <v>Зафаробод</v>
          </cell>
          <cell r="F130">
            <v>10000</v>
          </cell>
          <cell r="J130">
            <v>6</v>
          </cell>
        </row>
        <row r="131">
          <cell r="A131">
            <v>664</v>
          </cell>
          <cell r="B131" t="str">
            <v>Жиловдор бобо</v>
          </cell>
          <cell r="C131" t="str">
            <v>ф/х</v>
          </cell>
          <cell r="D131" t="str">
            <v>Ф.Хужаев</v>
          </cell>
          <cell r="E131" t="str">
            <v>Зафаробод</v>
          </cell>
          <cell r="F131">
            <v>15100</v>
          </cell>
          <cell r="J131">
            <v>8</v>
          </cell>
        </row>
        <row r="132">
          <cell r="A132">
            <v>665</v>
          </cell>
          <cell r="B132" t="str">
            <v>Зайнак-Малик</v>
          </cell>
          <cell r="C132" t="str">
            <v>ф/х</v>
          </cell>
          <cell r="D132" t="str">
            <v>Ф.Хужаев</v>
          </cell>
          <cell r="E132" t="str">
            <v>Зафаробод</v>
          </cell>
          <cell r="F132">
            <v>8000</v>
          </cell>
          <cell r="J132">
            <v>6</v>
          </cell>
        </row>
        <row r="133">
          <cell r="A133">
            <v>666</v>
          </cell>
          <cell r="B133" t="str">
            <v>Зарафшон</v>
          </cell>
          <cell r="C133" t="str">
            <v>ф/х</v>
          </cell>
          <cell r="D133" t="str">
            <v>Ф.Хужаев</v>
          </cell>
          <cell r="E133" t="str">
            <v>Зафаробод</v>
          </cell>
          <cell r="F133">
            <v>12200</v>
          </cell>
          <cell r="J133">
            <v>8</v>
          </cell>
        </row>
        <row r="134">
          <cell r="A134">
            <v>667</v>
          </cell>
          <cell r="B134" t="str">
            <v>Ислом ота</v>
          </cell>
          <cell r="C134" t="str">
            <v>ф/х</v>
          </cell>
          <cell r="D134" t="str">
            <v>Ф.Хужаев</v>
          </cell>
          <cell r="E134" t="str">
            <v>Зафаробод</v>
          </cell>
          <cell r="F134">
            <v>43300</v>
          </cell>
          <cell r="J134">
            <v>8</v>
          </cell>
        </row>
        <row r="135">
          <cell r="A135">
            <v>668</v>
          </cell>
          <cell r="B135" t="str">
            <v>Ислом-Азамат</v>
          </cell>
          <cell r="C135" t="str">
            <v>ф/х</v>
          </cell>
          <cell r="D135" t="str">
            <v>Ф.Хужаев</v>
          </cell>
          <cell r="E135" t="str">
            <v>Зафаробод</v>
          </cell>
          <cell r="F135">
            <v>6700</v>
          </cell>
          <cell r="J135">
            <v>4</v>
          </cell>
        </row>
        <row r="136">
          <cell r="A136">
            <v>669</v>
          </cell>
          <cell r="B136" t="str">
            <v>Кораобдол</v>
          </cell>
          <cell r="C136" t="str">
            <v>ф/х</v>
          </cell>
          <cell r="D136" t="str">
            <v>Ф.Хужаев</v>
          </cell>
          <cell r="E136" t="str">
            <v>Зафаробод</v>
          </cell>
          <cell r="F136">
            <v>3700</v>
          </cell>
          <cell r="J136">
            <v>5</v>
          </cell>
        </row>
        <row r="137">
          <cell r="A137">
            <v>670</v>
          </cell>
          <cell r="B137" t="str">
            <v>Лазизбек-Байрамбек</v>
          </cell>
          <cell r="C137" t="str">
            <v>ф/х</v>
          </cell>
          <cell r="D137" t="str">
            <v>Ф.Хужаев</v>
          </cell>
          <cell r="E137" t="str">
            <v>Зафаробод</v>
          </cell>
          <cell r="F137">
            <v>20200</v>
          </cell>
          <cell r="J137">
            <v>4</v>
          </cell>
        </row>
        <row r="138">
          <cell r="A138">
            <v>671</v>
          </cell>
          <cell r="B138" t="str">
            <v>Лазизбек-Назарбек</v>
          </cell>
          <cell r="C138" t="str">
            <v>ф/х</v>
          </cell>
          <cell r="D138" t="str">
            <v>Ф.Хужаев</v>
          </cell>
          <cell r="E138" t="str">
            <v>Зафаробод</v>
          </cell>
          <cell r="F138">
            <v>8000</v>
          </cell>
          <cell r="J138">
            <v>5</v>
          </cell>
        </row>
        <row r="139">
          <cell r="A139">
            <v>672</v>
          </cell>
          <cell r="B139" t="str">
            <v>Мамай</v>
          </cell>
          <cell r="C139" t="str">
            <v>ф/х</v>
          </cell>
          <cell r="D139" t="str">
            <v>Ф.Хужаев</v>
          </cell>
          <cell r="E139" t="str">
            <v>Зафаробод</v>
          </cell>
          <cell r="F139">
            <v>34000</v>
          </cell>
          <cell r="J139">
            <v>6</v>
          </cell>
        </row>
        <row r="140">
          <cell r="A140">
            <v>673</v>
          </cell>
          <cell r="B140" t="str">
            <v>Миржалол-М</v>
          </cell>
          <cell r="C140" t="str">
            <v>ф/х</v>
          </cell>
          <cell r="D140" t="str">
            <v>Ф.Хужаев</v>
          </cell>
          <cell r="E140" t="str">
            <v>Зафаробод</v>
          </cell>
          <cell r="F140">
            <v>28800</v>
          </cell>
          <cell r="J140">
            <v>4</v>
          </cell>
        </row>
        <row r="141">
          <cell r="A141">
            <v>674</v>
          </cell>
          <cell r="B141" t="str">
            <v>Навбахор</v>
          </cell>
          <cell r="C141" t="str">
            <v>ф/х</v>
          </cell>
          <cell r="D141" t="str">
            <v>Ф.Хужаев</v>
          </cell>
          <cell r="E141" t="str">
            <v>Зафаробод</v>
          </cell>
          <cell r="F141">
            <v>22400</v>
          </cell>
          <cell r="J141">
            <v>6</v>
          </cell>
        </row>
        <row r="142">
          <cell r="A142">
            <v>675</v>
          </cell>
          <cell r="B142" t="str">
            <v>Нажубулло</v>
          </cell>
          <cell r="C142" t="str">
            <v>ф/х</v>
          </cell>
          <cell r="D142" t="str">
            <v>Ф.Хужаев</v>
          </cell>
          <cell r="E142" t="str">
            <v>Зафаробод</v>
          </cell>
          <cell r="F142">
            <v>6700</v>
          </cell>
          <cell r="J142">
            <v>4</v>
          </cell>
        </row>
        <row r="143">
          <cell r="A143">
            <v>676</v>
          </cell>
          <cell r="B143" t="str">
            <v>Нурафшон</v>
          </cell>
          <cell r="C143" t="str">
            <v>ф/х</v>
          </cell>
          <cell r="D143" t="str">
            <v>Ф.Хужаев</v>
          </cell>
          <cell r="E143" t="str">
            <v>Зафаробод</v>
          </cell>
          <cell r="F143">
            <v>9000</v>
          </cell>
          <cell r="J143">
            <v>6</v>
          </cell>
        </row>
        <row r="144">
          <cell r="A144">
            <v>677</v>
          </cell>
          <cell r="B144" t="str">
            <v>Нурота-чашма</v>
          </cell>
          <cell r="C144" t="str">
            <v>ф/х</v>
          </cell>
          <cell r="D144" t="str">
            <v>Ф.Хужаев</v>
          </cell>
          <cell r="E144" t="str">
            <v>Зафаробод</v>
          </cell>
          <cell r="F144">
            <v>7800</v>
          </cell>
          <cell r="J144">
            <v>4</v>
          </cell>
        </row>
        <row r="145">
          <cell r="A145">
            <v>678</v>
          </cell>
          <cell r="B145" t="str">
            <v>Обит-Нур</v>
          </cell>
          <cell r="C145" t="str">
            <v>ф/х</v>
          </cell>
          <cell r="D145" t="str">
            <v>Ф.Хужаев</v>
          </cell>
          <cell r="E145" t="str">
            <v>Зафаробод</v>
          </cell>
          <cell r="F145">
            <v>13000</v>
          </cell>
          <cell r="J145">
            <v>6</v>
          </cell>
        </row>
        <row r="146">
          <cell r="A146">
            <v>679</v>
          </cell>
          <cell r="B146" t="str">
            <v>Озод</v>
          </cell>
          <cell r="C146" t="str">
            <v>ф/х</v>
          </cell>
          <cell r="D146" t="str">
            <v>Ф.Хужаев</v>
          </cell>
          <cell r="E146" t="str">
            <v>Зафаробод</v>
          </cell>
          <cell r="F146">
            <v>49200</v>
          </cell>
          <cell r="J146">
            <v>2</v>
          </cell>
        </row>
        <row r="147">
          <cell r="A147">
            <v>680</v>
          </cell>
          <cell r="B147" t="str">
            <v>Ок-чакмок</v>
          </cell>
          <cell r="C147" t="str">
            <v>ф/х</v>
          </cell>
          <cell r="D147" t="str">
            <v>Ф.Хужаев</v>
          </cell>
          <cell r="E147" t="str">
            <v>Зафаробод</v>
          </cell>
          <cell r="F147">
            <v>15900</v>
          </cell>
          <cell r="J147">
            <v>2</v>
          </cell>
        </row>
        <row r="148">
          <cell r="A148">
            <v>681</v>
          </cell>
          <cell r="B148" t="str">
            <v>Омонбой</v>
          </cell>
          <cell r="C148" t="str">
            <v>ф/х</v>
          </cell>
          <cell r="D148" t="str">
            <v>Ф.Хужаев</v>
          </cell>
          <cell r="E148" t="str">
            <v>Зафаробод</v>
          </cell>
          <cell r="F148">
            <v>20400</v>
          </cell>
          <cell r="J148">
            <v>6</v>
          </cell>
        </row>
        <row r="149">
          <cell r="A149">
            <v>682</v>
          </cell>
          <cell r="B149" t="str">
            <v>Омон-Жума</v>
          </cell>
          <cell r="C149" t="str">
            <v>ф/х</v>
          </cell>
          <cell r="D149" t="str">
            <v>Ф.Хужаев</v>
          </cell>
          <cell r="E149" t="str">
            <v>Зафаробод</v>
          </cell>
          <cell r="F149">
            <v>37000</v>
          </cell>
          <cell r="J149">
            <v>2</v>
          </cell>
        </row>
        <row r="150">
          <cell r="A150">
            <v>683</v>
          </cell>
          <cell r="B150" t="str">
            <v>Орзу-Холмурод</v>
          </cell>
          <cell r="C150" t="str">
            <v>ф/х</v>
          </cell>
          <cell r="D150" t="str">
            <v>Ф.Хужаев</v>
          </cell>
          <cell r="E150" t="str">
            <v>Зафаробод</v>
          </cell>
          <cell r="F150">
            <v>13700</v>
          </cell>
          <cell r="J150">
            <v>6</v>
          </cell>
        </row>
        <row r="151">
          <cell r="A151">
            <v>684</v>
          </cell>
          <cell r="B151" t="str">
            <v>Помир</v>
          </cell>
          <cell r="C151" t="str">
            <v>ф/х</v>
          </cell>
          <cell r="D151" t="str">
            <v>Ф.Хужаев</v>
          </cell>
          <cell r="E151" t="str">
            <v>Зафаробод</v>
          </cell>
          <cell r="F151">
            <v>12300</v>
          </cell>
          <cell r="J151">
            <v>6</v>
          </cell>
        </row>
        <row r="152">
          <cell r="A152">
            <v>685</v>
          </cell>
          <cell r="B152" t="str">
            <v>Пулат</v>
          </cell>
          <cell r="C152" t="str">
            <v>ф/х</v>
          </cell>
          <cell r="D152" t="str">
            <v>Ф.Хужаев</v>
          </cell>
          <cell r="E152" t="str">
            <v>Зафаробод</v>
          </cell>
          <cell r="F152">
            <v>12200</v>
          </cell>
          <cell r="J152">
            <v>6</v>
          </cell>
        </row>
        <row r="153">
          <cell r="A153">
            <v>686</v>
          </cell>
          <cell r="B153" t="str">
            <v>Сайхун</v>
          </cell>
          <cell r="C153" t="str">
            <v>ф/х</v>
          </cell>
          <cell r="D153" t="str">
            <v>Ф.Хужаев</v>
          </cell>
          <cell r="E153" t="str">
            <v>Зафаробод</v>
          </cell>
          <cell r="F153">
            <v>35400</v>
          </cell>
          <cell r="J153">
            <v>6</v>
          </cell>
        </row>
        <row r="154">
          <cell r="A154">
            <v>687</v>
          </cell>
          <cell r="B154" t="str">
            <v>Самовит-Суворий</v>
          </cell>
          <cell r="C154" t="str">
            <v>ф/х</v>
          </cell>
          <cell r="D154" t="str">
            <v>Ф.Хужаев</v>
          </cell>
          <cell r="E154" t="str">
            <v>Зафаробод</v>
          </cell>
          <cell r="F154">
            <v>20000</v>
          </cell>
          <cell r="J154">
            <v>6</v>
          </cell>
        </row>
        <row r="155">
          <cell r="A155">
            <v>688</v>
          </cell>
          <cell r="B155" t="str">
            <v>Семуруг</v>
          </cell>
          <cell r="C155" t="str">
            <v>ф/х</v>
          </cell>
          <cell r="D155" t="str">
            <v>Ф.Хужаев</v>
          </cell>
          <cell r="E155" t="str">
            <v>Зафаробод</v>
          </cell>
          <cell r="F155">
            <v>23900</v>
          </cell>
          <cell r="J155">
            <v>6</v>
          </cell>
        </row>
        <row r="156">
          <cell r="A156">
            <v>689</v>
          </cell>
          <cell r="B156" t="str">
            <v>Темир ковук</v>
          </cell>
          <cell r="C156" t="str">
            <v>ф/х</v>
          </cell>
          <cell r="D156" t="str">
            <v>Ф.Хужаев</v>
          </cell>
          <cell r="E156" t="str">
            <v>Зафаробод</v>
          </cell>
          <cell r="F156">
            <v>15500</v>
          </cell>
          <cell r="J156">
            <v>6</v>
          </cell>
        </row>
        <row r="157">
          <cell r="A157">
            <v>690</v>
          </cell>
          <cell r="B157" t="str">
            <v>Тугилов Алижон</v>
          </cell>
          <cell r="C157" t="str">
            <v>ф/х</v>
          </cell>
          <cell r="D157" t="str">
            <v>Ф.Хужаев</v>
          </cell>
          <cell r="E157" t="str">
            <v>Зафаробод</v>
          </cell>
          <cell r="F157">
            <v>14200</v>
          </cell>
          <cell r="J157">
            <v>6</v>
          </cell>
        </row>
        <row r="158">
          <cell r="A158">
            <v>691</v>
          </cell>
          <cell r="B158" t="str">
            <v>Унар ота</v>
          </cell>
          <cell r="C158" t="str">
            <v>ф/х</v>
          </cell>
          <cell r="D158" t="str">
            <v>Ф.Хужаев</v>
          </cell>
          <cell r="E158" t="str">
            <v>Зафаробод</v>
          </cell>
          <cell r="F158">
            <v>10800</v>
          </cell>
          <cell r="J158">
            <v>5</v>
          </cell>
        </row>
        <row r="159">
          <cell r="A159">
            <v>692</v>
          </cell>
          <cell r="B159" t="str">
            <v>Усмон ота</v>
          </cell>
          <cell r="C159" t="str">
            <v>ф/х</v>
          </cell>
          <cell r="D159" t="str">
            <v>Ф.Хужаев</v>
          </cell>
          <cell r="E159" t="str">
            <v>Зафаробод</v>
          </cell>
          <cell r="F159">
            <v>46500</v>
          </cell>
          <cell r="J159">
            <v>6</v>
          </cell>
        </row>
        <row r="160">
          <cell r="A160">
            <v>693</v>
          </cell>
          <cell r="B160" t="str">
            <v>Усмон шох</v>
          </cell>
          <cell r="C160" t="str">
            <v>ф/х</v>
          </cell>
          <cell r="D160" t="str">
            <v>Ф.Хужаев</v>
          </cell>
          <cell r="E160" t="str">
            <v>Зафаробод</v>
          </cell>
          <cell r="F160">
            <v>14200</v>
          </cell>
          <cell r="J160">
            <v>2</v>
          </cell>
        </row>
        <row r="161">
          <cell r="A161">
            <v>694</v>
          </cell>
          <cell r="B161" t="str">
            <v>Фазли-Олга</v>
          </cell>
          <cell r="C161" t="str">
            <v>ф/х</v>
          </cell>
          <cell r="D161" t="str">
            <v>Ф.Хужаев</v>
          </cell>
          <cell r="E161" t="str">
            <v>Зафаробод</v>
          </cell>
          <cell r="F161">
            <v>53800</v>
          </cell>
          <cell r="J161">
            <v>2</v>
          </cell>
        </row>
        <row r="162">
          <cell r="A162">
            <v>695</v>
          </cell>
          <cell r="B162" t="str">
            <v>Фуркатшер</v>
          </cell>
          <cell r="C162" t="str">
            <v>ф/х</v>
          </cell>
          <cell r="D162" t="str">
            <v>Ф.Хужаев</v>
          </cell>
          <cell r="E162" t="str">
            <v>Зафаробод</v>
          </cell>
          <cell r="F162">
            <v>22400</v>
          </cell>
          <cell r="J162">
            <v>3</v>
          </cell>
        </row>
        <row r="163">
          <cell r="A163">
            <v>696</v>
          </cell>
          <cell r="B163" t="str">
            <v>Хидир-Хуроз</v>
          </cell>
          <cell r="C163" t="str">
            <v>ф/х</v>
          </cell>
          <cell r="D163" t="str">
            <v>Ф.Хужаев</v>
          </cell>
          <cell r="E163" t="str">
            <v>Зафаробод</v>
          </cell>
          <cell r="F163">
            <v>6500</v>
          </cell>
          <cell r="J163">
            <v>4</v>
          </cell>
        </row>
        <row r="164">
          <cell r="A164">
            <v>697</v>
          </cell>
          <cell r="B164" t="str">
            <v>Хондамир</v>
          </cell>
          <cell r="C164" t="str">
            <v>ф/х</v>
          </cell>
          <cell r="D164" t="str">
            <v>Ф.Хужаев</v>
          </cell>
          <cell r="E164" t="str">
            <v>Зафаробод</v>
          </cell>
          <cell r="F164">
            <v>64500</v>
          </cell>
          <cell r="J164">
            <v>2</v>
          </cell>
        </row>
        <row r="165">
          <cell r="A165">
            <v>698</v>
          </cell>
          <cell r="B165" t="str">
            <v>Чорагон-Хаёт</v>
          </cell>
          <cell r="C165" t="str">
            <v>ф/х</v>
          </cell>
          <cell r="D165" t="str">
            <v>Ф.Хужаев</v>
          </cell>
          <cell r="E165" t="str">
            <v>Зафаробод</v>
          </cell>
          <cell r="F165">
            <v>37400</v>
          </cell>
          <cell r="J165">
            <v>4</v>
          </cell>
        </row>
        <row r="166">
          <cell r="A166">
            <v>699</v>
          </cell>
          <cell r="B166" t="str">
            <v>Шох Усмонлик Ражаб</v>
          </cell>
          <cell r="C166" t="str">
            <v>ф/х</v>
          </cell>
          <cell r="D166" t="str">
            <v>Ф.Хужаев</v>
          </cell>
          <cell r="E166" t="str">
            <v>Зафаробод</v>
          </cell>
          <cell r="F166">
            <v>23300</v>
          </cell>
          <cell r="J166">
            <v>2</v>
          </cell>
        </row>
        <row r="167">
          <cell r="A167">
            <v>700</v>
          </cell>
          <cell r="B167" t="str">
            <v>Шох-Жахон</v>
          </cell>
          <cell r="C167" t="str">
            <v>ф/х</v>
          </cell>
          <cell r="D167" t="str">
            <v>Ф.Хужаев</v>
          </cell>
          <cell r="E167" t="str">
            <v>Зафаробод</v>
          </cell>
          <cell r="F167">
            <v>34000</v>
          </cell>
          <cell r="J167">
            <v>3</v>
          </cell>
        </row>
        <row r="168">
          <cell r="A168">
            <v>701</v>
          </cell>
          <cell r="B168" t="str">
            <v>Шох-усмон</v>
          </cell>
          <cell r="C168" t="str">
            <v>ф/х</v>
          </cell>
          <cell r="D168" t="str">
            <v>Ф.Хужаев</v>
          </cell>
          <cell r="E168" t="str">
            <v>Зафаробод</v>
          </cell>
          <cell r="F168">
            <v>45000</v>
          </cell>
          <cell r="J168">
            <v>2</v>
          </cell>
        </row>
        <row r="169">
          <cell r="A169">
            <v>702</v>
          </cell>
          <cell r="B169" t="str">
            <v>Шухрат</v>
          </cell>
          <cell r="C169" t="str">
            <v>ф/х</v>
          </cell>
          <cell r="D169" t="str">
            <v>Ф.Хужаев</v>
          </cell>
          <cell r="E169" t="str">
            <v>Зафаробод</v>
          </cell>
          <cell r="F169">
            <v>65200</v>
          </cell>
          <cell r="J169">
            <v>2</v>
          </cell>
        </row>
        <row r="170">
          <cell r="A170">
            <v>614</v>
          </cell>
          <cell r="B170" t="str">
            <v>Абдурахмон кассоб</v>
          </cell>
          <cell r="C170" t="str">
            <v>ф/х</v>
          </cell>
          <cell r="D170" t="str">
            <v>Тинчлик</v>
          </cell>
          <cell r="E170" t="str">
            <v>Зафаробод</v>
          </cell>
          <cell r="F170">
            <v>31000</v>
          </cell>
          <cell r="H170">
            <v>8</v>
          </cell>
        </row>
        <row r="171">
          <cell r="A171">
            <v>616</v>
          </cell>
          <cell r="B171" t="str">
            <v>Артурбек</v>
          </cell>
          <cell r="C171" t="str">
            <v>ф/х</v>
          </cell>
          <cell r="D171" t="str">
            <v>Тинчлик</v>
          </cell>
          <cell r="E171" t="str">
            <v>Зафаробод</v>
          </cell>
          <cell r="F171">
            <v>10000</v>
          </cell>
          <cell r="H171">
            <v>11</v>
          </cell>
        </row>
        <row r="172">
          <cell r="A172">
            <v>617</v>
          </cell>
          <cell r="B172" t="str">
            <v>Бехзод</v>
          </cell>
          <cell r="C172" t="str">
            <v>ф/х</v>
          </cell>
          <cell r="D172" t="str">
            <v>Тинчлик</v>
          </cell>
          <cell r="E172" t="str">
            <v>Зафаробод</v>
          </cell>
          <cell r="F172">
            <v>27000</v>
          </cell>
          <cell r="H172">
            <v>14</v>
          </cell>
        </row>
        <row r="173">
          <cell r="A173">
            <v>618</v>
          </cell>
          <cell r="B173" t="str">
            <v>Боглон-Алимбек</v>
          </cell>
          <cell r="C173" t="str">
            <v>ф/х</v>
          </cell>
          <cell r="D173" t="str">
            <v>Тинчлик</v>
          </cell>
          <cell r="E173" t="str">
            <v>Зафаробод</v>
          </cell>
          <cell r="F173">
            <v>23700</v>
          </cell>
          <cell r="H173">
            <v>16</v>
          </cell>
        </row>
        <row r="174">
          <cell r="A174">
            <v>619</v>
          </cell>
          <cell r="B174" t="str">
            <v>Галлакор-Вахоб</v>
          </cell>
          <cell r="C174" t="str">
            <v>ф/х</v>
          </cell>
          <cell r="D174" t="str">
            <v>Тинчлик</v>
          </cell>
          <cell r="E174" t="str">
            <v>Зафаробод</v>
          </cell>
          <cell r="F174">
            <v>69000</v>
          </cell>
          <cell r="H174">
            <v>15</v>
          </cell>
        </row>
        <row r="175">
          <cell r="A175">
            <v>620</v>
          </cell>
          <cell r="B175" t="str">
            <v>Гулбадан-Ой</v>
          </cell>
          <cell r="C175" t="str">
            <v>ф/х</v>
          </cell>
          <cell r="D175" t="str">
            <v>Тинчлик</v>
          </cell>
          <cell r="E175" t="str">
            <v>Зафаробод</v>
          </cell>
          <cell r="F175">
            <v>10400</v>
          </cell>
          <cell r="H175">
            <v>13</v>
          </cell>
        </row>
        <row r="176">
          <cell r="A176">
            <v>621</v>
          </cell>
          <cell r="B176" t="str">
            <v>Диёр-Икром</v>
          </cell>
          <cell r="C176" t="str">
            <v>ф/х</v>
          </cell>
          <cell r="D176" t="str">
            <v>Тинчлик</v>
          </cell>
          <cell r="E176" t="str">
            <v>Зафаробод</v>
          </cell>
          <cell r="F176">
            <v>9100</v>
          </cell>
          <cell r="H176">
            <v>14</v>
          </cell>
        </row>
        <row r="177">
          <cell r="A177">
            <v>622</v>
          </cell>
          <cell r="B177" t="str">
            <v>Жамила</v>
          </cell>
          <cell r="C177" t="str">
            <v>ф/х</v>
          </cell>
          <cell r="D177" t="str">
            <v>Тинчлик</v>
          </cell>
          <cell r="E177" t="str">
            <v>Зафаробод</v>
          </cell>
          <cell r="F177">
            <v>24500</v>
          </cell>
          <cell r="H177">
            <v>13</v>
          </cell>
        </row>
        <row r="178">
          <cell r="A178">
            <v>623</v>
          </cell>
          <cell r="B178" t="str">
            <v>Жахон-Диёр</v>
          </cell>
          <cell r="C178" t="str">
            <v>ф/х</v>
          </cell>
          <cell r="D178" t="str">
            <v>Тинчлик</v>
          </cell>
          <cell r="E178" t="str">
            <v>Зафаробод</v>
          </cell>
          <cell r="F178">
            <v>9100</v>
          </cell>
          <cell r="H178">
            <v>15</v>
          </cell>
        </row>
        <row r="179">
          <cell r="A179">
            <v>624</v>
          </cell>
          <cell r="B179" t="str">
            <v>Жийда гули</v>
          </cell>
          <cell r="C179" t="str">
            <v>ф/х</v>
          </cell>
          <cell r="D179" t="str">
            <v>Тинчлик</v>
          </cell>
          <cell r="E179" t="str">
            <v>Зафаробод</v>
          </cell>
          <cell r="F179">
            <v>14200</v>
          </cell>
          <cell r="H179">
            <v>12</v>
          </cell>
        </row>
        <row r="180">
          <cell r="A180">
            <v>625</v>
          </cell>
          <cell r="B180" t="str">
            <v>Жуниёр</v>
          </cell>
          <cell r="C180" t="str">
            <v>ф/х</v>
          </cell>
          <cell r="D180" t="str">
            <v>Тинчлик</v>
          </cell>
          <cell r="E180" t="str">
            <v>Зафаробод</v>
          </cell>
          <cell r="F180">
            <v>24300</v>
          </cell>
          <cell r="H180">
            <v>15</v>
          </cell>
        </row>
        <row r="181">
          <cell r="A181">
            <v>626</v>
          </cell>
          <cell r="B181" t="str">
            <v>Зиндагони</v>
          </cell>
          <cell r="C181" t="str">
            <v>ф/х</v>
          </cell>
          <cell r="D181" t="str">
            <v>Тинчлик</v>
          </cell>
          <cell r="E181" t="str">
            <v>Зафаробод</v>
          </cell>
          <cell r="F181">
            <v>20900</v>
          </cell>
          <cell r="H181">
            <v>14</v>
          </cell>
        </row>
        <row r="182">
          <cell r="A182">
            <v>627</v>
          </cell>
          <cell r="B182" t="str">
            <v>Истикбол-А</v>
          </cell>
          <cell r="C182" t="str">
            <v>ф/х</v>
          </cell>
          <cell r="D182" t="str">
            <v>Тинчлик</v>
          </cell>
          <cell r="E182" t="str">
            <v>Зафаробод</v>
          </cell>
          <cell r="F182">
            <v>25900</v>
          </cell>
          <cell r="H182">
            <v>14</v>
          </cell>
        </row>
        <row r="183">
          <cell r="A183">
            <v>628</v>
          </cell>
          <cell r="B183" t="str">
            <v>Кукон</v>
          </cell>
          <cell r="C183" t="str">
            <v>ф/х</v>
          </cell>
          <cell r="D183" t="str">
            <v>Тинчлик</v>
          </cell>
          <cell r="E183" t="str">
            <v>Зафаробод</v>
          </cell>
          <cell r="F183">
            <v>58300</v>
          </cell>
          <cell r="H183">
            <v>15</v>
          </cell>
        </row>
        <row r="184">
          <cell r="A184">
            <v>629</v>
          </cell>
          <cell r="B184" t="str">
            <v>Кукон-Диёр</v>
          </cell>
          <cell r="C184" t="str">
            <v>ф/х</v>
          </cell>
          <cell r="D184" t="str">
            <v>Тинчлик</v>
          </cell>
          <cell r="E184" t="str">
            <v>Зафаробод</v>
          </cell>
          <cell r="F184">
            <v>14200</v>
          </cell>
          <cell r="H184">
            <v>15</v>
          </cell>
        </row>
        <row r="185">
          <cell r="A185">
            <v>630</v>
          </cell>
          <cell r="B185" t="str">
            <v>Кушар бобо</v>
          </cell>
          <cell r="C185" t="str">
            <v>ф/х</v>
          </cell>
          <cell r="D185" t="str">
            <v>Тинчлик</v>
          </cell>
          <cell r="E185" t="str">
            <v>Зафаробод</v>
          </cell>
          <cell r="F185">
            <v>27000</v>
          </cell>
          <cell r="H185">
            <v>13</v>
          </cell>
        </row>
        <row r="186">
          <cell r="A186">
            <v>631</v>
          </cell>
          <cell r="B186" t="str">
            <v>Мадина</v>
          </cell>
          <cell r="C186" t="str">
            <v>ф/х</v>
          </cell>
          <cell r="D186" t="str">
            <v>Тинчлик</v>
          </cell>
          <cell r="E186" t="str">
            <v>Зафаробод</v>
          </cell>
          <cell r="F186">
            <v>23400</v>
          </cell>
          <cell r="H186">
            <v>15</v>
          </cell>
        </row>
        <row r="187">
          <cell r="A187">
            <v>632</v>
          </cell>
          <cell r="B187" t="str">
            <v>Мухтарам Абдуганиева</v>
          </cell>
          <cell r="C187" t="str">
            <v>ф/х</v>
          </cell>
          <cell r="D187" t="str">
            <v>Тинчлик</v>
          </cell>
          <cell r="E187" t="str">
            <v>Зафаробод</v>
          </cell>
          <cell r="F187">
            <v>6000</v>
          </cell>
          <cell r="H187">
            <v>15</v>
          </cell>
        </row>
        <row r="188">
          <cell r="A188">
            <v>633</v>
          </cell>
          <cell r="B188" t="str">
            <v>Норкул бобо</v>
          </cell>
          <cell r="C188" t="str">
            <v>ф/х</v>
          </cell>
          <cell r="D188" t="str">
            <v>Тинчлик</v>
          </cell>
          <cell r="E188" t="str">
            <v>Зафаробод</v>
          </cell>
          <cell r="F188">
            <v>31700</v>
          </cell>
          <cell r="H188">
            <v>16</v>
          </cell>
        </row>
        <row r="189">
          <cell r="A189">
            <v>634</v>
          </cell>
          <cell r="B189" t="str">
            <v>Панжан-гушт</v>
          </cell>
          <cell r="C189" t="str">
            <v>ф/х</v>
          </cell>
          <cell r="D189" t="str">
            <v>Тинчлик</v>
          </cell>
          <cell r="E189" t="str">
            <v>Зафаробод</v>
          </cell>
          <cell r="F189">
            <v>16800</v>
          </cell>
          <cell r="H189">
            <v>15</v>
          </cell>
        </row>
        <row r="190">
          <cell r="A190">
            <v>635</v>
          </cell>
          <cell r="B190" t="str">
            <v>Панждара</v>
          </cell>
          <cell r="C190" t="str">
            <v>ф/х</v>
          </cell>
          <cell r="D190" t="str">
            <v>Тинчлик</v>
          </cell>
          <cell r="E190" t="str">
            <v>Зафаробод</v>
          </cell>
          <cell r="F190">
            <v>37900</v>
          </cell>
          <cell r="H190">
            <v>14</v>
          </cell>
        </row>
        <row r="191">
          <cell r="A191">
            <v>636</v>
          </cell>
          <cell r="B191" t="str">
            <v>Расул-Азим</v>
          </cell>
          <cell r="C191" t="str">
            <v>ф/х</v>
          </cell>
          <cell r="D191" t="str">
            <v>Тинчлик</v>
          </cell>
          <cell r="E191" t="str">
            <v>Зафаробод</v>
          </cell>
          <cell r="F191">
            <v>21600</v>
          </cell>
          <cell r="H191">
            <v>11</v>
          </cell>
        </row>
        <row r="192">
          <cell r="A192">
            <v>637</v>
          </cell>
          <cell r="B192" t="str">
            <v>Рахматулла-Эркин</v>
          </cell>
          <cell r="C192" t="str">
            <v>ф/х</v>
          </cell>
          <cell r="D192" t="str">
            <v>Тинчлик</v>
          </cell>
          <cell r="E192" t="str">
            <v>Зафаробод</v>
          </cell>
          <cell r="F192">
            <v>20800</v>
          </cell>
          <cell r="H192">
            <v>13</v>
          </cell>
        </row>
        <row r="193">
          <cell r="A193">
            <v>638</v>
          </cell>
          <cell r="B193" t="str">
            <v>Руслан-Беки</v>
          </cell>
          <cell r="C193" t="str">
            <v>ф/х</v>
          </cell>
          <cell r="D193" t="str">
            <v>Тинчлик</v>
          </cell>
          <cell r="E193" t="str">
            <v>Зафаробод</v>
          </cell>
          <cell r="F193">
            <v>15000</v>
          </cell>
          <cell r="H193">
            <v>16</v>
          </cell>
        </row>
        <row r="194">
          <cell r="A194">
            <v>639</v>
          </cell>
          <cell r="B194" t="str">
            <v>Садо</v>
          </cell>
          <cell r="C194" t="str">
            <v>ф/х</v>
          </cell>
          <cell r="D194" t="str">
            <v>Тинчлик</v>
          </cell>
          <cell r="E194" t="str">
            <v>Зафаробод</v>
          </cell>
          <cell r="F194">
            <v>21800</v>
          </cell>
          <cell r="H194">
            <v>16</v>
          </cell>
        </row>
        <row r="195">
          <cell r="A195">
            <v>640</v>
          </cell>
          <cell r="B195" t="str">
            <v>Сайёд</v>
          </cell>
          <cell r="C195" t="str">
            <v>ф/х</v>
          </cell>
          <cell r="D195" t="str">
            <v>Тинчлик</v>
          </cell>
          <cell r="E195" t="str">
            <v>Зафаробод</v>
          </cell>
          <cell r="F195">
            <v>19600</v>
          </cell>
          <cell r="H195">
            <v>15</v>
          </cell>
        </row>
        <row r="196">
          <cell r="A196">
            <v>641</v>
          </cell>
          <cell r="B196" t="str">
            <v>Тошпулат ота</v>
          </cell>
          <cell r="C196" t="str">
            <v>ф/х</v>
          </cell>
          <cell r="D196" t="str">
            <v>Тинчлик</v>
          </cell>
          <cell r="E196" t="str">
            <v>Зафаробод</v>
          </cell>
          <cell r="F196">
            <v>34500</v>
          </cell>
          <cell r="H196">
            <v>15</v>
          </cell>
        </row>
        <row r="197">
          <cell r="A197">
            <v>642</v>
          </cell>
          <cell r="B197" t="str">
            <v>Уткир-Нодира</v>
          </cell>
          <cell r="C197" t="str">
            <v>ф/х</v>
          </cell>
          <cell r="D197" t="str">
            <v>Тинчлик</v>
          </cell>
          <cell r="E197" t="str">
            <v>Зафаробод</v>
          </cell>
          <cell r="F197">
            <v>27500</v>
          </cell>
          <cell r="H197">
            <v>16</v>
          </cell>
        </row>
        <row r="198">
          <cell r="A198">
            <v>643</v>
          </cell>
          <cell r="B198" t="str">
            <v>Феруз-1</v>
          </cell>
          <cell r="C198" t="str">
            <v>ф/х</v>
          </cell>
          <cell r="D198" t="str">
            <v>Тинчлик</v>
          </cell>
          <cell r="E198" t="str">
            <v>Зафаробод</v>
          </cell>
          <cell r="F198">
            <v>22300</v>
          </cell>
          <cell r="H198">
            <v>15</v>
          </cell>
        </row>
        <row r="199">
          <cell r="A199">
            <v>644</v>
          </cell>
          <cell r="B199" t="str">
            <v>Чашмаи дил</v>
          </cell>
          <cell r="C199" t="str">
            <v>ф/х</v>
          </cell>
          <cell r="D199" t="str">
            <v>Тинчлик</v>
          </cell>
          <cell r="E199" t="str">
            <v>Зафаробод</v>
          </cell>
          <cell r="F199">
            <v>27200</v>
          </cell>
          <cell r="H199">
            <v>15</v>
          </cell>
        </row>
        <row r="200">
          <cell r="A200">
            <v>645</v>
          </cell>
          <cell r="B200" t="str">
            <v>Чашмаи обод</v>
          </cell>
          <cell r="C200" t="str">
            <v>ф/х</v>
          </cell>
          <cell r="D200" t="str">
            <v>Тинчлик</v>
          </cell>
          <cell r="E200" t="str">
            <v>Зафаробод</v>
          </cell>
          <cell r="F200">
            <v>22300</v>
          </cell>
          <cell r="H200">
            <v>12</v>
          </cell>
        </row>
        <row r="201">
          <cell r="A201">
            <v>646</v>
          </cell>
          <cell r="B201" t="str">
            <v>Шабнам</v>
          </cell>
          <cell r="C201" t="str">
            <v>ф/х</v>
          </cell>
          <cell r="D201" t="str">
            <v>Тинчлик</v>
          </cell>
          <cell r="E201" t="str">
            <v>Зафаробод</v>
          </cell>
          <cell r="F201">
            <v>23400</v>
          </cell>
          <cell r="H201">
            <v>14</v>
          </cell>
        </row>
        <row r="202">
          <cell r="A202">
            <v>647</v>
          </cell>
          <cell r="B202" t="str">
            <v>Ширин-Анвар</v>
          </cell>
          <cell r="C202" t="str">
            <v>ф/х</v>
          </cell>
          <cell r="D202" t="str">
            <v>Тинчлик</v>
          </cell>
          <cell r="E202" t="str">
            <v>Зафаробод</v>
          </cell>
          <cell r="F202">
            <v>20800</v>
          </cell>
          <cell r="H202">
            <v>17</v>
          </cell>
        </row>
        <row r="203">
          <cell r="A203">
            <v>648</v>
          </cell>
          <cell r="B203" t="str">
            <v>Эшмирза</v>
          </cell>
          <cell r="C203" t="str">
            <v>ф/х</v>
          </cell>
          <cell r="D203" t="str">
            <v>Тинчлик</v>
          </cell>
          <cell r="E203" t="str">
            <v>Зафаробод</v>
          </cell>
          <cell r="F203">
            <v>11700</v>
          </cell>
          <cell r="H203">
            <v>17</v>
          </cell>
        </row>
        <row r="204">
          <cell r="A204">
            <v>649</v>
          </cell>
          <cell r="B204" t="str">
            <v>Ярат</v>
          </cell>
          <cell r="C204" t="str">
            <v>ф/х</v>
          </cell>
          <cell r="D204" t="str">
            <v>Тинчлик</v>
          </cell>
          <cell r="E204" t="str">
            <v>Зафаробод</v>
          </cell>
          <cell r="F204">
            <v>88100</v>
          </cell>
          <cell r="H204">
            <v>14</v>
          </cell>
        </row>
        <row r="205">
          <cell r="A205">
            <v>615</v>
          </cell>
          <cell r="B205" t="str">
            <v>Азим-Дарё</v>
          </cell>
          <cell r="C205" t="str">
            <v>б/т</v>
          </cell>
          <cell r="D205" t="str">
            <v>Тинчлик</v>
          </cell>
          <cell r="E205" t="str">
            <v>Зафаробод</v>
          </cell>
          <cell r="F205">
            <v>26000</v>
          </cell>
          <cell r="H205">
            <v>14</v>
          </cell>
        </row>
        <row r="206">
          <cell r="A206">
            <v>483</v>
          </cell>
          <cell r="B206" t="str">
            <v>Абдуамид бобо</v>
          </cell>
          <cell r="C206" t="str">
            <v>ф/х</v>
          </cell>
          <cell r="D206" t="str">
            <v>С.Синдаров</v>
          </cell>
          <cell r="E206" t="str">
            <v>Зафаробод</v>
          </cell>
          <cell r="F206">
            <v>13000</v>
          </cell>
          <cell r="I206">
            <v>11</v>
          </cell>
        </row>
        <row r="207">
          <cell r="A207">
            <v>484</v>
          </cell>
          <cell r="B207" t="str">
            <v>Абдулла</v>
          </cell>
          <cell r="C207" t="str">
            <v>ф/х</v>
          </cell>
          <cell r="D207" t="str">
            <v>С.Синдаров</v>
          </cell>
          <cell r="E207" t="str">
            <v>Зафаробод</v>
          </cell>
          <cell r="F207">
            <v>75600</v>
          </cell>
          <cell r="H207">
            <v>3</v>
          </cell>
        </row>
        <row r="208">
          <cell r="A208">
            <v>485</v>
          </cell>
          <cell r="B208" t="str">
            <v>Адолат</v>
          </cell>
          <cell r="C208" t="str">
            <v>ф/х</v>
          </cell>
          <cell r="D208" t="str">
            <v>С.Синдаров</v>
          </cell>
          <cell r="E208" t="str">
            <v>Зафаробод</v>
          </cell>
          <cell r="F208">
            <v>65000</v>
          </cell>
          <cell r="H208">
            <v>5</v>
          </cell>
        </row>
        <row r="209">
          <cell r="A209">
            <v>486</v>
          </cell>
          <cell r="B209" t="str">
            <v>Акмал</v>
          </cell>
          <cell r="C209" t="str">
            <v>ф/х</v>
          </cell>
          <cell r="D209" t="str">
            <v>С.Синдаров</v>
          </cell>
          <cell r="E209" t="str">
            <v>Зафаробод</v>
          </cell>
          <cell r="F209">
            <v>60300</v>
          </cell>
          <cell r="H209">
            <v>5</v>
          </cell>
        </row>
        <row r="210">
          <cell r="A210">
            <v>487</v>
          </cell>
          <cell r="B210" t="str">
            <v>Алишер-Тадбиркор</v>
          </cell>
          <cell r="C210" t="str">
            <v>ф/х</v>
          </cell>
          <cell r="D210" t="str">
            <v>С.Синдаров</v>
          </cell>
          <cell r="E210" t="str">
            <v>Зафаробод</v>
          </cell>
          <cell r="F210">
            <v>68000</v>
          </cell>
          <cell r="H210">
            <v>4</v>
          </cell>
        </row>
        <row r="211">
          <cell r="A211">
            <v>488</v>
          </cell>
          <cell r="B211" t="str">
            <v>Аллаёр Шамс</v>
          </cell>
          <cell r="C211" t="str">
            <v>ф/х</v>
          </cell>
          <cell r="D211" t="str">
            <v>С.Синдаров</v>
          </cell>
          <cell r="E211" t="str">
            <v>Зафаробод</v>
          </cell>
          <cell r="F211">
            <v>27800</v>
          </cell>
          <cell r="H211">
            <v>8</v>
          </cell>
        </row>
        <row r="212">
          <cell r="A212">
            <v>489</v>
          </cell>
          <cell r="B212" t="str">
            <v>Алпомиш</v>
          </cell>
          <cell r="C212" t="str">
            <v>ф/х</v>
          </cell>
          <cell r="D212" t="str">
            <v>С.Синдаров</v>
          </cell>
          <cell r="E212" t="str">
            <v>Зафаробод</v>
          </cell>
          <cell r="F212">
            <v>30400</v>
          </cell>
          <cell r="H212">
            <v>10</v>
          </cell>
        </row>
        <row r="213">
          <cell r="A213">
            <v>490</v>
          </cell>
          <cell r="B213" t="str">
            <v>Асад-Кувон</v>
          </cell>
          <cell r="C213" t="str">
            <v>ф/х</v>
          </cell>
          <cell r="D213" t="str">
            <v>С.Синдаров</v>
          </cell>
          <cell r="E213" t="str">
            <v>Зафаробод</v>
          </cell>
          <cell r="F213">
            <v>41200</v>
          </cell>
          <cell r="H213">
            <v>8</v>
          </cell>
        </row>
        <row r="214">
          <cell r="A214">
            <v>491</v>
          </cell>
          <cell r="B214" t="str">
            <v>Асал боли-Хаёт</v>
          </cell>
          <cell r="C214" t="str">
            <v>ф/х</v>
          </cell>
          <cell r="D214" t="str">
            <v>С.Синдаров</v>
          </cell>
          <cell r="E214" t="str">
            <v>Зафаробод</v>
          </cell>
          <cell r="F214">
            <v>64000</v>
          </cell>
          <cell r="H214">
            <v>8</v>
          </cell>
        </row>
        <row r="215">
          <cell r="A215">
            <v>492</v>
          </cell>
          <cell r="B215" t="str">
            <v>Асл мард</v>
          </cell>
          <cell r="C215" t="str">
            <v>ф/х</v>
          </cell>
          <cell r="D215" t="str">
            <v>С.Синдаров</v>
          </cell>
          <cell r="E215" t="str">
            <v>Зафаробод</v>
          </cell>
          <cell r="F215">
            <v>18500</v>
          </cell>
          <cell r="H215">
            <v>6</v>
          </cell>
        </row>
        <row r="216">
          <cell r="A216">
            <v>493</v>
          </cell>
          <cell r="B216" t="str">
            <v>Байдулло</v>
          </cell>
          <cell r="C216" t="str">
            <v>ф/х</v>
          </cell>
          <cell r="D216" t="str">
            <v>С.Синдаров</v>
          </cell>
          <cell r="E216" t="str">
            <v>Зафаробод</v>
          </cell>
          <cell r="F216">
            <v>35500</v>
          </cell>
          <cell r="H216">
            <v>5</v>
          </cell>
        </row>
        <row r="217">
          <cell r="A217">
            <v>494</v>
          </cell>
          <cell r="B217" t="str">
            <v>Бахтиер -1</v>
          </cell>
          <cell r="C217" t="str">
            <v>ф/х</v>
          </cell>
          <cell r="D217" t="str">
            <v>С.Синдаров</v>
          </cell>
          <cell r="E217" t="str">
            <v>Зафаробод</v>
          </cell>
          <cell r="F217">
            <v>13300</v>
          </cell>
          <cell r="H217">
            <v>4</v>
          </cell>
        </row>
        <row r="218">
          <cell r="A218">
            <v>495</v>
          </cell>
          <cell r="B218" t="str">
            <v>Бегалижон</v>
          </cell>
          <cell r="C218" t="str">
            <v>ф/х</v>
          </cell>
          <cell r="D218" t="str">
            <v>С.Синдаров</v>
          </cell>
          <cell r="E218" t="str">
            <v>Зафаробод</v>
          </cell>
          <cell r="F218">
            <v>70700</v>
          </cell>
          <cell r="H218">
            <v>3</v>
          </cell>
        </row>
        <row r="219">
          <cell r="A219">
            <v>496</v>
          </cell>
          <cell r="B219" t="str">
            <v>Бекмурод бобо</v>
          </cell>
          <cell r="C219" t="str">
            <v>ф/х</v>
          </cell>
          <cell r="D219" t="str">
            <v>С.Синдаров</v>
          </cell>
          <cell r="E219" t="str">
            <v>Зафаробод</v>
          </cell>
          <cell r="F219">
            <v>37400</v>
          </cell>
          <cell r="H219">
            <v>8</v>
          </cell>
        </row>
        <row r="220">
          <cell r="A220">
            <v>497</v>
          </cell>
          <cell r="B220" t="str">
            <v>Белгия</v>
          </cell>
          <cell r="C220" t="str">
            <v>ф/х</v>
          </cell>
          <cell r="D220" t="str">
            <v>С.Синдаров</v>
          </cell>
          <cell r="E220" t="str">
            <v>Зафаробод</v>
          </cell>
          <cell r="F220">
            <v>15400</v>
          </cell>
          <cell r="H220">
            <v>3</v>
          </cell>
        </row>
        <row r="221">
          <cell r="A221">
            <v>498</v>
          </cell>
          <cell r="B221" t="str">
            <v>Бобои Рахмат</v>
          </cell>
          <cell r="C221" t="str">
            <v>ф/х</v>
          </cell>
          <cell r="D221" t="str">
            <v>С.Синдаров</v>
          </cell>
          <cell r="E221" t="str">
            <v>Зафаробод</v>
          </cell>
          <cell r="F221">
            <v>25900</v>
          </cell>
          <cell r="H221">
            <v>4</v>
          </cell>
        </row>
        <row r="222">
          <cell r="A222">
            <v>499</v>
          </cell>
          <cell r="B222" t="str">
            <v>Болкибой ота</v>
          </cell>
          <cell r="C222" t="str">
            <v>ф/х</v>
          </cell>
          <cell r="D222" t="str">
            <v>С.Синдаров</v>
          </cell>
          <cell r="E222" t="str">
            <v>Зафаробод</v>
          </cell>
          <cell r="F222">
            <v>82700</v>
          </cell>
          <cell r="H222">
            <v>7</v>
          </cell>
        </row>
        <row r="223">
          <cell r="A223">
            <v>500</v>
          </cell>
          <cell r="B223" t="str">
            <v>Болтабой</v>
          </cell>
          <cell r="C223" t="str">
            <v>ф/х</v>
          </cell>
          <cell r="D223" t="str">
            <v>С.Синдаров</v>
          </cell>
          <cell r="E223" t="str">
            <v>Зафаробод</v>
          </cell>
          <cell r="F223">
            <v>45500</v>
          </cell>
          <cell r="H223">
            <v>8</v>
          </cell>
        </row>
        <row r="224">
          <cell r="A224">
            <v>501</v>
          </cell>
          <cell r="B224" t="str">
            <v>Бонитет</v>
          </cell>
          <cell r="C224" t="str">
            <v>ф/х</v>
          </cell>
          <cell r="D224" t="str">
            <v>С.Синдаров</v>
          </cell>
          <cell r="E224" t="str">
            <v>Зафаробод</v>
          </cell>
          <cell r="F224">
            <v>6700</v>
          </cell>
          <cell r="H224">
            <v>3</v>
          </cell>
        </row>
        <row r="225">
          <cell r="A225">
            <v>502</v>
          </cell>
          <cell r="B225" t="str">
            <v>Бунёд полвон</v>
          </cell>
          <cell r="C225" t="str">
            <v>ф/х</v>
          </cell>
          <cell r="D225" t="str">
            <v>С.Синдаров</v>
          </cell>
          <cell r="E225" t="str">
            <v>Зафаробод</v>
          </cell>
          <cell r="F225">
            <v>18000</v>
          </cell>
          <cell r="H225">
            <v>5</v>
          </cell>
        </row>
        <row r="226">
          <cell r="A226">
            <v>503</v>
          </cell>
          <cell r="B226" t="str">
            <v>Буффон</v>
          </cell>
          <cell r="C226" t="str">
            <v>ф/х</v>
          </cell>
          <cell r="D226" t="str">
            <v>С.Синдаров</v>
          </cell>
          <cell r="E226" t="str">
            <v>Зафаробод</v>
          </cell>
          <cell r="F226">
            <v>44000</v>
          </cell>
          <cell r="H226">
            <v>5</v>
          </cell>
        </row>
        <row r="227">
          <cell r="A227">
            <v>504</v>
          </cell>
          <cell r="B227" t="str">
            <v>Галактика</v>
          </cell>
          <cell r="C227" t="str">
            <v>ф/х</v>
          </cell>
          <cell r="D227" t="str">
            <v>С.Синдаров</v>
          </cell>
          <cell r="E227" t="str">
            <v>Зафаробод</v>
          </cell>
          <cell r="F227">
            <v>37200</v>
          </cell>
          <cell r="H227">
            <v>10</v>
          </cell>
        </row>
        <row r="228">
          <cell r="A228">
            <v>505</v>
          </cell>
          <cell r="B228" t="str">
            <v>Ганижон</v>
          </cell>
          <cell r="C228" t="str">
            <v>ф/х</v>
          </cell>
          <cell r="D228" t="str">
            <v>С.Синдаров</v>
          </cell>
          <cell r="E228" t="str">
            <v>Зафаробод</v>
          </cell>
          <cell r="F228">
            <v>71300</v>
          </cell>
          <cell r="H228">
            <v>5</v>
          </cell>
        </row>
        <row r="229">
          <cell r="A229">
            <v>506</v>
          </cell>
          <cell r="B229" t="str">
            <v>Гуломжон</v>
          </cell>
          <cell r="C229" t="str">
            <v>ф/х</v>
          </cell>
          <cell r="D229" t="str">
            <v>С.Синдаров</v>
          </cell>
          <cell r="E229" t="str">
            <v>Зафаробод</v>
          </cell>
          <cell r="F229">
            <v>63500</v>
          </cell>
          <cell r="H229">
            <v>8</v>
          </cell>
        </row>
        <row r="230">
          <cell r="A230">
            <v>507</v>
          </cell>
          <cell r="B230" t="str">
            <v>Диёрбек Бурибоев</v>
          </cell>
          <cell r="C230" t="str">
            <v>ф/х</v>
          </cell>
          <cell r="D230" t="str">
            <v>С.Синдаров</v>
          </cell>
          <cell r="E230" t="str">
            <v>Зафаробод</v>
          </cell>
          <cell r="F230">
            <v>46000</v>
          </cell>
          <cell r="H230">
            <v>4</v>
          </cell>
        </row>
        <row r="231">
          <cell r="A231">
            <v>508</v>
          </cell>
          <cell r="B231" t="str">
            <v>Дустим-Ориф</v>
          </cell>
          <cell r="C231" t="str">
            <v>ф/х</v>
          </cell>
          <cell r="D231" t="str">
            <v>С.Синдаров</v>
          </cell>
          <cell r="E231" t="str">
            <v>Зафаробод</v>
          </cell>
          <cell r="F231">
            <v>19200</v>
          </cell>
          <cell r="H231">
            <v>4</v>
          </cell>
        </row>
        <row r="232">
          <cell r="A232">
            <v>509</v>
          </cell>
          <cell r="B232" t="str">
            <v>Ёкуб-Обит</v>
          </cell>
          <cell r="C232" t="str">
            <v>ф/х</v>
          </cell>
          <cell r="D232" t="str">
            <v>С.Синдаров</v>
          </cell>
          <cell r="E232" t="str">
            <v>Зафаробод</v>
          </cell>
          <cell r="F232">
            <v>39500</v>
          </cell>
          <cell r="H232">
            <v>3</v>
          </cell>
        </row>
        <row r="233">
          <cell r="A233">
            <v>510</v>
          </cell>
          <cell r="B233" t="str">
            <v>Еттиарик</v>
          </cell>
          <cell r="C233" t="str">
            <v>ф/х</v>
          </cell>
          <cell r="D233" t="str">
            <v>С.Синдаров</v>
          </cell>
          <cell r="E233" t="str">
            <v>Зафаробод</v>
          </cell>
          <cell r="F233">
            <v>26000</v>
          </cell>
          <cell r="H233">
            <v>4</v>
          </cell>
        </row>
        <row r="234">
          <cell r="A234">
            <v>511</v>
          </cell>
          <cell r="B234" t="str">
            <v>Жавохир-Жамшид</v>
          </cell>
          <cell r="C234" t="str">
            <v>ф/х</v>
          </cell>
          <cell r="D234" t="str">
            <v>С.Синдаров</v>
          </cell>
          <cell r="E234" t="str">
            <v>Зафаробод</v>
          </cell>
          <cell r="F234">
            <v>14000</v>
          </cell>
          <cell r="H234">
            <v>3</v>
          </cell>
        </row>
        <row r="235">
          <cell r="A235">
            <v>512</v>
          </cell>
          <cell r="B235" t="str">
            <v>Жамай ота</v>
          </cell>
          <cell r="C235" t="str">
            <v>ф/х</v>
          </cell>
          <cell r="D235" t="str">
            <v>С.Синдаров</v>
          </cell>
          <cell r="E235" t="str">
            <v>Зафаробод</v>
          </cell>
          <cell r="F235">
            <v>83400</v>
          </cell>
          <cell r="H235">
            <v>4</v>
          </cell>
        </row>
        <row r="236">
          <cell r="A236">
            <v>513</v>
          </cell>
          <cell r="B236" t="str">
            <v>Жамшиди Акрам</v>
          </cell>
          <cell r="C236" t="str">
            <v>ф/х</v>
          </cell>
          <cell r="D236" t="str">
            <v>С.Синдаров</v>
          </cell>
          <cell r="E236" t="str">
            <v>Зафаробод</v>
          </cell>
          <cell r="F236">
            <v>52900</v>
          </cell>
          <cell r="H236">
            <v>5</v>
          </cell>
        </row>
        <row r="237">
          <cell r="A237">
            <v>514</v>
          </cell>
          <cell r="B237" t="str">
            <v>Жанай-Карвон</v>
          </cell>
          <cell r="C237" t="str">
            <v>ф/х</v>
          </cell>
          <cell r="D237" t="str">
            <v>С.Синдаров</v>
          </cell>
          <cell r="E237" t="str">
            <v>Зафаробод</v>
          </cell>
          <cell r="F237">
            <v>71300</v>
          </cell>
          <cell r="H237">
            <v>6</v>
          </cell>
        </row>
        <row r="238">
          <cell r="A238">
            <v>515</v>
          </cell>
          <cell r="B238" t="str">
            <v>Жаноб-А</v>
          </cell>
          <cell r="C238" t="str">
            <v>ф/х</v>
          </cell>
          <cell r="D238" t="str">
            <v>С.Синдаров</v>
          </cell>
          <cell r="E238" t="str">
            <v>Зафаробод</v>
          </cell>
          <cell r="F238">
            <v>36500</v>
          </cell>
          <cell r="H238">
            <v>5</v>
          </cell>
        </row>
        <row r="239">
          <cell r="A239">
            <v>516</v>
          </cell>
          <cell r="B239" t="str">
            <v>Женис</v>
          </cell>
          <cell r="C239" t="str">
            <v>ф/х</v>
          </cell>
          <cell r="D239" t="str">
            <v>С.Синдаров</v>
          </cell>
          <cell r="E239" t="str">
            <v>Зафаробод</v>
          </cell>
          <cell r="F239">
            <v>48800</v>
          </cell>
          <cell r="H239">
            <v>5</v>
          </cell>
        </row>
        <row r="240">
          <cell r="A240">
            <v>517</v>
          </cell>
          <cell r="B240" t="str">
            <v>Жонибек ота</v>
          </cell>
          <cell r="C240" t="str">
            <v>ф/х</v>
          </cell>
          <cell r="D240" t="str">
            <v>С.Синдаров</v>
          </cell>
          <cell r="E240" t="str">
            <v>Зафаробод</v>
          </cell>
          <cell r="F240">
            <v>41200</v>
          </cell>
          <cell r="H240">
            <v>3</v>
          </cell>
        </row>
        <row r="241">
          <cell r="A241">
            <v>518</v>
          </cell>
          <cell r="B241" t="str">
            <v>Жонхурозбек</v>
          </cell>
          <cell r="C241" t="str">
            <v>ф/х</v>
          </cell>
          <cell r="D241" t="str">
            <v>С.Синдаров</v>
          </cell>
          <cell r="E241" t="str">
            <v>Зафаробод</v>
          </cell>
          <cell r="F241">
            <v>25300</v>
          </cell>
          <cell r="H241">
            <v>5</v>
          </cell>
        </row>
        <row r="242">
          <cell r="A242">
            <v>519</v>
          </cell>
          <cell r="B242" t="str">
            <v>Жуман-Орзикул</v>
          </cell>
          <cell r="C242" t="str">
            <v>ф/х</v>
          </cell>
          <cell r="D242" t="str">
            <v>С.Синдаров</v>
          </cell>
          <cell r="E242" t="str">
            <v>Зафаробод</v>
          </cell>
          <cell r="F242">
            <v>49500</v>
          </cell>
          <cell r="H242">
            <v>3</v>
          </cell>
        </row>
        <row r="243">
          <cell r="A243">
            <v>520</v>
          </cell>
          <cell r="B243" t="str">
            <v>Илхом-1</v>
          </cell>
          <cell r="C243" t="str">
            <v>ф/х</v>
          </cell>
          <cell r="D243" t="str">
            <v>С.Синдаров</v>
          </cell>
          <cell r="E243" t="str">
            <v>Зафаробод</v>
          </cell>
          <cell r="F243">
            <v>19200</v>
          </cell>
          <cell r="H243">
            <v>3</v>
          </cell>
        </row>
        <row r="244">
          <cell r="A244">
            <v>521</v>
          </cell>
          <cell r="B244" t="str">
            <v>Камолот</v>
          </cell>
          <cell r="C244" t="str">
            <v>ф/х</v>
          </cell>
          <cell r="D244" t="str">
            <v>С.Синдаров</v>
          </cell>
          <cell r="E244" t="str">
            <v>Зафаробод</v>
          </cell>
          <cell r="F244">
            <v>39100</v>
          </cell>
          <cell r="H244">
            <v>3</v>
          </cell>
        </row>
        <row r="245">
          <cell r="A245">
            <v>522</v>
          </cell>
          <cell r="B245" t="str">
            <v>Камронбой-Суннат</v>
          </cell>
          <cell r="C245" t="str">
            <v>ф/х</v>
          </cell>
          <cell r="D245" t="str">
            <v>С.Синдаров</v>
          </cell>
          <cell r="E245" t="str">
            <v>Зафаробод</v>
          </cell>
          <cell r="F245">
            <v>24300</v>
          </cell>
          <cell r="H245">
            <v>5</v>
          </cell>
        </row>
        <row r="246">
          <cell r="A246">
            <v>523</v>
          </cell>
          <cell r="B246" t="str">
            <v>Карис кудук</v>
          </cell>
          <cell r="C246" t="str">
            <v>ф/х</v>
          </cell>
          <cell r="D246" t="str">
            <v>С.Синдаров</v>
          </cell>
          <cell r="E246" t="str">
            <v>Зафаробод</v>
          </cell>
          <cell r="F246">
            <v>25200</v>
          </cell>
          <cell r="H246">
            <v>6</v>
          </cell>
        </row>
        <row r="247">
          <cell r="A247">
            <v>524</v>
          </cell>
          <cell r="B247" t="str">
            <v>Каттасой-М-ШАЖ</v>
          </cell>
          <cell r="C247" t="str">
            <v>ф/х</v>
          </cell>
          <cell r="D247" t="str">
            <v>С.Синдаров</v>
          </cell>
          <cell r="E247" t="str">
            <v>Зафаробод</v>
          </cell>
          <cell r="F247">
            <v>68000</v>
          </cell>
          <cell r="H247">
            <v>6</v>
          </cell>
        </row>
        <row r="248">
          <cell r="A248">
            <v>525</v>
          </cell>
          <cell r="B248" t="str">
            <v>Кахва</v>
          </cell>
          <cell r="C248" t="str">
            <v>ф/х</v>
          </cell>
          <cell r="D248" t="str">
            <v>С.Синдаров</v>
          </cell>
          <cell r="E248" t="str">
            <v>Зафаробод</v>
          </cell>
          <cell r="F248">
            <v>25500</v>
          </cell>
          <cell r="H248">
            <v>5</v>
          </cell>
        </row>
        <row r="249">
          <cell r="A249">
            <v>526</v>
          </cell>
          <cell r="B249" t="str">
            <v>Келдиер ота</v>
          </cell>
          <cell r="C249" t="str">
            <v>ф/х</v>
          </cell>
          <cell r="D249" t="str">
            <v>С.Синдаров</v>
          </cell>
          <cell r="E249" t="str">
            <v>Зафаробод</v>
          </cell>
          <cell r="F249">
            <v>50000</v>
          </cell>
          <cell r="H249">
            <v>3</v>
          </cell>
        </row>
        <row r="250">
          <cell r="A250">
            <v>527</v>
          </cell>
          <cell r="B250" t="str">
            <v>Корабогонали</v>
          </cell>
          <cell r="C250" t="str">
            <v>ф/х</v>
          </cell>
          <cell r="D250" t="str">
            <v>С.Синдаров</v>
          </cell>
          <cell r="E250" t="str">
            <v>Зафаробод</v>
          </cell>
          <cell r="F250">
            <v>63800</v>
          </cell>
          <cell r="H250">
            <v>4</v>
          </cell>
        </row>
        <row r="251">
          <cell r="A251">
            <v>528</v>
          </cell>
          <cell r="B251" t="str">
            <v>Кораховалли Уразали</v>
          </cell>
          <cell r="C251" t="str">
            <v>ф/х</v>
          </cell>
          <cell r="D251" t="str">
            <v>С.Синдаров</v>
          </cell>
          <cell r="E251" t="str">
            <v>Зафаробод</v>
          </cell>
          <cell r="F251">
            <v>47600</v>
          </cell>
          <cell r="H251">
            <v>7</v>
          </cell>
        </row>
        <row r="252">
          <cell r="A252">
            <v>529</v>
          </cell>
          <cell r="B252" t="str">
            <v>Кулат  бобо</v>
          </cell>
          <cell r="C252" t="str">
            <v>ф/х</v>
          </cell>
          <cell r="D252" t="str">
            <v>С.Синдаров</v>
          </cell>
          <cell r="E252" t="str">
            <v>Зафаробод</v>
          </cell>
          <cell r="F252">
            <v>34700</v>
          </cell>
          <cell r="H252">
            <v>8</v>
          </cell>
        </row>
        <row r="253">
          <cell r="A253">
            <v>530</v>
          </cell>
          <cell r="B253" t="str">
            <v>Кулмирза бобо</v>
          </cell>
          <cell r="C253" t="str">
            <v>ф/х</v>
          </cell>
          <cell r="D253" t="str">
            <v>С.Синдаров</v>
          </cell>
          <cell r="E253" t="str">
            <v>Зафаробод</v>
          </cell>
          <cell r="F253">
            <v>29700</v>
          </cell>
          <cell r="H253">
            <v>7</v>
          </cell>
        </row>
        <row r="254">
          <cell r="A254">
            <v>531</v>
          </cell>
          <cell r="B254" t="str">
            <v>Култусин</v>
          </cell>
          <cell r="C254" t="str">
            <v>ф/х</v>
          </cell>
          <cell r="D254" t="str">
            <v>С.Синдаров</v>
          </cell>
          <cell r="E254" t="str">
            <v>Зафаробод</v>
          </cell>
          <cell r="F254">
            <v>31900</v>
          </cell>
          <cell r="H254">
            <v>6</v>
          </cell>
        </row>
        <row r="255">
          <cell r="A255">
            <v>532</v>
          </cell>
          <cell r="B255" t="str">
            <v>Кумуш дала</v>
          </cell>
          <cell r="C255" t="str">
            <v>ф/х</v>
          </cell>
          <cell r="D255" t="str">
            <v>С.Синдаров</v>
          </cell>
          <cell r="E255" t="str">
            <v>Зафаробод</v>
          </cell>
          <cell r="F255">
            <v>71300</v>
          </cell>
          <cell r="H255">
            <v>6</v>
          </cell>
        </row>
        <row r="256">
          <cell r="A256">
            <v>533</v>
          </cell>
          <cell r="B256" t="str">
            <v>Кунгирот</v>
          </cell>
          <cell r="C256" t="str">
            <v>ф/х</v>
          </cell>
          <cell r="D256" t="str">
            <v>С.Синдаров</v>
          </cell>
          <cell r="E256" t="str">
            <v>Зафаробод</v>
          </cell>
          <cell r="F256">
            <v>37000</v>
          </cell>
          <cell r="H256">
            <v>3</v>
          </cell>
        </row>
        <row r="257">
          <cell r="A257">
            <v>534</v>
          </cell>
          <cell r="B257" t="str">
            <v>Курокбой ота</v>
          </cell>
          <cell r="C257" t="str">
            <v>ф/х</v>
          </cell>
          <cell r="D257" t="str">
            <v>С.Синдаров</v>
          </cell>
          <cell r="E257" t="str">
            <v>Зафаробод</v>
          </cell>
          <cell r="F257">
            <v>23100</v>
          </cell>
          <cell r="H257">
            <v>8</v>
          </cell>
        </row>
        <row r="258">
          <cell r="A258">
            <v>535</v>
          </cell>
          <cell r="B258" t="str">
            <v>Кушбок ота</v>
          </cell>
          <cell r="C258" t="str">
            <v>ф/х</v>
          </cell>
          <cell r="D258" t="str">
            <v>С.Синдаров</v>
          </cell>
          <cell r="E258" t="str">
            <v>Зафаробод</v>
          </cell>
          <cell r="F258">
            <v>42000</v>
          </cell>
          <cell r="H258">
            <v>8</v>
          </cell>
        </row>
        <row r="259">
          <cell r="A259">
            <v>536</v>
          </cell>
          <cell r="B259" t="str">
            <v>Кушмурод бобо</v>
          </cell>
          <cell r="C259" t="str">
            <v>ф/х</v>
          </cell>
          <cell r="D259" t="str">
            <v>С.Синдаров</v>
          </cell>
          <cell r="E259" t="str">
            <v>Зафаробод</v>
          </cell>
          <cell r="F259">
            <v>82400</v>
          </cell>
          <cell r="H259">
            <v>7</v>
          </cell>
        </row>
        <row r="260">
          <cell r="A260">
            <v>537</v>
          </cell>
          <cell r="B260" t="str">
            <v>М.Улугбек-АРС</v>
          </cell>
          <cell r="C260" t="str">
            <v>ф/х</v>
          </cell>
          <cell r="D260" t="str">
            <v>С.Синдаров</v>
          </cell>
          <cell r="E260" t="str">
            <v>Зафаробод</v>
          </cell>
          <cell r="F260">
            <v>45900</v>
          </cell>
          <cell r="H260">
            <v>8</v>
          </cell>
        </row>
        <row r="261">
          <cell r="A261">
            <v>538</v>
          </cell>
          <cell r="B261" t="str">
            <v>Маглис</v>
          </cell>
          <cell r="C261" t="str">
            <v>ф/х</v>
          </cell>
          <cell r="D261" t="str">
            <v>С.Синдаров</v>
          </cell>
          <cell r="E261" t="str">
            <v>Зафаробод</v>
          </cell>
          <cell r="F261">
            <v>13600</v>
          </cell>
          <cell r="H261">
            <v>7</v>
          </cell>
        </row>
        <row r="262">
          <cell r="A262">
            <v>539</v>
          </cell>
          <cell r="B262" t="str">
            <v>Мамазие  бобо</v>
          </cell>
          <cell r="C262" t="str">
            <v>ф/х</v>
          </cell>
          <cell r="D262" t="str">
            <v>С.Синдаров</v>
          </cell>
          <cell r="E262" t="str">
            <v>Зафаробод</v>
          </cell>
          <cell r="F262">
            <v>38500</v>
          </cell>
          <cell r="H262">
            <v>3</v>
          </cell>
        </row>
        <row r="263">
          <cell r="A263">
            <v>540</v>
          </cell>
          <cell r="B263" t="str">
            <v xml:space="preserve">Мамаражаб ота </v>
          </cell>
          <cell r="C263" t="str">
            <v>ф/х</v>
          </cell>
          <cell r="D263" t="str">
            <v>С.Синдаров</v>
          </cell>
          <cell r="E263" t="str">
            <v>Зафаробод</v>
          </cell>
          <cell r="F263">
            <v>14000</v>
          </cell>
          <cell r="H263">
            <v>8</v>
          </cell>
        </row>
        <row r="264">
          <cell r="A264">
            <v>541</v>
          </cell>
          <cell r="B264" t="str">
            <v>Манас Али</v>
          </cell>
          <cell r="C264" t="str">
            <v>ф/х</v>
          </cell>
          <cell r="D264" t="str">
            <v>С.Синдаров</v>
          </cell>
          <cell r="E264" t="str">
            <v>Зафаробод</v>
          </cell>
          <cell r="F264">
            <v>23800</v>
          </cell>
          <cell r="H264">
            <v>3</v>
          </cell>
        </row>
        <row r="265">
          <cell r="A265">
            <v>542</v>
          </cell>
          <cell r="B265" t="str">
            <v>Мардон ота</v>
          </cell>
          <cell r="C265" t="str">
            <v>ф/х</v>
          </cell>
          <cell r="D265" t="str">
            <v>С.Синдаров</v>
          </cell>
          <cell r="E265" t="str">
            <v>Зафаробод</v>
          </cell>
          <cell r="F265">
            <v>33900</v>
          </cell>
          <cell r="H265">
            <v>5</v>
          </cell>
        </row>
        <row r="266">
          <cell r="A266">
            <v>543</v>
          </cell>
          <cell r="B266" t="str">
            <v>Мафтуна-Шохжахон</v>
          </cell>
          <cell r="C266" t="str">
            <v>ф/х</v>
          </cell>
          <cell r="D266" t="str">
            <v>С.Синдаров</v>
          </cell>
          <cell r="E266" t="str">
            <v>Зафаробод</v>
          </cell>
          <cell r="F266">
            <v>15700</v>
          </cell>
          <cell r="H266">
            <v>5</v>
          </cell>
        </row>
        <row r="267">
          <cell r="A267">
            <v>544</v>
          </cell>
          <cell r="B267" t="str">
            <v>Махмур ота</v>
          </cell>
          <cell r="C267" t="str">
            <v>ф/х</v>
          </cell>
          <cell r="D267" t="str">
            <v>С.Синдаров</v>
          </cell>
          <cell r="E267" t="str">
            <v>Зафаробод</v>
          </cell>
          <cell r="F267">
            <v>27900</v>
          </cell>
          <cell r="H267">
            <v>6</v>
          </cell>
        </row>
        <row r="268">
          <cell r="A268">
            <v>545</v>
          </cell>
          <cell r="B268" t="str">
            <v>Машраб</v>
          </cell>
          <cell r="C268" t="str">
            <v>ф/х</v>
          </cell>
          <cell r="D268" t="str">
            <v>С.Синдаров</v>
          </cell>
          <cell r="E268" t="str">
            <v>Зафаробод</v>
          </cell>
          <cell r="F268">
            <v>54000</v>
          </cell>
          <cell r="H268">
            <v>3</v>
          </cell>
        </row>
        <row r="269">
          <cell r="A269">
            <v>546</v>
          </cell>
          <cell r="B269" t="str">
            <v>Мирзамахмуд угли</v>
          </cell>
          <cell r="C269" t="str">
            <v>ф/х</v>
          </cell>
          <cell r="D269" t="str">
            <v>С.Синдаров</v>
          </cell>
          <cell r="E269" t="str">
            <v>Зафаробод</v>
          </cell>
          <cell r="F269">
            <v>31600</v>
          </cell>
          <cell r="H269">
            <v>3</v>
          </cell>
        </row>
        <row r="270">
          <cell r="A270">
            <v>547</v>
          </cell>
          <cell r="B270" t="str">
            <v>Мирзамурод ота</v>
          </cell>
          <cell r="C270" t="str">
            <v>ф/х</v>
          </cell>
          <cell r="D270" t="str">
            <v>С.Синдаров</v>
          </cell>
          <cell r="E270" t="str">
            <v>Зафаробод</v>
          </cell>
          <cell r="F270">
            <v>19000</v>
          </cell>
          <cell r="H270">
            <v>6</v>
          </cell>
        </row>
        <row r="271">
          <cell r="A271">
            <v>548</v>
          </cell>
          <cell r="B271" t="str">
            <v>Михаём</v>
          </cell>
          <cell r="C271" t="str">
            <v>ф/х</v>
          </cell>
          <cell r="D271" t="str">
            <v>С.Синдаров</v>
          </cell>
          <cell r="E271" t="str">
            <v>Зафаробод</v>
          </cell>
          <cell r="F271">
            <v>11600</v>
          </cell>
          <cell r="H271">
            <v>7</v>
          </cell>
        </row>
        <row r="272">
          <cell r="A272">
            <v>549</v>
          </cell>
          <cell r="B272" t="str">
            <v>Муродилла угли-Комил</v>
          </cell>
          <cell r="C272" t="str">
            <v>ф/х</v>
          </cell>
          <cell r="D272" t="str">
            <v>С.Синдаров</v>
          </cell>
          <cell r="E272" t="str">
            <v>Зафаробод</v>
          </cell>
          <cell r="F272">
            <v>63700</v>
          </cell>
          <cell r="H272">
            <v>8</v>
          </cell>
        </row>
        <row r="273">
          <cell r="A273">
            <v>550</v>
          </cell>
          <cell r="B273" t="str">
            <v>Мусан ота</v>
          </cell>
          <cell r="C273" t="str">
            <v>ф/х</v>
          </cell>
          <cell r="D273" t="str">
            <v>С.Синдаров</v>
          </cell>
          <cell r="E273" t="str">
            <v>Зафаробод</v>
          </cell>
          <cell r="F273">
            <v>22900</v>
          </cell>
          <cell r="H273">
            <v>8</v>
          </cell>
        </row>
        <row r="274">
          <cell r="A274">
            <v>551</v>
          </cell>
          <cell r="B274" t="str">
            <v>Мухаммад бобо</v>
          </cell>
          <cell r="C274" t="str">
            <v>ф/х</v>
          </cell>
          <cell r="D274" t="str">
            <v>С.Синдаров</v>
          </cell>
          <cell r="E274" t="str">
            <v>Зафаробод</v>
          </cell>
          <cell r="F274">
            <v>96000</v>
          </cell>
          <cell r="H274">
            <v>4</v>
          </cell>
        </row>
        <row r="275">
          <cell r="A275">
            <v>552</v>
          </cell>
          <cell r="B275" t="str">
            <v>Мушар эна</v>
          </cell>
          <cell r="C275" t="str">
            <v>ф/х</v>
          </cell>
          <cell r="D275" t="str">
            <v>С.Синдаров</v>
          </cell>
          <cell r="E275" t="str">
            <v>Зафаробод</v>
          </cell>
          <cell r="F275">
            <v>35000</v>
          </cell>
          <cell r="H275">
            <v>3</v>
          </cell>
        </row>
        <row r="276">
          <cell r="A276">
            <v>553</v>
          </cell>
          <cell r="B276" t="str">
            <v>Навкат-Сой</v>
          </cell>
          <cell r="C276" t="str">
            <v>ф/х</v>
          </cell>
          <cell r="D276" t="str">
            <v>С.Синдаров</v>
          </cell>
          <cell r="E276" t="str">
            <v>Зафаробод</v>
          </cell>
          <cell r="F276">
            <v>82200</v>
          </cell>
          <cell r="H276">
            <v>4</v>
          </cell>
        </row>
        <row r="277">
          <cell r="A277">
            <v>554</v>
          </cell>
          <cell r="B277" t="str">
            <v>Навруз-99</v>
          </cell>
          <cell r="C277" t="str">
            <v>ф/х</v>
          </cell>
          <cell r="D277" t="str">
            <v>С.Синдаров</v>
          </cell>
          <cell r="E277" t="str">
            <v>Зафаробод</v>
          </cell>
          <cell r="F277">
            <v>10700</v>
          </cell>
          <cell r="H277">
            <v>4</v>
          </cell>
        </row>
        <row r="278">
          <cell r="A278">
            <v>555</v>
          </cell>
          <cell r="B278" t="str">
            <v>Наманган</v>
          </cell>
          <cell r="C278" t="str">
            <v>ф/х</v>
          </cell>
          <cell r="D278" t="str">
            <v>С.Синдаров</v>
          </cell>
          <cell r="E278" t="str">
            <v>Зафаробод</v>
          </cell>
          <cell r="F278">
            <v>36000</v>
          </cell>
          <cell r="H278">
            <v>4</v>
          </cell>
        </row>
        <row r="279">
          <cell r="A279">
            <v>556</v>
          </cell>
          <cell r="B279" t="str">
            <v xml:space="preserve">Наргиза </v>
          </cell>
          <cell r="C279" t="str">
            <v>ф/х</v>
          </cell>
          <cell r="D279" t="str">
            <v>С.Синдаров</v>
          </cell>
          <cell r="E279" t="str">
            <v>Зафаробод</v>
          </cell>
          <cell r="F279">
            <v>56700</v>
          </cell>
          <cell r="H279">
            <v>6</v>
          </cell>
        </row>
        <row r="280">
          <cell r="A280">
            <v>557</v>
          </cell>
          <cell r="B280" t="str">
            <v>Насиб-Кувон</v>
          </cell>
          <cell r="C280" t="str">
            <v>ф/х</v>
          </cell>
          <cell r="D280" t="str">
            <v>С.Синдаров</v>
          </cell>
          <cell r="E280" t="str">
            <v>Зафаробод</v>
          </cell>
          <cell r="F280">
            <v>24000</v>
          </cell>
          <cell r="H280">
            <v>5</v>
          </cell>
        </row>
        <row r="281">
          <cell r="A281">
            <v>558</v>
          </cell>
          <cell r="B281" t="str">
            <v>Ниёзхон</v>
          </cell>
          <cell r="C281" t="str">
            <v>ф/х</v>
          </cell>
          <cell r="D281" t="str">
            <v>С.Синдаров</v>
          </cell>
          <cell r="E281" t="str">
            <v>Зафаробод</v>
          </cell>
          <cell r="F281">
            <v>28100</v>
          </cell>
          <cell r="H281">
            <v>3</v>
          </cell>
        </row>
        <row r="282">
          <cell r="A282">
            <v>559</v>
          </cell>
          <cell r="B282" t="str">
            <v>Норжигит ота</v>
          </cell>
          <cell r="C282" t="str">
            <v>ф/х</v>
          </cell>
          <cell r="D282" t="str">
            <v>С.Синдаров</v>
          </cell>
          <cell r="E282" t="str">
            <v>Зафаробод</v>
          </cell>
          <cell r="F282">
            <v>41200</v>
          </cell>
          <cell r="H282">
            <v>6</v>
          </cell>
        </row>
        <row r="283">
          <cell r="A283">
            <v>560</v>
          </cell>
          <cell r="B283" t="str">
            <v>Нуроний</v>
          </cell>
          <cell r="C283" t="str">
            <v>ф/х</v>
          </cell>
          <cell r="D283" t="str">
            <v>С.Синдаров</v>
          </cell>
          <cell r="E283" t="str">
            <v>Зафаробод</v>
          </cell>
          <cell r="F283">
            <v>86400</v>
          </cell>
          <cell r="H283">
            <v>4</v>
          </cell>
        </row>
        <row r="284">
          <cell r="A284">
            <v>561</v>
          </cell>
          <cell r="B284" t="str">
            <v xml:space="preserve">Обод </v>
          </cell>
          <cell r="C284" t="str">
            <v>ф/х</v>
          </cell>
          <cell r="D284" t="str">
            <v>С.Синдаров</v>
          </cell>
          <cell r="E284" t="str">
            <v>Зафаробод</v>
          </cell>
          <cell r="F284">
            <v>27400</v>
          </cell>
          <cell r="H284">
            <v>4</v>
          </cell>
        </row>
        <row r="285">
          <cell r="A285">
            <v>562</v>
          </cell>
          <cell r="B285" t="str">
            <v>Обод диёр</v>
          </cell>
          <cell r="C285" t="str">
            <v>ф/х</v>
          </cell>
          <cell r="D285" t="str">
            <v>С.Синдаров</v>
          </cell>
          <cell r="E285" t="str">
            <v>Зафаробод</v>
          </cell>
          <cell r="F285">
            <v>71400</v>
          </cell>
          <cell r="H285">
            <v>6</v>
          </cell>
        </row>
        <row r="286">
          <cell r="A286">
            <v>563</v>
          </cell>
          <cell r="B286" t="str">
            <v>Окибат</v>
          </cell>
          <cell r="C286" t="str">
            <v>ф/х</v>
          </cell>
          <cell r="D286" t="str">
            <v>С.Синдаров</v>
          </cell>
          <cell r="E286" t="str">
            <v>Зафаробод</v>
          </cell>
          <cell r="F286">
            <v>14200</v>
          </cell>
          <cell r="H286">
            <v>7</v>
          </cell>
        </row>
        <row r="287">
          <cell r="A287">
            <v>564</v>
          </cell>
          <cell r="B287" t="str">
            <v>Оллон бобо</v>
          </cell>
          <cell r="C287" t="str">
            <v>ф/х</v>
          </cell>
          <cell r="D287" t="str">
            <v>С.Синдаров</v>
          </cell>
          <cell r="E287" t="str">
            <v>Зафаробод</v>
          </cell>
          <cell r="F287">
            <v>30000</v>
          </cell>
          <cell r="H287">
            <v>1</v>
          </cell>
        </row>
        <row r="288">
          <cell r="A288">
            <v>565</v>
          </cell>
          <cell r="B288" t="str">
            <v>Олтин дала</v>
          </cell>
          <cell r="C288" t="str">
            <v>ф/х</v>
          </cell>
          <cell r="D288" t="str">
            <v>С.Синдаров</v>
          </cell>
          <cell r="E288" t="str">
            <v>Зафаробод</v>
          </cell>
          <cell r="F288">
            <v>58000</v>
          </cell>
          <cell r="H288">
            <v>5</v>
          </cell>
        </row>
        <row r="289">
          <cell r="A289">
            <v>566</v>
          </cell>
          <cell r="B289" t="str">
            <v>Олтин тош сулоласи</v>
          </cell>
          <cell r="C289" t="str">
            <v>ф/х</v>
          </cell>
          <cell r="D289" t="str">
            <v>С.Синдаров</v>
          </cell>
          <cell r="E289" t="str">
            <v>Зафаробод</v>
          </cell>
          <cell r="F289">
            <v>55800</v>
          </cell>
          <cell r="H289">
            <v>6</v>
          </cell>
        </row>
        <row r="290">
          <cell r="A290">
            <v>567</v>
          </cell>
          <cell r="B290" t="str">
            <v>Олтинбек</v>
          </cell>
          <cell r="C290" t="str">
            <v>ф/х</v>
          </cell>
          <cell r="D290" t="str">
            <v>С.Синдаров</v>
          </cell>
          <cell r="E290" t="str">
            <v>Зафаробод</v>
          </cell>
          <cell r="F290">
            <v>53800</v>
          </cell>
          <cell r="H290">
            <v>6</v>
          </cell>
        </row>
        <row r="291">
          <cell r="A291">
            <v>568</v>
          </cell>
          <cell r="B291" t="str">
            <v>Омон-Диёрбек</v>
          </cell>
          <cell r="C291" t="str">
            <v>ф/х</v>
          </cell>
          <cell r="D291" t="str">
            <v>С.Синдаров</v>
          </cell>
          <cell r="E291" t="str">
            <v>Зафаробод</v>
          </cell>
          <cell r="F291">
            <v>28500</v>
          </cell>
          <cell r="H291">
            <v>5</v>
          </cell>
        </row>
        <row r="292">
          <cell r="A292">
            <v>569</v>
          </cell>
          <cell r="B292" t="str">
            <v>Орзукул Сувонов</v>
          </cell>
          <cell r="C292" t="str">
            <v>ф/х</v>
          </cell>
          <cell r="D292" t="str">
            <v>С.Синдаров</v>
          </cell>
          <cell r="E292" t="str">
            <v>Зафаробод</v>
          </cell>
          <cell r="F292">
            <v>71000</v>
          </cell>
          <cell r="H292">
            <v>5</v>
          </cell>
        </row>
        <row r="293">
          <cell r="A293">
            <v>570</v>
          </cell>
          <cell r="B293" t="str">
            <v>Отамбой бобо</v>
          </cell>
          <cell r="C293" t="str">
            <v>ф/х</v>
          </cell>
          <cell r="D293" t="str">
            <v>С.Синдаров</v>
          </cell>
          <cell r="E293" t="str">
            <v>Зафаробод</v>
          </cell>
          <cell r="F293">
            <v>49000</v>
          </cell>
          <cell r="H293">
            <v>6</v>
          </cell>
        </row>
        <row r="294">
          <cell r="A294">
            <v>571</v>
          </cell>
          <cell r="B294" t="str">
            <v>Равшан</v>
          </cell>
          <cell r="C294" t="str">
            <v>ф/х</v>
          </cell>
          <cell r="D294" t="str">
            <v>С.Синдаров</v>
          </cell>
          <cell r="E294" t="str">
            <v>Зафаробод</v>
          </cell>
          <cell r="F294">
            <v>21500</v>
          </cell>
          <cell r="H294">
            <v>6</v>
          </cell>
        </row>
        <row r="295">
          <cell r="A295">
            <v>572</v>
          </cell>
          <cell r="B295" t="str">
            <v>Рахмонжон бобо</v>
          </cell>
          <cell r="C295" t="str">
            <v>ф/х</v>
          </cell>
          <cell r="D295" t="str">
            <v>С.Синдаров</v>
          </cell>
          <cell r="E295" t="str">
            <v>Зафаробод</v>
          </cell>
          <cell r="F295">
            <v>39300</v>
          </cell>
          <cell r="H295">
            <v>6</v>
          </cell>
        </row>
        <row r="296">
          <cell r="A296">
            <v>573</v>
          </cell>
          <cell r="B296" t="str">
            <v xml:space="preserve">Сайёджон </v>
          </cell>
          <cell r="C296" t="str">
            <v>ф/х</v>
          </cell>
          <cell r="D296" t="str">
            <v>С.Синдаров</v>
          </cell>
          <cell r="E296" t="str">
            <v>Зафаробод</v>
          </cell>
          <cell r="F296">
            <v>39100</v>
          </cell>
          <cell r="H296">
            <v>8</v>
          </cell>
        </row>
        <row r="297">
          <cell r="A297">
            <v>574</v>
          </cell>
          <cell r="B297" t="str">
            <v>Сайодон-Султони</v>
          </cell>
          <cell r="C297" t="str">
            <v>ф/х</v>
          </cell>
          <cell r="D297" t="str">
            <v>С.Синдаров</v>
          </cell>
          <cell r="E297" t="str">
            <v>Зафаробод</v>
          </cell>
          <cell r="F297">
            <v>54200</v>
          </cell>
          <cell r="H297">
            <v>5</v>
          </cell>
        </row>
        <row r="298">
          <cell r="A298">
            <v>575</v>
          </cell>
          <cell r="B298" t="str">
            <v>Салохиддин невараси-Элчин</v>
          </cell>
          <cell r="C298" t="str">
            <v>ф/х</v>
          </cell>
          <cell r="D298" t="str">
            <v>С.Синдаров</v>
          </cell>
          <cell r="E298" t="str">
            <v>Зафаробод</v>
          </cell>
          <cell r="F298">
            <v>51400</v>
          </cell>
          <cell r="H298">
            <v>8</v>
          </cell>
        </row>
        <row r="299">
          <cell r="A299">
            <v>576</v>
          </cell>
          <cell r="B299" t="str">
            <v>Сафаржон</v>
          </cell>
          <cell r="C299" t="str">
            <v>ф/х</v>
          </cell>
          <cell r="D299" t="str">
            <v>С.Синдаров</v>
          </cell>
          <cell r="E299" t="str">
            <v>Зафаробод</v>
          </cell>
          <cell r="F299">
            <v>38800</v>
          </cell>
          <cell r="H299">
            <v>8</v>
          </cell>
        </row>
        <row r="300">
          <cell r="A300">
            <v>577</v>
          </cell>
          <cell r="B300" t="str">
            <v>Саховатли Алп</v>
          </cell>
          <cell r="C300" t="str">
            <v>ф/х</v>
          </cell>
          <cell r="D300" t="str">
            <v>С.Синдаров</v>
          </cell>
          <cell r="E300" t="str">
            <v>Зафаробод</v>
          </cell>
          <cell r="F300">
            <v>38500</v>
          </cell>
          <cell r="H300">
            <v>6</v>
          </cell>
        </row>
        <row r="301">
          <cell r="A301">
            <v>578</v>
          </cell>
          <cell r="B301" t="str">
            <v>Сохил</v>
          </cell>
          <cell r="C301" t="str">
            <v>ф/х</v>
          </cell>
          <cell r="D301" t="str">
            <v>С.Синдаров</v>
          </cell>
          <cell r="E301" t="str">
            <v>Зафаробод</v>
          </cell>
          <cell r="F301">
            <v>26100</v>
          </cell>
          <cell r="H301">
            <v>8</v>
          </cell>
        </row>
        <row r="302">
          <cell r="A302">
            <v>579</v>
          </cell>
          <cell r="B302" t="str">
            <v>Султон-Ниён</v>
          </cell>
          <cell r="C302" t="str">
            <v>ф/х</v>
          </cell>
          <cell r="D302" t="str">
            <v>С.Синдаров</v>
          </cell>
          <cell r="E302" t="str">
            <v>Зафаробод</v>
          </cell>
          <cell r="F302">
            <v>25800</v>
          </cell>
          <cell r="H302">
            <v>3</v>
          </cell>
        </row>
        <row r="303">
          <cell r="A303">
            <v>580</v>
          </cell>
          <cell r="B303" t="str">
            <v>Тегирмон арик-Сой</v>
          </cell>
          <cell r="C303" t="str">
            <v>ф/х</v>
          </cell>
          <cell r="D303" t="str">
            <v>С.Синдаров</v>
          </cell>
          <cell r="E303" t="str">
            <v>Зафаробод</v>
          </cell>
          <cell r="F303">
            <v>84500</v>
          </cell>
          <cell r="H303">
            <v>4</v>
          </cell>
        </row>
        <row r="304">
          <cell r="A304">
            <v>581</v>
          </cell>
          <cell r="B304" t="str">
            <v>Темир-Мираббос</v>
          </cell>
          <cell r="C304" t="str">
            <v>ф/х</v>
          </cell>
          <cell r="D304" t="str">
            <v>С.Синдаров</v>
          </cell>
          <cell r="E304" t="str">
            <v>Зафаробод</v>
          </cell>
          <cell r="F304">
            <v>55200</v>
          </cell>
          <cell r="H304">
            <v>4</v>
          </cell>
        </row>
        <row r="305">
          <cell r="A305">
            <v>582</v>
          </cell>
          <cell r="B305" t="str">
            <v>Тошкент</v>
          </cell>
          <cell r="C305" t="str">
            <v>ф/х</v>
          </cell>
          <cell r="D305" t="str">
            <v>С.Синдаров</v>
          </cell>
          <cell r="E305" t="str">
            <v>Зафаробод</v>
          </cell>
          <cell r="F305">
            <v>57600</v>
          </cell>
          <cell r="H305">
            <v>7</v>
          </cell>
        </row>
        <row r="306">
          <cell r="A306">
            <v>583</v>
          </cell>
          <cell r="B306" t="str">
            <v>Тулпор</v>
          </cell>
          <cell r="C306" t="str">
            <v>ф/х</v>
          </cell>
          <cell r="D306" t="str">
            <v>С.Синдаров</v>
          </cell>
          <cell r="E306" t="str">
            <v>Зафаробод</v>
          </cell>
          <cell r="F306">
            <v>22900</v>
          </cell>
          <cell r="H306">
            <v>4</v>
          </cell>
        </row>
        <row r="307">
          <cell r="A307">
            <v>584</v>
          </cell>
          <cell r="B307" t="str">
            <v>Турабек-Уйгун</v>
          </cell>
          <cell r="C307" t="str">
            <v>ф/х</v>
          </cell>
          <cell r="D307" t="str">
            <v>С.Синдаров</v>
          </cell>
          <cell r="E307" t="str">
            <v>Зафаробод</v>
          </cell>
          <cell r="F307">
            <v>56700</v>
          </cell>
          <cell r="H307">
            <v>5</v>
          </cell>
        </row>
        <row r="308">
          <cell r="A308">
            <v>585</v>
          </cell>
          <cell r="B308" t="str">
            <v>Туртовлон</v>
          </cell>
          <cell r="C308" t="str">
            <v>ф/х</v>
          </cell>
          <cell r="D308" t="str">
            <v>С.Синдаров</v>
          </cell>
          <cell r="E308" t="str">
            <v>Зафаробод</v>
          </cell>
          <cell r="F308">
            <v>10500</v>
          </cell>
          <cell r="H308">
            <v>3</v>
          </cell>
        </row>
        <row r="309">
          <cell r="A309">
            <v>586</v>
          </cell>
          <cell r="B309" t="str">
            <v>Тутли булок</v>
          </cell>
          <cell r="C309" t="str">
            <v>ф/х</v>
          </cell>
          <cell r="D309" t="str">
            <v>С.Синдаров</v>
          </cell>
          <cell r="E309" t="str">
            <v>Зафаробод</v>
          </cell>
          <cell r="F309">
            <v>36300</v>
          </cell>
          <cell r="H309">
            <v>3</v>
          </cell>
        </row>
        <row r="310">
          <cell r="A310">
            <v>587</v>
          </cell>
          <cell r="B310" t="str">
            <v>Узлат</v>
          </cell>
          <cell r="C310" t="str">
            <v>ф/х</v>
          </cell>
          <cell r="D310" t="str">
            <v>С.Синдаров</v>
          </cell>
          <cell r="E310" t="str">
            <v>Зафаробод</v>
          </cell>
          <cell r="F310">
            <v>26100</v>
          </cell>
          <cell r="H310">
            <v>3</v>
          </cell>
        </row>
        <row r="311">
          <cell r="A311">
            <v>588</v>
          </cell>
          <cell r="B311" t="str">
            <v>Уктамжон</v>
          </cell>
          <cell r="C311" t="str">
            <v>ф/х</v>
          </cell>
          <cell r="D311" t="str">
            <v>С.Синдаров</v>
          </cell>
          <cell r="E311" t="str">
            <v>Зафаробод</v>
          </cell>
          <cell r="F311">
            <v>69300</v>
          </cell>
          <cell r="H311">
            <v>3</v>
          </cell>
        </row>
        <row r="312">
          <cell r="A312">
            <v>589</v>
          </cell>
          <cell r="B312" t="str">
            <v>Уткир Боходир</v>
          </cell>
          <cell r="C312" t="str">
            <v>ф/х</v>
          </cell>
          <cell r="D312" t="str">
            <v>С.Синдаров</v>
          </cell>
          <cell r="E312" t="str">
            <v>Зафаробод</v>
          </cell>
          <cell r="F312">
            <v>61500</v>
          </cell>
          <cell r="H312">
            <v>8</v>
          </cell>
        </row>
        <row r="313">
          <cell r="A313">
            <v>590</v>
          </cell>
          <cell r="B313" t="str">
            <v>Ухум</v>
          </cell>
          <cell r="C313" t="str">
            <v>ф/х</v>
          </cell>
          <cell r="D313" t="str">
            <v>С.Синдаров</v>
          </cell>
          <cell r="E313" t="str">
            <v>Зафаробод</v>
          </cell>
          <cell r="F313">
            <v>41200</v>
          </cell>
          <cell r="H313">
            <v>5</v>
          </cell>
        </row>
        <row r="314">
          <cell r="A314">
            <v>591</v>
          </cell>
          <cell r="B314" t="str">
            <v>Фидокор ёшлар</v>
          </cell>
          <cell r="C314" t="str">
            <v>ф/х</v>
          </cell>
          <cell r="D314" t="str">
            <v>С.Синдаров</v>
          </cell>
          <cell r="E314" t="str">
            <v>Зафаробод</v>
          </cell>
          <cell r="F314">
            <v>28800</v>
          </cell>
          <cell r="H314">
            <v>5</v>
          </cell>
        </row>
        <row r="315">
          <cell r="A315">
            <v>592</v>
          </cell>
          <cell r="B315" t="str">
            <v>Фориш</v>
          </cell>
          <cell r="C315" t="str">
            <v>ф/х</v>
          </cell>
          <cell r="D315" t="str">
            <v>С.Синдаров</v>
          </cell>
          <cell r="E315" t="str">
            <v>Зафаробод</v>
          </cell>
          <cell r="F315">
            <v>30400</v>
          </cell>
          <cell r="H315">
            <v>4</v>
          </cell>
        </row>
        <row r="316">
          <cell r="A316">
            <v>593</v>
          </cell>
          <cell r="B316" t="str">
            <v>Фориш дунёси</v>
          </cell>
          <cell r="C316" t="str">
            <v>ф/х</v>
          </cell>
          <cell r="D316" t="str">
            <v>С.Синдаров</v>
          </cell>
          <cell r="E316" t="str">
            <v>Зафаробод</v>
          </cell>
          <cell r="F316">
            <v>63000</v>
          </cell>
          <cell r="H316">
            <v>3</v>
          </cell>
        </row>
        <row r="317">
          <cell r="A317">
            <v>594</v>
          </cell>
          <cell r="B317" t="str">
            <v>Фуркат-Жума</v>
          </cell>
          <cell r="C317" t="str">
            <v>ф/х</v>
          </cell>
          <cell r="D317" t="str">
            <v>С.Синдаров</v>
          </cell>
          <cell r="E317" t="str">
            <v>Зафаробод</v>
          </cell>
          <cell r="F317">
            <v>28400</v>
          </cell>
          <cell r="H317">
            <v>9</v>
          </cell>
        </row>
        <row r="318">
          <cell r="A318">
            <v>595</v>
          </cell>
          <cell r="B318" t="str">
            <v>Хасанжон</v>
          </cell>
          <cell r="C318" t="str">
            <v>ф/х</v>
          </cell>
          <cell r="D318" t="str">
            <v>С.Синдаров</v>
          </cell>
          <cell r="E318" t="str">
            <v>Зафаробод</v>
          </cell>
          <cell r="F318">
            <v>58600</v>
          </cell>
          <cell r="H318">
            <v>6</v>
          </cell>
        </row>
        <row r="319">
          <cell r="A319">
            <v>596</v>
          </cell>
          <cell r="B319" t="str">
            <v>Хошим ота</v>
          </cell>
          <cell r="C319" t="str">
            <v>ф/х</v>
          </cell>
          <cell r="D319" t="str">
            <v>С.Синдаров</v>
          </cell>
          <cell r="E319" t="str">
            <v>Зафаробод</v>
          </cell>
          <cell r="F319">
            <v>36000</v>
          </cell>
          <cell r="H319">
            <v>7</v>
          </cell>
        </row>
        <row r="320">
          <cell r="A320">
            <v>597</v>
          </cell>
          <cell r="B320" t="str">
            <v>Хумоин шох</v>
          </cell>
          <cell r="C320" t="str">
            <v>ф/х</v>
          </cell>
          <cell r="D320" t="str">
            <v>С.Синдаров</v>
          </cell>
          <cell r="E320" t="str">
            <v>Зафаробод</v>
          </cell>
          <cell r="F320">
            <v>27300</v>
          </cell>
          <cell r="H320">
            <v>6</v>
          </cell>
        </row>
        <row r="321">
          <cell r="A321">
            <v>598</v>
          </cell>
          <cell r="B321" t="str">
            <v>Хуроз ота</v>
          </cell>
          <cell r="C321" t="str">
            <v>ф/х</v>
          </cell>
          <cell r="D321" t="str">
            <v>С.Синдаров</v>
          </cell>
          <cell r="E321" t="str">
            <v>Зафаробод</v>
          </cell>
          <cell r="F321">
            <v>47100</v>
          </cell>
          <cell r="H321">
            <v>4</v>
          </cell>
        </row>
        <row r="322">
          <cell r="A322">
            <v>599</v>
          </cell>
          <cell r="B322" t="str">
            <v>Чиборлик-Исроил</v>
          </cell>
          <cell r="C322" t="str">
            <v>ф/х</v>
          </cell>
          <cell r="D322" t="str">
            <v>С.Синдаров</v>
          </cell>
          <cell r="E322" t="str">
            <v>Зафаробод</v>
          </cell>
          <cell r="F322">
            <v>28800</v>
          </cell>
          <cell r="H322">
            <v>4</v>
          </cell>
        </row>
        <row r="323">
          <cell r="A323">
            <v>600</v>
          </cell>
          <cell r="B323" t="str">
            <v>Шарип ота</v>
          </cell>
          <cell r="C323" t="str">
            <v>ф/х</v>
          </cell>
          <cell r="D323" t="str">
            <v>С.Синдаров</v>
          </cell>
          <cell r="E323" t="str">
            <v>Зафаробод</v>
          </cell>
          <cell r="F323">
            <v>22700</v>
          </cell>
          <cell r="H323">
            <v>6</v>
          </cell>
        </row>
        <row r="324">
          <cell r="A324">
            <v>601</v>
          </cell>
          <cell r="B324" t="str">
            <v>Шароф</v>
          </cell>
          <cell r="C324" t="str">
            <v>ф/х</v>
          </cell>
          <cell r="D324" t="str">
            <v>С.Синдаров</v>
          </cell>
          <cell r="E324" t="str">
            <v>Зафаробод</v>
          </cell>
          <cell r="F324">
            <v>46400</v>
          </cell>
          <cell r="H324">
            <v>4</v>
          </cell>
        </row>
        <row r="325">
          <cell r="A325">
            <v>602</v>
          </cell>
          <cell r="B325" t="str">
            <v>Шахзод</v>
          </cell>
          <cell r="C325" t="str">
            <v>ф/х</v>
          </cell>
          <cell r="D325" t="str">
            <v>С.Синдаров</v>
          </cell>
          <cell r="E325" t="str">
            <v>Зафаробод</v>
          </cell>
          <cell r="F325">
            <v>76500</v>
          </cell>
          <cell r="H325">
            <v>6</v>
          </cell>
        </row>
        <row r="326">
          <cell r="A326">
            <v>603</v>
          </cell>
          <cell r="B326" t="str">
            <v>Шеркул бобо</v>
          </cell>
          <cell r="C326" t="str">
            <v>ф/х</v>
          </cell>
          <cell r="D326" t="str">
            <v>С.Синдаров</v>
          </cell>
          <cell r="E326" t="str">
            <v>Зафаробод</v>
          </cell>
          <cell r="F326">
            <v>17000</v>
          </cell>
          <cell r="H326">
            <v>2</v>
          </cell>
        </row>
        <row r="327">
          <cell r="A327">
            <v>604</v>
          </cell>
          <cell r="B327" t="str">
            <v>Шер-Сарбон-Юсуф</v>
          </cell>
          <cell r="C327" t="str">
            <v>ф/х</v>
          </cell>
          <cell r="D327" t="str">
            <v>С.Синдаров</v>
          </cell>
          <cell r="E327" t="str">
            <v>Зафаробод</v>
          </cell>
          <cell r="F327">
            <v>137000</v>
          </cell>
          <cell r="H327">
            <v>4</v>
          </cell>
        </row>
        <row r="328">
          <cell r="A328">
            <v>605</v>
          </cell>
          <cell r="B328" t="str">
            <v>Шинжон</v>
          </cell>
          <cell r="C328" t="str">
            <v>ф/х</v>
          </cell>
          <cell r="D328" t="str">
            <v>С.Синдаров</v>
          </cell>
          <cell r="E328" t="str">
            <v>Зафаробод</v>
          </cell>
          <cell r="F328">
            <v>39000</v>
          </cell>
          <cell r="H328">
            <v>7</v>
          </cell>
        </row>
        <row r="329">
          <cell r="A329">
            <v>606</v>
          </cell>
          <cell r="B329" t="str">
            <v>Ширгайон-Хурмо</v>
          </cell>
          <cell r="C329" t="str">
            <v>ф/х</v>
          </cell>
          <cell r="D329" t="str">
            <v>С.Синдаров</v>
          </cell>
          <cell r="E329" t="str">
            <v>Зафаробод</v>
          </cell>
          <cell r="F329">
            <v>34400</v>
          </cell>
          <cell r="H329">
            <v>8</v>
          </cell>
        </row>
        <row r="330">
          <cell r="A330">
            <v>607</v>
          </cell>
          <cell r="B330" t="str">
            <v>Шомурод-Тадбиркор</v>
          </cell>
          <cell r="C330" t="str">
            <v>ф/х</v>
          </cell>
          <cell r="D330" t="str">
            <v>С.Синдаров</v>
          </cell>
          <cell r="E330" t="str">
            <v>Зафаробод</v>
          </cell>
          <cell r="F330">
            <v>82000</v>
          </cell>
          <cell r="H330">
            <v>8</v>
          </cell>
        </row>
        <row r="331">
          <cell r="A331">
            <v>608</v>
          </cell>
          <cell r="B331" t="str">
            <v>Элдор-Али-Маржон</v>
          </cell>
          <cell r="C331" t="str">
            <v>ф/х</v>
          </cell>
          <cell r="D331" t="str">
            <v>С.Синдаров</v>
          </cell>
          <cell r="E331" t="str">
            <v>Зафаробод</v>
          </cell>
          <cell r="F331">
            <v>41100</v>
          </cell>
          <cell r="H331">
            <v>8</v>
          </cell>
        </row>
        <row r="332">
          <cell r="A332">
            <v>609</v>
          </cell>
          <cell r="B332" t="str">
            <v>Элмуроджон</v>
          </cell>
          <cell r="C332" t="str">
            <v>ф/х</v>
          </cell>
          <cell r="D332" t="str">
            <v>С.Синдаров</v>
          </cell>
          <cell r="E332" t="str">
            <v>Зафаробод</v>
          </cell>
          <cell r="F332">
            <v>18300</v>
          </cell>
          <cell r="H332">
            <v>8</v>
          </cell>
        </row>
        <row r="333">
          <cell r="A333">
            <v>610</v>
          </cell>
          <cell r="B333" t="str">
            <v>Эрхон-Омон</v>
          </cell>
          <cell r="C333" t="str">
            <v>ф/х</v>
          </cell>
          <cell r="D333" t="str">
            <v>С.Синдаров</v>
          </cell>
          <cell r="E333" t="str">
            <v>Зафаробод</v>
          </cell>
          <cell r="F333">
            <v>14600</v>
          </cell>
          <cell r="H333">
            <v>5</v>
          </cell>
        </row>
        <row r="334">
          <cell r="A334">
            <v>611</v>
          </cell>
          <cell r="B334" t="str">
            <v>Эшбулди</v>
          </cell>
          <cell r="C334" t="str">
            <v>ф/х</v>
          </cell>
          <cell r="D334" t="str">
            <v>С.Синдаров</v>
          </cell>
          <cell r="E334" t="str">
            <v>Зафаробод</v>
          </cell>
          <cell r="F334">
            <v>64700</v>
          </cell>
          <cell r="H334">
            <v>3</v>
          </cell>
        </row>
        <row r="335">
          <cell r="A335">
            <v>612</v>
          </cell>
          <cell r="B335" t="str">
            <v>Янги-Аср</v>
          </cell>
          <cell r="C335" t="str">
            <v>ф/х</v>
          </cell>
          <cell r="D335" t="str">
            <v>С.Синдаров</v>
          </cell>
          <cell r="E335" t="str">
            <v>Зафаробод</v>
          </cell>
          <cell r="F335">
            <v>19500</v>
          </cell>
          <cell r="H335">
            <v>4</v>
          </cell>
        </row>
        <row r="336">
          <cell r="A336">
            <v>613</v>
          </cell>
          <cell r="B336" t="str">
            <v>Янгиобод</v>
          </cell>
          <cell r="C336" t="str">
            <v>ф/х</v>
          </cell>
          <cell r="D336" t="str">
            <v>С.Синдаров</v>
          </cell>
          <cell r="E336" t="str">
            <v>Зафаробод</v>
          </cell>
          <cell r="F336">
            <v>35000</v>
          </cell>
          <cell r="H336">
            <v>7</v>
          </cell>
        </row>
        <row r="337">
          <cell r="A337">
            <v>351</v>
          </cell>
          <cell r="B337" t="str">
            <v xml:space="preserve">А К А </v>
          </cell>
          <cell r="C337" t="str">
            <v>ф/х</v>
          </cell>
          <cell r="D337" t="str">
            <v>С.Рахимов</v>
          </cell>
          <cell r="E337" t="str">
            <v>Зафаробод</v>
          </cell>
          <cell r="F337">
            <v>225000</v>
          </cell>
          <cell r="I337">
            <v>17</v>
          </cell>
        </row>
        <row r="338">
          <cell r="A338">
            <v>352</v>
          </cell>
          <cell r="B338" t="str">
            <v>Абдугаффоров Кучим</v>
          </cell>
          <cell r="C338" t="str">
            <v>ф/х</v>
          </cell>
          <cell r="D338" t="str">
            <v>С.Рахимов</v>
          </cell>
          <cell r="E338" t="str">
            <v>Зафаробод</v>
          </cell>
          <cell r="F338">
            <v>20800</v>
          </cell>
          <cell r="I338">
            <v>10</v>
          </cell>
        </row>
        <row r="339">
          <cell r="A339">
            <v>353</v>
          </cell>
          <cell r="B339" t="str">
            <v>Абдураззок</v>
          </cell>
          <cell r="C339" t="str">
            <v>ф/х</v>
          </cell>
          <cell r="D339" t="str">
            <v>С.Рахимов</v>
          </cell>
          <cell r="E339" t="str">
            <v>Зафаробод</v>
          </cell>
          <cell r="F339">
            <v>46900</v>
          </cell>
          <cell r="I339">
            <v>10</v>
          </cell>
        </row>
        <row r="340">
          <cell r="A340">
            <v>354</v>
          </cell>
          <cell r="B340" t="str">
            <v>Аброрбек</v>
          </cell>
          <cell r="C340" t="str">
            <v>ф/х</v>
          </cell>
          <cell r="D340" t="str">
            <v>С.Рахимов</v>
          </cell>
          <cell r="E340" t="str">
            <v>Зафаробод</v>
          </cell>
          <cell r="F340">
            <v>24600</v>
          </cell>
          <cell r="I340">
            <v>12</v>
          </cell>
        </row>
        <row r="341">
          <cell r="A341">
            <v>355</v>
          </cell>
          <cell r="B341" t="str">
            <v>Азамат</v>
          </cell>
          <cell r="C341" t="str">
            <v>ф/х</v>
          </cell>
          <cell r="D341" t="str">
            <v>С.Рахимов</v>
          </cell>
          <cell r="E341" t="str">
            <v>Зафаробод</v>
          </cell>
          <cell r="F341">
            <v>65500</v>
          </cell>
          <cell r="I341">
            <v>5</v>
          </cell>
        </row>
        <row r="342">
          <cell r="A342">
            <v>356</v>
          </cell>
          <cell r="B342" t="str">
            <v>Азлартепа</v>
          </cell>
          <cell r="C342" t="str">
            <v>ф/х</v>
          </cell>
          <cell r="D342" t="str">
            <v>С.Рахимов</v>
          </cell>
          <cell r="E342" t="str">
            <v>Зафаробод</v>
          </cell>
          <cell r="F342">
            <v>29000</v>
          </cell>
          <cell r="I342">
            <v>12</v>
          </cell>
        </row>
        <row r="343">
          <cell r="A343">
            <v>357</v>
          </cell>
          <cell r="B343" t="str">
            <v>Ачил бобо</v>
          </cell>
          <cell r="C343" t="str">
            <v>ф/х</v>
          </cell>
          <cell r="D343" t="str">
            <v>С.Рахимов</v>
          </cell>
          <cell r="E343" t="str">
            <v>Зафаробод</v>
          </cell>
          <cell r="F343">
            <v>30500</v>
          </cell>
          <cell r="I343">
            <v>10</v>
          </cell>
        </row>
        <row r="344">
          <cell r="A344">
            <v>358</v>
          </cell>
          <cell r="B344" t="str">
            <v>Б А М</v>
          </cell>
          <cell r="C344" t="str">
            <v>ф/х</v>
          </cell>
          <cell r="D344" t="str">
            <v>С.Рахимов</v>
          </cell>
          <cell r="E344" t="str">
            <v>Зафаробод</v>
          </cell>
          <cell r="F344">
            <v>36300</v>
          </cell>
          <cell r="I344">
            <v>8</v>
          </cell>
        </row>
        <row r="345">
          <cell r="A345">
            <v>359</v>
          </cell>
          <cell r="B345" t="str">
            <v>Балки эл нур</v>
          </cell>
          <cell r="C345" t="str">
            <v>ф/х</v>
          </cell>
          <cell r="D345" t="str">
            <v>С.Рахимов</v>
          </cell>
          <cell r="E345" t="str">
            <v>Зафаробод</v>
          </cell>
          <cell r="F345">
            <v>30400</v>
          </cell>
          <cell r="I345">
            <v>8</v>
          </cell>
        </row>
        <row r="346">
          <cell r="A346">
            <v>360</v>
          </cell>
          <cell r="B346" t="str">
            <v>Бахром ота</v>
          </cell>
          <cell r="C346" t="str">
            <v>ф/х</v>
          </cell>
          <cell r="D346" t="str">
            <v>С.Рахимов</v>
          </cell>
          <cell r="E346" t="str">
            <v>Зафаробод</v>
          </cell>
          <cell r="F346">
            <v>44800</v>
          </cell>
          <cell r="I346">
            <v>10</v>
          </cell>
        </row>
        <row r="347">
          <cell r="A347">
            <v>361</v>
          </cell>
          <cell r="B347" t="str">
            <v>Бек-1</v>
          </cell>
          <cell r="C347" t="str">
            <v>ф/х</v>
          </cell>
          <cell r="D347" t="str">
            <v>С.Рахимов</v>
          </cell>
          <cell r="E347" t="str">
            <v>Зафаробод</v>
          </cell>
          <cell r="F347">
            <v>49100</v>
          </cell>
          <cell r="I347">
            <v>12</v>
          </cell>
        </row>
        <row r="348">
          <cell r="A348">
            <v>362</v>
          </cell>
          <cell r="B348" t="str">
            <v>Беш-бола</v>
          </cell>
          <cell r="C348" t="str">
            <v>ф/х</v>
          </cell>
          <cell r="D348" t="str">
            <v>С.Рахимов</v>
          </cell>
          <cell r="E348" t="str">
            <v>Зафаробод</v>
          </cell>
          <cell r="F348">
            <v>92100</v>
          </cell>
          <cell r="I348">
            <v>15</v>
          </cell>
        </row>
        <row r="349">
          <cell r="A349">
            <v>363</v>
          </cell>
          <cell r="B349" t="str">
            <v>Бобокалон</v>
          </cell>
          <cell r="C349" t="str">
            <v>ф/х</v>
          </cell>
          <cell r="D349" t="str">
            <v>С.Рахимов</v>
          </cell>
          <cell r="E349" t="str">
            <v>Зафаробод</v>
          </cell>
          <cell r="F349">
            <v>50300</v>
          </cell>
          <cell r="I349">
            <v>12</v>
          </cell>
        </row>
        <row r="350">
          <cell r="A350">
            <v>364</v>
          </cell>
          <cell r="B350" t="str">
            <v>Боливойкарвон</v>
          </cell>
          <cell r="C350" t="str">
            <v>ф/х</v>
          </cell>
          <cell r="D350" t="str">
            <v>С.Рахимов</v>
          </cell>
          <cell r="E350" t="str">
            <v>Зафаробод</v>
          </cell>
          <cell r="F350">
            <v>36500</v>
          </cell>
          <cell r="I350">
            <v>12</v>
          </cell>
        </row>
        <row r="351">
          <cell r="A351">
            <v>365</v>
          </cell>
          <cell r="B351" t="str">
            <v>Булунгур</v>
          </cell>
          <cell r="C351" t="str">
            <v>ф/х</v>
          </cell>
          <cell r="D351" t="str">
            <v>С.Рахимов</v>
          </cell>
          <cell r="E351" t="str">
            <v>Зафаробод</v>
          </cell>
          <cell r="F351">
            <v>120000</v>
          </cell>
          <cell r="I351">
            <v>10</v>
          </cell>
        </row>
        <row r="352">
          <cell r="A352">
            <v>366</v>
          </cell>
          <cell r="B352" t="str">
            <v>Бунёд-1</v>
          </cell>
          <cell r="C352" t="str">
            <v>ф/х</v>
          </cell>
          <cell r="D352" t="str">
            <v>С.Рахимов</v>
          </cell>
          <cell r="E352" t="str">
            <v>Зафаробод</v>
          </cell>
          <cell r="F352">
            <v>34100</v>
          </cell>
          <cell r="I352">
            <v>11</v>
          </cell>
        </row>
        <row r="353">
          <cell r="A353">
            <v>367</v>
          </cell>
          <cell r="B353" t="str">
            <v>Бурчакли</v>
          </cell>
          <cell r="C353" t="str">
            <v>ф/х</v>
          </cell>
          <cell r="D353" t="str">
            <v>С.Рахимов</v>
          </cell>
          <cell r="E353" t="str">
            <v>Зафаробод</v>
          </cell>
          <cell r="F353">
            <v>21000</v>
          </cell>
          <cell r="I353">
            <v>11</v>
          </cell>
        </row>
        <row r="354">
          <cell r="A354">
            <v>368</v>
          </cell>
          <cell r="B354" t="str">
            <v>Вали-Эл-Нур</v>
          </cell>
          <cell r="C354" t="str">
            <v>ф/х</v>
          </cell>
          <cell r="D354" t="str">
            <v>С.Рахимов</v>
          </cell>
          <cell r="E354" t="str">
            <v>Зафаробод</v>
          </cell>
          <cell r="F354">
            <v>9000</v>
          </cell>
          <cell r="I354">
            <v>12</v>
          </cell>
        </row>
        <row r="355">
          <cell r="A355">
            <v>369</v>
          </cell>
          <cell r="B355" t="str">
            <v>Гайрат-1</v>
          </cell>
          <cell r="C355" t="str">
            <v>ф/х</v>
          </cell>
          <cell r="D355" t="str">
            <v>С.Рахимов</v>
          </cell>
          <cell r="E355" t="str">
            <v>Зафаробод</v>
          </cell>
          <cell r="F355">
            <v>20200</v>
          </cell>
          <cell r="I355">
            <v>10</v>
          </cell>
        </row>
        <row r="356">
          <cell r="A356">
            <v>370</v>
          </cell>
          <cell r="B356" t="str">
            <v>Голибжон</v>
          </cell>
          <cell r="C356" t="str">
            <v>ф/х</v>
          </cell>
          <cell r="D356" t="str">
            <v>С.Рахимов</v>
          </cell>
          <cell r="E356" t="str">
            <v>Зафаробод</v>
          </cell>
          <cell r="F356">
            <v>31000</v>
          </cell>
          <cell r="I356">
            <v>10</v>
          </cell>
        </row>
        <row r="357">
          <cell r="A357">
            <v>371</v>
          </cell>
          <cell r="B357" t="str">
            <v>Гулзор</v>
          </cell>
          <cell r="C357" t="str">
            <v>ф/х</v>
          </cell>
          <cell r="D357" t="str">
            <v>С.Рахимов</v>
          </cell>
          <cell r="E357" t="str">
            <v>Зафаробод</v>
          </cell>
          <cell r="F357">
            <v>69800</v>
          </cell>
          <cell r="I357">
            <v>8</v>
          </cell>
        </row>
        <row r="358">
          <cell r="A358">
            <v>372</v>
          </cell>
          <cell r="B358" t="str">
            <v>Гулхона</v>
          </cell>
          <cell r="C358" t="str">
            <v>ф/х</v>
          </cell>
          <cell r="D358" t="str">
            <v>С.Рахимов</v>
          </cell>
          <cell r="E358" t="str">
            <v>Зафаробод</v>
          </cell>
          <cell r="F358">
            <v>42800</v>
          </cell>
          <cell r="I358">
            <v>10</v>
          </cell>
        </row>
        <row r="359">
          <cell r="A359">
            <v>373</v>
          </cell>
          <cell r="B359" t="str">
            <v>Давлат</v>
          </cell>
          <cell r="C359" t="str">
            <v>ф/х</v>
          </cell>
          <cell r="D359" t="str">
            <v>С.Рахимов</v>
          </cell>
          <cell r="E359" t="str">
            <v>Зафаробод</v>
          </cell>
          <cell r="F359">
            <v>43700</v>
          </cell>
          <cell r="I359">
            <v>12</v>
          </cell>
        </row>
        <row r="360">
          <cell r="A360">
            <v>374</v>
          </cell>
          <cell r="B360" t="str">
            <v>Ёнбоштут</v>
          </cell>
          <cell r="C360" t="str">
            <v>ф/х</v>
          </cell>
          <cell r="D360" t="str">
            <v>С.Рахимов</v>
          </cell>
          <cell r="E360" t="str">
            <v>Зафаробод</v>
          </cell>
          <cell r="F360">
            <v>40100</v>
          </cell>
          <cell r="I360">
            <v>12</v>
          </cell>
        </row>
        <row r="361">
          <cell r="A361">
            <v>375</v>
          </cell>
          <cell r="B361" t="str">
            <v>Жасурбек</v>
          </cell>
          <cell r="C361" t="str">
            <v>ф/х</v>
          </cell>
          <cell r="D361" t="str">
            <v>С.Рахимов</v>
          </cell>
          <cell r="E361" t="str">
            <v>Зафаробод</v>
          </cell>
          <cell r="F361">
            <v>44900</v>
          </cell>
          <cell r="I361">
            <v>10</v>
          </cell>
        </row>
        <row r="362">
          <cell r="A362">
            <v>376</v>
          </cell>
          <cell r="B362" t="str">
            <v>Жомбой</v>
          </cell>
          <cell r="C362" t="str">
            <v>ф/х</v>
          </cell>
          <cell r="D362" t="str">
            <v>С.Рахимов</v>
          </cell>
          <cell r="E362" t="str">
            <v>Зафаробод</v>
          </cell>
          <cell r="F362">
            <v>78000</v>
          </cell>
          <cell r="I362">
            <v>7</v>
          </cell>
        </row>
        <row r="363">
          <cell r="A363">
            <v>377</v>
          </cell>
          <cell r="B363" t="str">
            <v>Журабой ота</v>
          </cell>
          <cell r="C363" t="str">
            <v>ф/х</v>
          </cell>
          <cell r="D363" t="str">
            <v>С.Рахимов</v>
          </cell>
          <cell r="E363" t="str">
            <v>Зафаробод</v>
          </cell>
          <cell r="F363">
            <v>7800</v>
          </cell>
          <cell r="I363">
            <v>10</v>
          </cell>
        </row>
        <row r="364">
          <cell r="A364">
            <v>378</v>
          </cell>
          <cell r="B364" t="str">
            <v>Илхом-11</v>
          </cell>
          <cell r="C364" t="str">
            <v>ф/х</v>
          </cell>
          <cell r="D364" t="str">
            <v>С.Рахимов</v>
          </cell>
          <cell r="E364" t="str">
            <v>Зафаробод</v>
          </cell>
          <cell r="F364">
            <v>56400</v>
          </cell>
          <cell r="I364">
            <v>11</v>
          </cell>
        </row>
        <row r="365">
          <cell r="A365">
            <v>379</v>
          </cell>
          <cell r="B365" t="str">
            <v>Имронбек</v>
          </cell>
          <cell r="C365" t="str">
            <v>ф/х</v>
          </cell>
          <cell r="D365" t="str">
            <v>С.Рахимов</v>
          </cell>
          <cell r="E365" t="str">
            <v>Зафаробод</v>
          </cell>
          <cell r="F365">
            <v>31700</v>
          </cell>
          <cell r="I365">
            <v>8</v>
          </cell>
        </row>
        <row r="366">
          <cell r="A366">
            <v>380</v>
          </cell>
          <cell r="B366" t="str">
            <v>Инб Саттор</v>
          </cell>
          <cell r="C366" t="str">
            <v>ф/х</v>
          </cell>
          <cell r="D366" t="str">
            <v>С.Рахимов</v>
          </cell>
          <cell r="E366" t="str">
            <v>Зафаробод</v>
          </cell>
          <cell r="F366">
            <v>33200</v>
          </cell>
          <cell r="I366">
            <v>10</v>
          </cell>
        </row>
        <row r="367">
          <cell r="A367">
            <v>381</v>
          </cell>
          <cell r="B367" t="str">
            <v>Ином</v>
          </cell>
          <cell r="C367" t="str">
            <v>ф/х</v>
          </cell>
          <cell r="D367" t="str">
            <v>С.Рахимов</v>
          </cell>
          <cell r="E367" t="str">
            <v>Зафаробод</v>
          </cell>
          <cell r="F367">
            <v>63400</v>
          </cell>
          <cell r="I367">
            <v>16</v>
          </cell>
        </row>
        <row r="368">
          <cell r="A368">
            <v>382</v>
          </cell>
          <cell r="B368" t="str">
            <v>Ислом</v>
          </cell>
          <cell r="C368" t="str">
            <v>ф/х</v>
          </cell>
          <cell r="D368" t="str">
            <v>С.Рахимов</v>
          </cell>
          <cell r="E368" t="str">
            <v>Зафаробод</v>
          </cell>
          <cell r="F368">
            <v>44400</v>
          </cell>
          <cell r="I368">
            <v>8</v>
          </cell>
        </row>
        <row r="369">
          <cell r="A369">
            <v>383</v>
          </cell>
          <cell r="B369" t="str">
            <v>Исмойил ота</v>
          </cell>
          <cell r="C369" t="str">
            <v>ф/х</v>
          </cell>
          <cell r="D369" t="str">
            <v>С.Рахимов</v>
          </cell>
          <cell r="E369" t="str">
            <v>Зафаробод</v>
          </cell>
          <cell r="F369">
            <v>70400</v>
          </cell>
          <cell r="I369">
            <v>12</v>
          </cell>
        </row>
        <row r="370">
          <cell r="A370">
            <v>384</v>
          </cell>
          <cell r="B370" t="str">
            <v>Йулдош ота</v>
          </cell>
          <cell r="C370" t="str">
            <v>ф/х</v>
          </cell>
          <cell r="D370" t="str">
            <v>С.Рахимов</v>
          </cell>
          <cell r="E370" t="str">
            <v>Зафаробод</v>
          </cell>
          <cell r="F370">
            <v>160000</v>
          </cell>
          <cell r="I370">
            <v>7</v>
          </cell>
        </row>
        <row r="371">
          <cell r="A371">
            <v>385</v>
          </cell>
          <cell r="B371" t="str">
            <v>Камалак рамзи</v>
          </cell>
          <cell r="C371" t="str">
            <v>ф/х</v>
          </cell>
          <cell r="D371" t="str">
            <v>С.Рахимов</v>
          </cell>
          <cell r="E371" t="str">
            <v>Зафаробод</v>
          </cell>
          <cell r="F371">
            <v>75700</v>
          </cell>
          <cell r="I371">
            <v>10</v>
          </cell>
        </row>
        <row r="372">
          <cell r="A372">
            <v>386</v>
          </cell>
          <cell r="B372" t="str">
            <v>Карим ота</v>
          </cell>
          <cell r="C372" t="str">
            <v>ф/х</v>
          </cell>
          <cell r="D372" t="str">
            <v>С.Рахимов</v>
          </cell>
          <cell r="E372" t="str">
            <v>Зафаробод</v>
          </cell>
          <cell r="F372">
            <v>54300</v>
          </cell>
          <cell r="I372">
            <v>10</v>
          </cell>
        </row>
        <row r="373">
          <cell r="A373">
            <v>387</v>
          </cell>
          <cell r="B373" t="str">
            <v>Катортол</v>
          </cell>
          <cell r="C373" t="str">
            <v>ф/х</v>
          </cell>
          <cell r="D373" t="str">
            <v>С.Рахимов</v>
          </cell>
          <cell r="E373" t="str">
            <v>Зафаробод</v>
          </cell>
          <cell r="F373">
            <v>52300</v>
          </cell>
          <cell r="I373">
            <v>10</v>
          </cell>
        </row>
        <row r="374">
          <cell r="A374">
            <v>388</v>
          </cell>
          <cell r="B374" t="str">
            <v>Кирсадок</v>
          </cell>
          <cell r="C374" t="str">
            <v>ф/х</v>
          </cell>
          <cell r="D374" t="str">
            <v>С.Рахимов</v>
          </cell>
          <cell r="E374" t="str">
            <v>Зафаробод</v>
          </cell>
          <cell r="F374">
            <v>14600</v>
          </cell>
          <cell r="I374">
            <v>10</v>
          </cell>
        </row>
        <row r="375">
          <cell r="A375">
            <v>389</v>
          </cell>
          <cell r="B375" t="str">
            <v>Колган сир</v>
          </cell>
          <cell r="C375" t="str">
            <v>ф/х</v>
          </cell>
          <cell r="D375" t="str">
            <v>С.Рахимов</v>
          </cell>
          <cell r="E375" t="str">
            <v>Зафаробод</v>
          </cell>
          <cell r="F375">
            <v>56400</v>
          </cell>
          <cell r="I375">
            <v>4</v>
          </cell>
        </row>
        <row r="376">
          <cell r="A376">
            <v>390</v>
          </cell>
          <cell r="B376" t="str">
            <v>Конгли</v>
          </cell>
          <cell r="C376" t="str">
            <v>ф/х</v>
          </cell>
          <cell r="D376" t="str">
            <v>С.Рахимов</v>
          </cell>
          <cell r="E376" t="str">
            <v>Зафаробод</v>
          </cell>
          <cell r="F376">
            <v>386100</v>
          </cell>
          <cell r="I376">
            <v>10</v>
          </cell>
        </row>
        <row r="377">
          <cell r="A377">
            <v>391</v>
          </cell>
          <cell r="B377" t="str">
            <v>Корабой</v>
          </cell>
          <cell r="C377" t="str">
            <v>ф/х</v>
          </cell>
          <cell r="D377" t="str">
            <v>С.Рахимов</v>
          </cell>
          <cell r="E377" t="str">
            <v>Зафаробод</v>
          </cell>
          <cell r="F377">
            <v>41300</v>
          </cell>
          <cell r="I377">
            <v>12</v>
          </cell>
        </row>
        <row r="378">
          <cell r="A378">
            <v>392</v>
          </cell>
          <cell r="B378" t="str">
            <v>Коракуйли</v>
          </cell>
          <cell r="C378" t="str">
            <v>ф/х</v>
          </cell>
          <cell r="D378" t="str">
            <v>С.Рахимов</v>
          </cell>
          <cell r="E378" t="str">
            <v>Зафаробод</v>
          </cell>
          <cell r="F378">
            <v>19800</v>
          </cell>
          <cell r="I378">
            <v>12</v>
          </cell>
        </row>
        <row r="379">
          <cell r="A379">
            <v>393</v>
          </cell>
          <cell r="B379" t="str">
            <v>Курик</v>
          </cell>
          <cell r="C379" t="str">
            <v>ф/х</v>
          </cell>
          <cell r="D379" t="str">
            <v>С.Рахимов</v>
          </cell>
          <cell r="E379" t="str">
            <v>Зафаробод</v>
          </cell>
          <cell r="F379">
            <v>19500</v>
          </cell>
          <cell r="I379">
            <v>15</v>
          </cell>
        </row>
        <row r="380">
          <cell r="A380">
            <v>394</v>
          </cell>
          <cell r="B380" t="str">
            <v>Лазизбек-Азиз</v>
          </cell>
          <cell r="C380" t="str">
            <v>ф/х</v>
          </cell>
          <cell r="D380" t="str">
            <v>С.Рахимов</v>
          </cell>
          <cell r="E380" t="str">
            <v>Зафаробод</v>
          </cell>
          <cell r="F380">
            <v>17300</v>
          </cell>
          <cell r="I380">
            <v>15</v>
          </cell>
        </row>
        <row r="381">
          <cell r="A381">
            <v>395</v>
          </cell>
          <cell r="B381" t="str">
            <v>Лангар</v>
          </cell>
          <cell r="C381" t="str">
            <v>ф/х</v>
          </cell>
          <cell r="D381" t="str">
            <v>С.Рахимов</v>
          </cell>
          <cell r="E381" t="str">
            <v>Зафаробод</v>
          </cell>
          <cell r="F381">
            <v>45800</v>
          </cell>
          <cell r="I381">
            <v>12</v>
          </cell>
        </row>
        <row r="382">
          <cell r="A382">
            <v>396</v>
          </cell>
          <cell r="B382" t="str">
            <v>Латифжон</v>
          </cell>
          <cell r="C382" t="str">
            <v>ф/х</v>
          </cell>
          <cell r="D382" t="str">
            <v>С.Рахимов</v>
          </cell>
          <cell r="E382" t="str">
            <v>Зафаробод</v>
          </cell>
          <cell r="F382">
            <v>23300</v>
          </cell>
          <cell r="I382">
            <v>11</v>
          </cell>
        </row>
        <row r="383">
          <cell r="A383">
            <v>397</v>
          </cell>
          <cell r="B383" t="str">
            <v>Мактаб-3</v>
          </cell>
          <cell r="C383" t="str">
            <v>ф/х</v>
          </cell>
          <cell r="D383" t="str">
            <v>С.Рахимов</v>
          </cell>
          <cell r="E383" t="str">
            <v>Зафаробод</v>
          </cell>
          <cell r="F383">
            <v>25000</v>
          </cell>
          <cell r="I383">
            <v>12</v>
          </cell>
        </row>
        <row r="384">
          <cell r="A384">
            <v>398</v>
          </cell>
          <cell r="B384" t="str">
            <v>Мамат ота</v>
          </cell>
          <cell r="C384" t="str">
            <v>ф/х</v>
          </cell>
          <cell r="D384" t="str">
            <v>С.Рахимов</v>
          </cell>
          <cell r="E384" t="str">
            <v>Зафаробод</v>
          </cell>
          <cell r="F384">
            <v>39000</v>
          </cell>
          <cell r="I384">
            <v>5</v>
          </cell>
        </row>
        <row r="385">
          <cell r="A385">
            <v>399</v>
          </cell>
          <cell r="B385" t="str">
            <v>Маматкул ота</v>
          </cell>
          <cell r="C385" t="str">
            <v>ф/х</v>
          </cell>
          <cell r="D385" t="str">
            <v>С.Рахимов</v>
          </cell>
          <cell r="E385" t="str">
            <v>Зафаробод</v>
          </cell>
          <cell r="F385">
            <v>66600</v>
          </cell>
          <cell r="I385">
            <v>12</v>
          </cell>
        </row>
        <row r="386">
          <cell r="A386">
            <v>400</v>
          </cell>
          <cell r="B386" t="str">
            <v>Мансур ота</v>
          </cell>
          <cell r="C386" t="str">
            <v>ф/х</v>
          </cell>
          <cell r="D386" t="str">
            <v>С.Рахимов</v>
          </cell>
          <cell r="E386" t="str">
            <v>Зафаробод</v>
          </cell>
          <cell r="F386">
            <v>56400</v>
          </cell>
          <cell r="I386">
            <v>8</v>
          </cell>
        </row>
        <row r="387">
          <cell r="A387">
            <v>401</v>
          </cell>
          <cell r="B387" t="str">
            <v>Мимино</v>
          </cell>
          <cell r="C387" t="str">
            <v>ф/х</v>
          </cell>
          <cell r="D387" t="str">
            <v>С.Рахимов</v>
          </cell>
          <cell r="E387" t="str">
            <v>Зафаробод</v>
          </cell>
          <cell r="F387">
            <v>14200</v>
          </cell>
          <cell r="I387">
            <v>13</v>
          </cell>
        </row>
        <row r="388">
          <cell r="A388">
            <v>402</v>
          </cell>
          <cell r="B388" t="str">
            <v>Минишкор</v>
          </cell>
          <cell r="C388" t="str">
            <v>ф/х</v>
          </cell>
          <cell r="D388" t="str">
            <v>С.Рахимов</v>
          </cell>
          <cell r="E388" t="str">
            <v>Зафаробод</v>
          </cell>
          <cell r="F388">
            <v>72000</v>
          </cell>
          <cell r="I388">
            <v>8</v>
          </cell>
        </row>
        <row r="389">
          <cell r="A389">
            <v>403</v>
          </cell>
          <cell r="B389" t="str">
            <v>Мирали</v>
          </cell>
          <cell r="C389" t="str">
            <v>ф/х</v>
          </cell>
          <cell r="D389" t="str">
            <v>С.Рахимов</v>
          </cell>
          <cell r="E389" t="str">
            <v>Зафаробод</v>
          </cell>
          <cell r="F389">
            <v>57900</v>
          </cell>
          <cell r="I389">
            <v>5</v>
          </cell>
        </row>
        <row r="390">
          <cell r="A390">
            <v>404</v>
          </cell>
          <cell r="B390" t="str">
            <v>Мироб</v>
          </cell>
          <cell r="C390" t="str">
            <v>ф/х</v>
          </cell>
          <cell r="D390" t="str">
            <v>С.Рахимов</v>
          </cell>
          <cell r="E390" t="str">
            <v>Зафаробод</v>
          </cell>
          <cell r="F390">
            <v>20200</v>
          </cell>
          <cell r="I390">
            <v>12</v>
          </cell>
        </row>
        <row r="391">
          <cell r="A391">
            <v>405</v>
          </cell>
          <cell r="B391" t="str">
            <v>Мойбулок</v>
          </cell>
          <cell r="C391" t="str">
            <v>ф/х</v>
          </cell>
          <cell r="D391" t="str">
            <v>С.Рахимов</v>
          </cell>
          <cell r="E391" t="str">
            <v>Зафаробод</v>
          </cell>
          <cell r="F391">
            <v>33800</v>
          </cell>
          <cell r="I391">
            <v>10</v>
          </cell>
        </row>
        <row r="392">
          <cell r="A392">
            <v>406</v>
          </cell>
          <cell r="B392" t="str">
            <v>Молгузар</v>
          </cell>
          <cell r="C392" t="str">
            <v>ф/х</v>
          </cell>
          <cell r="D392" t="str">
            <v>С.Рахимов</v>
          </cell>
          <cell r="E392" t="str">
            <v>Зафаробод</v>
          </cell>
          <cell r="F392">
            <v>57900</v>
          </cell>
          <cell r="I392">
            <v>10</v>
          </cell>
        </row>
        <row r="393">
          <cell r="A393">
            <v>407</v>
          </cell>
          <cell r="B393" t="str">
            <v>Музаффар</v>
          </cell>
          <cell r="C393" t="str">
            <v>ф/х</v>
          </cell>
          <cell r="D393" t="str">
            <v>С.Рахимов</v>
          </cell>
          <cell r="E393" t="str">
            <v>Зафаробод</v>
          </cell>
          <cell r="F393">
            <v>128000</v>
          </cell>
          <cell r="I393">
            <v>12</v>
          </cell>
        </row>
        <row r="394">
          <cell r="A394">
            <v>408</v>
          </cell>
          <cell r="B394" t="str">
            <v>Мунар ота</v>
          </cell>
          <cell r="C394" t="str">
            <v>ф/х</v>
          </cell>
          <cell r="D394" t="str">
            <v>С.Рахимов</v>
          </cell>
          <cell r="E394" t="str">
            <v>Зафаробод</v>
          </cell>
          <cell r="F394">
            <v>39000</v>
          </cell>
          <cell r="I394">
            <v>12</v>
          </cell>
        </row>
        <row r="395">
          <cell r="A395">
            <v>409</v>
          </cell>
          <cell r="B395" t="str">
            <v>Мухаммаджон</v>
          </cell>
          <cell r="C395" t="str">
            <v>ф/х</v>
          </cell>
          <cell r="D395" t="str">
            <v>С.Рахимов</v>
          </cell>
          <cell r="E395" t="str">
            <v>Зафаробод</v>
          </cell>
          <cell r="F395">
            <v>29000</v>
          </cell>
          <cell r="I395">
            <v>5</v>
          </cell>
        </row>
        <row r="396">
          <cell r="A396">
            <v>410</v>
          </cell>
          <cell r="B396" t="str">
            <v>Нахрач</v>
          </cell>
          <cell r="C396" t="str">
            <v>ф/х</v>
          </cell>
          <cell r="D396" t="str">
            <v>С.Рахимов</v>
          </cell>
          <cell r="E396" t="str">
            <v>Зафаробод</v>
          </cell>
          <cell r="F396">
            <v>72000</v>
          </cell>
          <cell r="I396">
            <v>10</v>
          </cell>
        </row>
        <row r="397">
          <cell r="A397">
            <v>411</v>
          </cell>
          <cell r="B397" t="str">
            <v>Ниёзмат</v>
          </cell>
          <cell r="C397" t="str">
            <v>ф/х</v>
          </cell>
          <cell r="D397" t="str">
            <v>С.Рахимов</v>
          </cell>
          <cell r="E397" t="str">
            <v>Зафаробод</v>
          </cell>
          <cell r="F397">
            <v>58800</v>
          </cell>
          <cell r="I397">
            <v>13</v>
          </cell>
        </row>
        <row r="398">
          <cell r="A398">
            <v>412</v>
          </cell>
          <cell r="B398" t="str">
            <v>Номозбой</v>
          </cell>
          <cell r="C398" t="str">
            <v>ф/х</v>
          </cell>
          <cell r="D398" t="str">
            <v>С.Рахимов</v>
          </cell>
          <cell r="E398" t="str">
            <v>Зафаробод</v>
          </cell>
          <cell r="F398">
            <v>50700</v>
          </cell>
          <cell r="I398">
            <v>5</v>
          </cell>
        </row>
        <row r="399">
          <cell r="A399">
            <v>413</v>
          </cell>
          <cell r="B399" t="str">
            <v>Нуркобил ота</v>
          </cell>
          <cell r="C399" t="str">
            <v>ф/х</v>
          </cell>
          <cell r="D399" t="str">
            <v>С.Рахимов</v>
          </cell>
          <cell r="E399" t="str">
            <v>Зафаробод</v>
          </cell>
          <cell r="F399">
            <v>41000</v>
          </cell>
          <cell r="I399">
            <v>12</v>
          </cell>
        </row>
        <row r="400">
          <cell r="A400">
            <v>414</v>
          </cell>
          <cell r="B400" t="str">
            <v>Нурмон</v>
          </cell>
          <cell r="C400" t="str">
            <v>ф/х</v>
          </cell>
          <cell r="D400" t="str">
            <v>С.Рахимов</v>
          </cell>
          <cell r="E400" t="str">
            <v>Зафаробод</v>
          </cell>
          <cell r="F400">
            <v>22400</v>
          </cell>
          <cell r="I400">
            <v>10</v>
          </cell>
        </row>
        <row r="401">
          <cell r="A401">
            <v>415</v>
          </cell>
          <cell r="B401" t="str">
            <v>Одил-1</v>
          </cell>
          <cell r="C401" t="str">
            <v>ф/х</v>
          </cell>
          <cell r="D401" t="str">
            <v>С.Рахимов</v>
          </cell>
          <cell r="E401" t="str">
            <v>Зафаробод</v>
          </cell>
          <cell r="F401">
            <v>14100</v>
          </cell>
          <cell r="I401">
            <v>10</v>
          </cell>
        </row>
        <row r="402">
          <cell r="A402">
            <v>416</v>
          </cell>
          <cell r="B402" t="str">
            <v>Ойкор</v>
          </cell>
          <cell r="C402" t="str">
            <v>ф/х</v>
          </cell>
          <cell r="D402" t="str">
            <v>С.Рахимов</v>
          </cell>
          <cell r="E402" t="str">
            <v>Зафаробод</v>
          </cell>
          <cell r="F402">
            <v>18500</v>
          </cell>
          <cell r="I402">
            <v>11</v>
          </cell>
        </row>
        <row r="403">
          <cell r="A403">
            <v>417</v>
          </cell>
          <cell r="B403" t="str">
            <v>Окдарё</v>
          </cell>
          <cell r="C403" t="str">
            <v>ф/х</v>
          </cell>
          <cell r="D403" t="str">
            <v>С.Рахимов</v>
          </cell>
          <cell r="E403" t="str">
            <v>Зафаробод</v>
          </cell>
          <cell r="F403">
            <v>41900</v>
          </cell>
          <cell r="I403">
            <v>10</v>
          </cell>
        </row>
        <row r="404">
          <cell r="A404">
            <v>418</v>
          </cell>
          <cell r="B404" t="str">
            <v>Окчигол</v>
          </cell>
          <cell r="C404" t="str">
            <v>ф/х</v>
          </cell>
          <cell r="D404" t="str">
            <v>С.Рахимов</v>
          </cell>
          <cell r="E404" t="str">
            <v>Зафаробод</v>
          </cell>
          <cell r="F404">
            <v>28000</v>
          </cell>
          <cell r="I404">
            <v>10</v>
          </cell>
        </row>
        <row r="405">
          <cell r="A405">
            <v>419</v>
          </cell>
          <cell r="B405" t="str">
            <v>Панжиписар</v>
          </cell>
          <cell r="C405" t="str">
            <v>ф/х</v>
          </cell>
          <cell r="D405" t="str">
            <v>С.Рахимов</v>
          </cell>
          <cell r="E405" t="str">
            <v>Зафаробод</v>
          </cell>
          <cell r="F405">
            <v>19800</v>
          </cell>
          <cell r="I405">
            <v>12</v>
          </cell>
        </row>
        <row r="406">
          <cell r="A406">
            <v>420</v>
          </cell>
          <cell r="B406" t="str">
            <v>Паригашт</v>
          </cell>
          <cell r="C406" t="str">
            <v>ф/х</v>
          </cell>
          <cell r="D406" t="str">
            <v>С.Рахимов</v>
          </cell>
          <cell r="E406" t="str">
            <v>Зафаробод</v>
          </cell>
          <cell r="F406">
            <v>21800</v>
          </cell>
          <cell r="I406">
            <v>5</v>
          </cell>
        </row>
        <row r="407">
          <cell r="A407">
            <v>421</v>
          </cell>
          <cell r="B407" t="str">
            <v>Пулотбулок</v>
          </cell>
          <cell r="C407" t="str">
            <v>ф/х</v>
          </cell>
          <cell r="D407" t="str">
            <v>С.Рахимов</v>
          </cell>
          <cell r="E407" t="str">
            <v>Зафаробод</v>
          </cell>
          <cell r="F407">
            <v>16200</v>
          </cell>
          <cell r="I407">
            <v>10</v>
          </cell>
        </row>
        <row r="408">
          <cell r="A408">
            <v>422</v>
          </cell>
          <cell r="B408" t="str">
            <v>Раззок бобо</v>
          </cell>
          <cell r="C408" t="str">
            <v>ф/х</v>
          </cell>
          <cell r="D408" t="str">
            <v>С.Рахимов</v>
          </cell>
          <cell r="E408" t="str">
            <v>Зафаробод</v>
          </cell>
          <cell r="F408">
            <v>27700</v>
          </cell>
          <cell r="I408">
            <v>12</v>
          </cell>
        </row>
        <row r="409">
          <cell r="A409">
            <v>423</v>
          </cell>
          <cell r="B409" t="str">
            <v>Рахима она</v>
          </cell>
          <cell r="C409" t="str">
            <v>ф/х</v>
          </cell>
          <cell r="D409" t="str">
            <v>С.Рахимов</v>
          </cell>
          <cell r="E409" t="str">
            <v>Зафаробод</v>
          </cell>
          <cell r="F409">
            <v>9100</v>
          </cell>
          <cell r="I409">
            <v>12</v>
          </cell>
        </row>
        <row r="410">
          <cell r="A410">
            <v>424</v>
          </cell>
          <cell r="B410" t="str">
            <v>Рашид ота</v>
          </cell>
          <cell r="C410" t="str">
            <v>ф/х</v>
          </cell>
          <cell r="D410" t="str">
            <v>С.Рахимов</v>
          </cell>
          <cell r="E410" t="str">
            <v>Зафаробод</v>
          </cell>
          <cell r="F410">
            <v>41900</v>
          </cell>
          <cell r="I410">
            <v>10</v>
          </cell>
        </row>
        <row r="411">
          <cell r="A411">
            <v>425</v>
          </cell>
          <cell r="B411" t="str">
            <v>Сайхунобод</v>
          </cell>
          <cell r="C411" t="str">
            <v>ф/х</v>
          </cell>
          <cell r="D411" t="str">
            <v>С.Рахимов</v>
          </cell>
          <cell r="E411" t="str">
            <v>Зафаробод</v>
          </cell>
          <cell r="F411">
            <v>58600</v>
          </cell>
          <cell r="I411">
            <v>6</v>
          </cell>
        </row>
        <row r="412">
          <cell r="A412">
            <v>426</v>
          </cell>
          <cell r="B412" t="str">
            <v>Саман тойчок</v>
          </cell>
          <cell r="C412" t="str">
            <v>ф/х</v>
          </cell>
          <cell r="D412" t="str">
            <v>С.Рахимов</v>
          </cell>
          <cell r="E412" t="str">
            <v>Зафаробод</v>
          </cell>
          <cell r="F412">
            <v>35100</v>
          </cell>
          <cell r="I412">
            <v>12</v>
          </cell>
        </row>
        <row r="413">
          <cell r="A413">
            <v>427</v>
          </cell>
          <cell r="B413" t="str">
            <v>Самандар</v>
          </cell>
          <cell r="C413" t="str">
            <v>ф/х</v>
          </cell>
          <cell r="D413" t="str">
            <v>С.Рахимов</v>
          </cell>
          <cell r="E413" t="str">
            <v>Зафаробод</v>
          </cell>
          <cell r="F413">
            <v>32200</v>
          </cell>
          <cell r="I413">
            <v>10</v>
          </cell>
        </row>
        <row r="414">
          <cell r="A414">
            <v>428</v>
          </cell>
          <cell r="B414" t="str">
            <v>Саман-Чаман</v>
          </cell>
          <cell r="C414" t="str">
            <v>ф/х</v>
          </cell>
          <cell r="D414" t="str">
            <v>С.Рахимов</v>
          </cell>
          <cell r="E414" t="str">
            <v>Зафаробод</v>
          </cell>
          <cell r="F414">
            <v>64900</v>
          </cell>
          <cell r="I414">
            <v>8</v>
          </cell>
        </row>
        <row r="415">
          <cell r="A415">
            <v>429</v>
          </cell>
          <cell r="B415" t="str">
            <v>Сангзор</v>
          </cell>
          <cell r="C415" t="str">
            <v>ф/х</v>
          </cell>
          <cell r="D415" t="str">
            <v>С.Рахимов</v>
          </cell>
          <cell r="E415" t="str">
            <v>Зафаробод</v>
          </cell>
          <cell r="F415">
            <v>17600</v>
          </cell>
          <cell r="I415">
            <v>9</v>
          </cell>
        </row>
        <row r="416">
          <cell r="A416">
            <v>431</v>
          </cell>
          <cell r="B416" t="str">
            <v>Сентоб беш</v>
          </cell>
          <cell r="C416" t="str">
            <v>ф/х</v>
          </cell>
          <cell r="D416" t="str">
            <v>С.Рахимов</v>
          </cell>
          <cell r="E416" t="str">
            <v>Зафаробод</v>
          </cell>
          <cell r="F416">
            <v>29300</v>
          </cell>
          <cell r="I416">
            <v>10</v>
          </cell>
        </row>
        <row r="417">
          <cell r="A417">
            <v>432</v>
          </cell>
          <cell r="B417" t="str">
            <v>Соатой она</v>
          </cell>
          <cell r="C417" t="str">
            <v>ф/х</v>
          </cell>
          <cell r="D417" t="str">
            <v>С.Рахимов</v>
          </cell>
          <cell r="E417" t="str">
            <v>Зафаробод</v>
          </cell>
          <cell r="F417">
            <v>29300</v>
          </cell>
          <cell r="I417">
            <v>8</v>
          </cell>
        </row>
        <row r="418">
          <cell r="A418">
            <v>433</v>
          </cell>
          <cell r="B418" t="str">
            <v>Собир</v>
          </cell>
          <cell r="C418" t="str">
            <v>ф/х</v>
          </cell>
          <cell r="D418" t="str">
            <v>С.Рахимов</v>
          </cell>
          <cell r="E418" t="str">
            <v>Зафаробод</v>
          </cell>
          <cell r="F418">
            <v>36400</v>
          </cell>
          <cell r="I418">
            <v>8</v>
          </cell>
        </row>
        <row r="419">
          <cell r="A419">
            <v>434</v>
          </cell>
          <cell r="B419" t="str">
            <v>Солин</v>
          </cell>
          <cell r="C419" t="str">
            <v>ф/х</v>
          </cell>
          <cell r="D419" t="str">
            <v>С.Рахимов</v>
          </cell>
          <cell r="E419" t="str">
            <v>Зафаробод</v>
          </cell>
          <cell r="F419">
            <v>65400</v>
          </cell>
          <cell r="I419">
            <v>10</v>
          </cell>
        </row>
        <row r="420">
          <cell r="A420">
            <v>435</v>
          </cell>
          <cell r="B420" t="str">
            <v>Султон</v>
          </cell>
          <cell r="C420" t="str">
            <v>ф/х</v>
          </cell>
          <cell r="D420" t="str">
            <v>С.Рахимов</v>
          </cell>
          <cell r="E420" t="str">
            <v>Зафаробод</v>
          </cell>
          <cell r="F420">
            <v>44400</v>
          </cell>
          <cell r="I420">
            <v>10</v>
          </cell>
        </row>
        <row r="421">
          <cell r="A421">
            <v>436</v>
          </cell>
          <cell r="B421" t="str">
            <v>Султон-1</v>
          </cell>
          <cell r="C421" t="str">
            <v>ф/х</v>
          </cell>
          <cell r="D421" t="str">
            <v>С.Рахимов</v>
          </cell>
          <cell r="E421" t="str">
            <v>Зафаробод</v>
          </cell>
          <cell r="F421">
            <v>25400</v>
          </cell>
          <cell r="I421">
            <v>10</v>
          </cell>
        </row>
        <row r="422">
          <cell r="A422">
            <v>437</v>
          </cell>
          <cell r="B422" t="str">
            <v>Сулувкургон</v>
          </cell>
          <cell r="C422" t="str">
            <v>ф/х</v>
          </cell>
          <cell r="D422" t="str">
            <v>С.Рахимов</v>
          </cell>
          <cell r="E422" t="str">
            <v>Зафаробод</v>
          </cell>
          <cell r="F422">
            <v>108800</v>
          </cell>
          <cell r="I422">
            <v>10</v>
          </cell>
        </row>
        <row r="423">
          <cell r="A423">
            <v>438</v>
          </cell>
          <cell r="B423" t="str">
            <v>Такали</v>
          </cell>
          <cell r="C423" t="str">
            <v>ф/х</v>
          </cell>
          <cell r="D423" t="str">
            <v>С.Рахимов</v>
          </cell>
          <cell r="E423" t="str">
            <v>Зафаробод</v>
          </cell>
          <cell r="F423">
            <v>130800</v>
          </cell>
          <cell r="I423">
            <v>12</v>
          </cell>
        </row>
        <row r="424">
          <cell r="A424">
            <v>439</v>
          </cell>
          <cell r="B424" t="str">
            <v>Тангир ота</v>
          </cell>
          <cell r="C424" t="str">
            <v>ф/х</v>
          </cell>
          <cell r="D424" t="str">
            <v>С.Рахимов</v>
          </cell>
          <cell r="E424" t="str">
            <v>Зафаробод</v>
          </cell>
          <cell r="F424">
            <v>67100</v>
          </cell>
          <cell r="I424">
            <v>10</v>
          </cell>
        </row>
        <row r="425">
          <cell r="A425">
            <v>440</v>
          </cell>
          <cell r="B425" t="str">
            <v>Тегирмон</v>
          </cell>
          <cell r="C425" t="str">
            <v>ф/х</v>
          </cell>
          <cell r="D425" t="str">
            <v>С.Рахимов</v>
          </cell>
          <cell r="E425" t="str">
            <v>Зафаробод</v>
          </cell>
          <cell r="F425">
            <v>67800</v>
          </cell>
          <cell r="I425">
            <v>12</v>
          </cell>
        </row>
        <row r="426">
          <cell r="A426">
            <v>441</v>
          </cell>
          <cell r="B426" t="str">
            <v>Темурбек</v>
          </cell>
          <cell r="C426" t="str">
            <v>ф/х</v>
          </cell>
          <cell r="D426" t="str">
            <v>С.Рахимов</v>
          </cell>
          <cell r="E426" t="str">
            <v>Зафаробод</v>
          </cell>
          <cell r="F426">
            <v>42500</v>
          </cell>
          <cell r="I426">
            <v>10</v>
          </cell>
        </row>
        <row r="427">
          <cell r="A427">
            <v>442</v>
          </cell>
          <cell r="B427" t="str">
            <v>Тогай</v>
          </cell>
          <cell r="C427" t="str">
            <v>ф/х</v>
          </cell>
          <cell r="D427" t="str">
            <v>С.Рахимов</v>
          </cell>
          <cell r="E427" t="str">
            <v>Зафаробод</v>
          </cell>
          <cell r="F427">
            <v>155000</v>
          </cell>
          <cell r="I427">
            <v>8</v>
          </cell>
        </row>
        <row r="428">
          <cell r="A428">
            <v>443</v>
          </cell>
          <cell r="B428" t="str">
            <v>Тожибой</v>
          </cell>
          <cell r="C428" t="str">
            <v>ф/х</v>
          </cell>
          <cell r="D428" t="str">
            <v>С.Рахимов</v>
          </cell>
          <cell r="E428" t="str">
            <v>Зафаробод</v>
          </cell>
          <cell r="F428">
            <v>42000</v>
          </cell>
          <cell r="I428">
            <v>12</v>
          </cell>
        </row>
        <row r="429">
          <cell r="A429">
            <v>444</v>
          </cell>
          <cell r="B429" t="str">
            <v>Тошбек-1</v>
          </cell>
          <cell r="C429" t="str">
            <v>ф/х</v>
          </cell>
          <cell r="D429" t="str">
            <v>С.Рахимов</v>
          </cell>
          <cell r="E429" t="str">
            <v>Зафаробод</v>
          </cell>
          <cell r="F429">
            <v>20000</v>
          </cell>
          <cell r="I429">
            <v>10</v>
          </cell>
        </row>
        <row r="430">
          <cell r="A430">
            <v>445</v>
          </cell>
          <cell r="B430" t="str">
            <v>Тоштемир ота</v>
          </cell>
          <cell r="C430" t="str">
            <v>ф/х</v>
          </cell>
          <cell r="D430" t="str">
            <v>С.Рахимов</v>
          </cell>
          <cell r="E430" t="str">
            <v>Зафаробод</v>
          </cell>
          <cell r="F430">
            <v>136200</v>
          </cell>
          <cell r="I430">
            <v>5</v>
          </cell>
        </row>
        <row r="431">
          <cell r="A431">
            <v>446</v>
          </cell>
          <cell r="B431" t="str">
            <v>Турсун ота</v>
          </cell>
          <cell r="C431" t="str">
            <v>ф/х</v>
          </cell>
          <cell r="D431" t="str">
            <v>С.Рахимов</v>
          </cell>
          <cell r="E431" t="str">
            <v>Зафаробод</v>
          </cell>
          <cell r="F431">
            <v>81300</v>
          </cell>
          <cell r="I431">
            <v>11</v>
          </cell>
        </row>
        <row r="432">
          <cell r="A432">
            <v>447</v>
          </cell>
          <cell r="B432" t="str">
            <v>Улугбек-1</v>
          </cell>
          <cell r="C432" t="str">
            <v>ф/х</v>
          </cell>
          <cell r="D432" t="str">
            <v>С.Рахимов</v>
          </cell>
          <cell r="E432" t="str">
            <v>Зафаробод</v>
          </cell>
          <cell r="F432">
            <v>54300</v>
          </cell>
          <cell r="I432">
            <v>15</v>
          </cell>
        </row>
        <row r="433">
          <cell r="A433">
            <v>448</v>
          </cell>
          <cell r="B433" t="str">
            <v>Урганжи</v>
          </cell>
          <cell r="C433" t="str">
            <v>ф/х</v>
          </cell>
          <cell r="D433" t="str">
            <v>С.Рахимов</v>
          </cell>
          <cell r="E433" t="str">
            <v>Зафаробод</v>
          </cell>
          <cell r="F433">
            <v>27000</v>
          </cell>
          <cell r="I433">
            <v>12</v>
          </cell>
        </row>
        <row r="434">
          <cell r="A434">
            <v>449</v>
          </cell>
          <cell r="B434" t="str">
            <v>Урокли</v>
          </cell>
          <cell r="C434" t="str">
            <v>ф/х</v>
          </cell>
          <cell r="D434" t="str">
            <v>С.Рахимов</v>
          </cell>
          <cell r="E434" t="str">
            <v>Зафаробод</v>
          </cell>
          <cell r="F434">
            <v>39000</v>
          </cell>
          <cell r="I434">
            <v>10</v>
          </cell>
        </row>
        <row r="435">
          <cell r="A435">
            <v>450</v>
          </cell>
          <cell r="B435" t="str">
            <v>Урол ота</v>
          </cell>
          <cell r="C435" t="str">
            <v>ф/х</v>
          </cell>
          <cell r="D435" t="str">
            <v>С.Рахимов</v>
          </cell>
          <cell r="E435" t="str">
            <v>Зафаробод</v>
          </cell>
          <cell r="F435">
            <v>10600</v>
          </cell>
          <cell r="I435">
            <v>8</v>
          </cell>
        </row>
        <row r="436">
          <cell r="A436">
            <v>451</v>
          </cell>
          <cell r="B436" t="str">
            <v>Устук</v>
          </cell>
          <cell r="C436" t="str">
            <v>ф/х</v>
          </cell>
          <cell r="D436" t="str">
            <v>С.Рахимов</v>
          </cell>
          <cell r="E436" t="str">
            <v>Зафаробод</v>
          </cell>
          <cell r="F436">
            <v>45800</v>
          </cell>
          <cell r="I436">
            <v>10</v>
          </cell>
        </row>
        <row r="437">
          <cell r="A437">
            <v>452</v>
          </cell>
          <cell r="B437" t="str">
            <v>Устук-1</v>
          </cell>
          <cell r="C437" t="str">
            <v>ф/х</v>
          </cell>
          <cell r="D437" t="str">
            <v>С.Рахимов</v>
          </cell>
          <cell r="E437" t="str">
            <v>Зафаробод</v>
          </cell>
          <cell r="F437">
            <v>85200</v>
          </cell>
          <cell r="I437">
            <v>8</v>
          </cell>
        </row>
        <row r="438">
          <cell r="A438">
            <v>453</v>
          </cell>
          <cell r="B438" t="str">
            <v>Уткирбек</v>
          </cell>
          <cell r="C438" t="str">
            <v>ф/х</v>
          </cell>
          <cell r="D438" t="str">
            <v>С.Рахимов</v>
          </cell>
          <cell r="E438" t="str">
            <v>Зафаробод</v>
          </cell>
          <cell r="F438">
            <v>19500</v>
          </cell>
          <cell r="I438">
            <v>11</v>
          </cell>
        </row>
        <row r="439">
          <cell r="A439">
            <v>454</v>
          </cell>
          <cell r="B439" t="str">
            <v>Учкунжон</v>
          </cell>
          <cell r="C439" t="str">
            <v>ф/х</v>
          </cell>
          <cell r="D439" t="str">
            <v>С.Рахимов</v>
          </cell>
          <cell r="E439" t="str">
            <v>Зафаробод</v>
          </cell>
          <cell r="F439">
            <v>22300</v>
          </cell>
          <cell r="I439">
            <v>11</v>
          </cell>
        </row>
        <row r="440">
          <cell r="A440">
            <v>455</v>
          </cell>
          <cell r="B440" t="str">
            <v>Хайт ота</v>
          </cell>
          <cell r="C440" t="str">
            <v>ф/х</v>
          </cell>
          <cell r="D440" t="str">
            <v>С.Рахимов</v>
          </cell>
          <cell r="E440" t="str">
            <v>Зафаробод</v>
          </cell>
          <cell r="F440">
            <v>76800</v>
          </cell>
          <cell r="I440">
            <v>8</v>
          </cell>
        </row>
        <row r="441">
          <cell r="A441">
            <v>456</v>
          </cell>
          <cell r="B441" t="str">
            <v>Хаким</v>
          </cell>
          <cell r="C441" t="str">
            <v>ф/х</v>
          </cell>
          <cell r="D441" t="str">
            <v>С.Рахимов</v>
          </cell>
          <cell r="E441" t="str">
            <v>Зафаробод</v>
          </cell>
          <cell r="F441">
            <v>58500</v>
          </cell>
          <cell r="I441">
            <v>8</v>
          </cell>
        </row>
        <row r="442">
          <cell r="A442">
            <v>457</v>
          </cell>
          <cell r="B442" t="str">
            <v>Хожек-А</v>
          </cell>
          <cell r="C442" t="str">
            <v>ф/х</v>
          </cell>
          <cell r="D442" t="str">
            <v>С.Рахимов</v>
          </cell>
          <cell r="E442" t="str">
            <v>Зафаробод</v>
          </cell>
          <cell r="F442">
            <v>52600</v>
          </cell>
          <cell r="I442">
            <v>10</v>
          </cell>
        </row>
        <row r="443">
          <cell r="A443">
            <v>458</v>
          </cell>
          <cell r="B443" t="str">
            <v xml:space="preserve">Холикул </v>
          </cell>
          <cell r="C443" t="str">
            <v>ф/х</v>
          </cell>
          <cell r="D443" t="str">
            <v>С.Рахимов</v>
          </cell>
          <cell r="E443" t="str">
            <v>Зафаробод</v>
          </cell>
          <cell r="F443">
            <v>24000</v>
          </cell>
          <cell r="I443">
            <v>10</v>
          </cell>
        </row>
        <row r="444">
          <cell r="A444">
            <v>459</v>
          </cell>
          <cell r="B444" t="str">
            <v>Холмумин бобо</v>
          </cell>
          <cell r="C444" t="str">
            <v>ф/х</v>
          </cell>
          <cell r="D444" t="str">
            <v>С.Рахимов</v>
          </cell>
          <cell r="E444" t="str">
            <v>Зафаробод</v>
          </cell>
          <cell r="F444">
            <v>149700</v>
          </cell>
          <cell r="I444">
            <v>10</v>
          </cell>
        </row>
        <row r="445">
          <cell r="A445">
            <v>460</v>
          </cell>
          <cell r="B445" t="str">
            <v>Хосил ота</v>
          </cell>
          <cell r="C445" t="str">
            <v>ф/х</v>
          </cell>
          <cell r="D445" t="str">
            <v>С.Рахимов</v>
          </cell>
          <cell r="E445" t="str">
            <v>Зафаробод</v>
          </cell>
          <cell r="F445">
            <v>37400</v>
          </cell>
          <cell r="I445">
            <v>8</v>
          </cell>
        </row>
        <row r="446">
          <cell r="A446">
            <v>461</v>
          </cell>
          <cell r="B446" t="str">
            <v>Хотам ота</v>
          </cell>
          <cell r="C446" t="str">
            <v>ф/х</v>
          </cell>
          <cell r="D446" t="str">
            <v>С.Рахимов</v>
          </cell>
          <cell r="E446" t="str">
            <v>Зафаробод</v>
          </cell>
          <cell r="F446">
            <v>67700</v>
          </cell>
          <cell r="I446">
            <v>9</v>
          </cell>
        </row>
        <row r="447">
          <cell r="A447">
            <v>462</v>
          </cell>
          <cell r="B447" t="str">
            <v>Худоёр</v>
          </cell>
          <cell r="C447" t="str">
            <v>ф/х</v>
          </cell>
          <cell r="D447" t="str">
            <v>С.Рахимов</v>
          </cell>
          <cell r="E447" t="str">
            <v>Зафаробод</v>
          </cell>
          <cell r="F447">
            <v>32500</v>
          </cell>
          <cell r="I447">
            <v>10</v>
          </cell>
        </row>
        <row r="448">
          <cell r="A448">
            <v>463</v>
          </cell>
          <cell r="B448" t="str">
            <v>Худойберди ота1</v>
          </cell>
          <cell r="C448" t="str">
            <v>ф/х</v>
          </cell>
          <cell r="D448" t="str">
            <v>С.Рахимов</v>
          </cell>
          <cell r="E448" t="str">
            <v>Зафаробод</v>
          </cell>
          <cell r="F448">
            <v>43600</v>
          </cell>
          <cell r="I448">
            <v>10</v>
          </cell>
        </row>
        <row r="449">
          <cell r="A449">
            <v>464</v>
          </cell>
          <cell r="B449" t="str">
            <v>Чангал</v>
          </cell>
          <cell r="C449" t="str">
            <v>ф/х</v>
          </cell>
          <cell r="D449" t="str">
            <v>С.Рахимов</v>
          </cell>
          <cell r="E449" t="str">
            <v>Зафаробод</v>
          </cell>
          <cell r="F449">
            <v>62700</v>
          </cell>
          <cell r="I449">
            <v>13</v>
          </cell>
        </row>
        <row r="450">
          <cell r="A450">
            <v>465</v>
          </cell>
          <cell r="B450" t="str">
            <v>Чанок</v>
          </cell>
          <cell r="C450" t="str">
            <v>ф/х</v>
          </cell>
          <cell r="D450" t="str">
            <v>С.Рахимов</v>
          </cell>
          <cell r="E450" t="str">
            <v>Зафаробод</v>
          </cell>
          <cell r="F450">
            <v>58500</v>
          </cell>
          <cell r="I450">
            <v>6</v>
          </cell>
        </row>
        <row r="451">
          <cell r="A451">
            <v>466</v>
          </cell>
          <cell r="B451" t="str">
            <v>Четсув</v>
          </cell>
          <cell r="C451" t="str">
            <v>ф/х</v>
          </cell>
          <cell r="D451" t="str">
            <v>С.Рахимов</v>
          </cell>
          <cell r="E451" t="str">
            <v>Зафаробод</v>
          </cell>
          <cell r="F451">
            <v>46100</v>
          </cell>
          <cell r="I451">
            <v>10</v>
          </cell>
        </row>
        <row r="452">
          <cell r="A452">
            <v>467</v>
          </cell>
          <cell r="B452" t="str">
            <v>Чорва-Адир</v>
          </cell>
          <cell r="C452" t="str">
            <v>ф/х</v>
          </cell>
          <cell r="D452" t="str">
            <v>С.Рахимов</v>
          </cell>
          <cell r="E452" t="str">
            <v>Зафаробод</v>
          </cell>
          <cell r="F452">
            <v>26700</v>
          </cell>
          <cell r="I452">
            <v>16</v>
          </cell>
        </row>
        <row r="453">
          <cell r="A453">
            <v>468</v>
          </cell>
          <cell r="B453" t="str">
            <v>Чуя</v>
          </cell>
          <cell r="C453" t="str">
            <v>ф/х</v>
          </cell>
          <cell r="D453" t="str">
            <v>С.Рахимов</v>
          </cell>
          <cell r="E453" t="str">
            <v>Зафаробод</v>
          </cell>
          <cell r="F453">
            <v>33200</v>
          </cell>
          <cell r="I453">
            <v>15</v>
          </cell>
        </row>
        <row r="454">
          <cell r="A454">
            <v>469</v>
          </cell>
          <cell r="B454" t="str">
            <v>Шахзод-Элнур</v>
          </cell>
          <cell r="C454" t="str">
            <v>ф/х</v>
          </cell>
          <cell r="D454" t="str">
            <v>С.Рахимов</v>
          </cell>
          <cell r="E454" t="str">
            <v>Зафаробод</v>
          </cell>
          <cell r="F454">
            <v>56700</v>
          </cell>
          <cell r="I454">
            <v>8</v>
          </cell>
        </row>
        <row r="455">
          <cell r="A455">
            <v>470</v>
          </cell>
          <cell r="B455" t="str">
            <v>Шербек</v>
          </cell>
          <cell r="C455" t="str">
            <v>ф/х</v>
          </cell>
          <cell r="D455" t="str">
            <v>С.Рахимов</v>
          </cell>
          <cell r="E455" t="str">
            <v>Зафаробод</v>
          </cell>
          <cell r="F455">
            <v>79700</v>
          </cell>
          <cell r="I455">
            <v>15</v>
          </cell>
        </row>
        <row r="456">
          <cell r="A456">
            <v>471</v>
          </cell>
          <cell r="B456" t="str">
            <v>Шерзод -1</v>
          </cell>
          <cell r="C456" t="str">
            <v>ф/х</v>
          </cell>
          <cell r="D456" t="str">
            <v>С.Рахимов</v>
          </cell>
          <cell r="E456" t="str">
            <v>Зафаробод</v>
          </cell>
          <cell r="F456">
            <v>134600</v>
          </cell>
          <cell r="I456">
            <v>8</v>
          </cell>
        </row>
        <row r="457">
          <cell r="A457">
            <v>472</v>
          </cell>
          <cell r="B457" t="str">
            <v>Шойзок ота</v>
          </cell>
          <cell r="C457" t="str">
            <v>ф/х</v>
          </cell>
          <cell r="D457" t="str">
            <v>С.Рахимов</v>
          </cell>
          <cell r="E457" t="str">
            <v>Зафаробод</v>
          </cell>
          <cell r="F457">
            <v>37400</v>
          </cell>
          <cell r="I457">
            <v>8</v>
          </cell>
        </row>
        <row r="458">
          <cell r="A458">
            <v>473</v>
          </cell>
          <cell r="B458" t="str">
            <v>Шокир Симабоев</v>
          </cell>
          <cell r="C458" t="str">
            <v>ф/х</v>
          </cell>
          <cell r="D458" t="str">
            <v>С.Рахимов</v>
          </cell>
          <cell r="E458" t="str">
            <v>Зафаробод</v>
          </cell>
          <cell r="F458">
            <v>64800</v>
          </cell>
          <cell r="I458">
            <v>10</v>
          </cell>
        </row>
        <row r="459">
          <cell r="A459">
            <v>474</v>
          </cell>
          <cell r="B459" t="str">
            <v>Шохрух</v>
          </cell>
          <cell r="C459" t="str">
            <v>ф/х</v>
          </cell>
          <cell r="D459" t="str">
            <v>С.Рахимов</v>
          </cell>
          <cell r="E459" t="str">
            <v>Зафаробод</v>
          </cell>
          <cell r="F459">
            <v>111700</v>
          </cell>
          <cell r="I459">
            <v>11</v>
          </cell>
        </row>
        <row r="460">
          <cell r="A460">
            <v>475</v>
          </cell>
          <cell r="B460" t="str">
            <v>Э. Нормуродов</v>
          </cell>
          <cell r="C460" t="str">
            <v>ф/х</v>
          </cell>
          <cell r="D460" t="str">
            <v>С.Рахимов</v>
          </cell>
          <cell r="E460" t="str">
            <v>Зафаробод</v>
          </cell>
          <cell r="F460">
            <v>43200</v>
          </cell>
          <cell r="I460">
            <v>10</v>
          </cell>
        </row>
        <row r="461">
          <cell r="A461">
            <v>476</v>
          </cell>
          <cell r="B461" t="str">
            <v>Элдор-Кобилович</v>
          </cell>
          <cell r="C461" t="str">
            <v>ф/х</v>
          </cell>
          <cell r="D461" t="str">
            <v>С.Рахимов</v>
          </cell>
          <cell r="E461" t="str">
            <v>Зафаробод</v>
          </cell>
          <cell r="F461">
            <v>27600</v>
          </cell>
          <cell r="I461">
            <v>12</v>
          </cell>
        </row>
        <row r="462">
          <cell r="A462">
            <v>477</v>
          </cell>
          <cell r="B462" t="str">
            <v>Элмурод ота</v>
          </cell>
          <cell r="C462" t="str">
            <v>ф/х</v>
          </cell>
          <cell r="D462" t="str">
            <v>С.Рахимов</v>
          </cell>
          <cell r="E462" t="str">
            <v>Зафаробод</v>
          </cell>
          <cell r="F462">
            <v>63200</v>
          </cell>
          <cell r="I462">
            <v>12</v>
          </cell>
        </row>
        <row r="463">
          <cell r="A463">
            <v>478</v>
          </cell>
          <cell r="B463" t="str">
            <v>Эшкобил ота</v>
          </cell>
          <cell r="C463" t="str">
            <v>ф/х</v>
          </cell>
          <cell r="D463" t="str">
            <v>С.Рахимов</v>
          </cell>
          <cell r="E463" t="str">
            <v>Зафаробод</v>
          </cell>
          <cell r="F463">
            <v>66600</v>
          </cell>
          <cell r="I463">
            <v>12</v>
          </cell>
        </row>
        <row r="464">
          <cell r="A464">
            <v>479</v>
          </cell>
          <cell r="B464" t="str">
            <v>Эшкувват ота</v>
          </cell>
          <cell r="C464" t="str">
            <v>ф/х</v>
          </cell>
          <cell r="D464" t="str">
            <v>С.Рахимов</v>
          </cell>
          <cell r="E464" t="str">
            <v>Зафаробод</v>
          </cell>
          <cell r="F464">
            <v>31500</v>
          </cell>
          <cell r="I464">
            <v>9</v>
          </cell>
        </row>
        <row r="465">
          <cell r="A465">
            <v>480</v>
          </cell>
          <cell r="B465" t="str">
            <v>Юсуф</v>
          </cell>
          <cell r="C465" t="str">
            <v>ф/х</v>
          </cell>
          <cell r="D465" t="str">
            <v>С.Рахимов</v>
          </cell>
          <cell r="E465" t="str">
            <v>Зафаробод</v>
          </cell>
          <cell r="F465">
            <v>24000</v>
          </cell>
          <cell r="I465">
            <v>13</v>
          </cell>
        </row>
        <row r="466">
          <cell r="A466">
            <v>481</v>
          </cell>
          <cell r="B466" t="str">
            <v>Янги той</v>
          </cell>
          <cell r="C466" t="str">
            <v>ф/х</v>
          </cell>
          <cell r="D466" t="str">
            <v>С.Рахимов</v>
          </cell>
          <cell r="E466" t="str">
            <v>Зафаробод</v>
          </cell>
          <cell r="F466">
            <v>33600</v>
          </cell>
          <cell r="I466">
            <v>13</v>
          </cell>
        </row>
        <row r="467">
          <cell r="A467">
            <v>482</v>
          </cell>
          <cell r="B467" t="str">
            <v>Янги тонг</v>
          </cell>
          <cell r="C467" t="str">
            <v>ф/х</v>
          </cell>
          <cell r="D467" t="str">
            <v>С.Рахимов</v>
          </cell>
          <cell r="E467" t="str">
            <v>Зафаробод</v>
          </cell>
          <cell r="F467">
            <v>69900</v>
          </cell>
          <cell r="I467">
            <v>12</v>
          </cell>
        </row>
        <row r="468">
          <cell r="A468">
            <v>430</v>
          </cell>
          <cell r="B468" t="str">
            <v>Сафар</v>
          </cell>
          <cell r="C468" t="str">
            <v>б/т</v>
          </cell>
          <cell r="D468" t="str">
            <v>С.Рахимов</v>
          </cell>
          <cell r="E468" t="str">
            <v>Зафаробод</v>
          </cell>
          <cell r="F468">
            <v>29000</v>
          </cell>
          <cell r="I468">
            <v>12</v>
          </cell>
        </row>
        <row r="469">
          <cell r="A469">
            <v>152</v>
          </cell>
          <cell r="B469" t="str">
            <v>Акажон</v>
          </cell>
          <cell r="C469" t="str">
            <v>ф/х</v>
          </cell>
          <cell r="D469" t="str">
            <v>Охунбобоев</v>
          </cell>
          <cell r="E469" t="str">
            <v>Зафаробод</v>
          </cell>
          <cell r="F469">
            <v>37900</v>
          </cell>
          <cell r="H469">
            <v>9</v>
          </cell>
        </row>
        <row r="470">
          <cell r="A470">
            <v>153</v>
          </cell>
          <cell r="B470" t="str">
            <v>Алишер-Э</v>
          </cell>
          <cell r="C470" t="str">
            <v>ф/х</v>
          </cell>
          <cell r="D470" t="str">
            <v>Охунбобоев</v>
          </cell>
          <cell r="E470" t="str">
            <v>Зафаробод</v>
          </cell>
          <cell r="F470">
            <v>23000</v>
          </cell>
          <cell r="H470">
            <v>10</v>
          </cell>
        </row>
        <row r="471">
          <cell r="A471">
            <v>154</v>
          </cell>
          <cell r="B471" t="str">
            <v>Анвар</v>
          </cell>
          <cell r="C471" t="str">
            <v>ф/х</v>
          </cell>
          <cell r="D471" t="str">
            <v>Охунбобоев</v>
          </cell>
          <cell r="E471" t="str">
            <v>Зафаробод</v>
          </cell>
          <cell r="F471">
            <v>52000</v>
          </cell>
          <cell r="I471">
            <v>18</v>
          </cell>
        </row>
        <row r="472">
          <cell r="A472">
            <v>155</v>
          </cell>
          <cell r="B472" t="str">
            <v>Арзи ота</v>
          </cell>
          <cell r="C472" t="str">
            <v>ф/х</v>
          </cell>
          <cell r="D472" t="str">
            <v>Охунбобоев</v>
          </cell>
          <cell r="E472" t="str">
            <v>Зафаробод</v>
          </cell>
          <cell r="F472">
            <v>19000</v>
          </cell>
          <cell r="I472">
            <v>17</v>
          </cell>
        </row>
        <row r="473">
          <cell r="A473">
            <v>156</v>
          </cell>
          <cell r="B473" t="str">
            <v>Асил бобо</v>
          </cell>
          <cell r="C473" t="str">
            <v>ф/х</v>
          </cell>
          <cell r="D473" t="str">
            <v>Охунбобоев</v>
          </cell>
          <cell r="E473" t="str">
            <v>Зафаробод</v>
          </cell>
          <cell r="F473">
            <v>90000</v>
          </cell>
          <cell r="H473">
            <v>9</v>
          </cell>
        </row>
        <row r="474">
          <cell r="A474">
            <v>157</v>
          </cell>
          <cell r="B474" t="str">
            <v>Ахбор</v>
          </cell>
          <cell r="C474" t="str">
            <v>ф/х</v>
          </cell>
          <cell r="D474" t="str">
            <v>Охунбобоев</v>
          </cell>
          <cell r="E474" t="str">
            <v>Зафаробод</v>
          </cell>
          <cell r="F474">
            <v>39000</v>
          </cell>
          <cell r="H474">
            <v>10</v>
          </cell>
        </row>
        <row r="475">
          <cell r="A475">
            <v>158</v>
          </cell>
          <cell r="B475" t="str">
            <v>Ахмад Зоир</v>
          </cell>
          <cell r="C475" t="str">
            <v>ф/х</v>
          </cell>
          <cell r="D475" t="str">
            <v>Охунбобоев</v>
          </cell>
          <cell r="E475" t="str">
            <v>Зафаробод</v>
          </cell>
          <cell r="F475">
            <v>20300</v>
          </cell>
          <cell r="H475">
            <v>10</v>
          </cell>
        </row>
        <row r="476">
          <cell r="A476">
            <v>159</v>
          </cell>
          <cell r="B476" t="str">
            <v>Б.Каршиев</v>
          </cell>
          <cell r="C476" t="str">
            <v>ф/х</v>
          </cell>
          <cell r="D476" t="str">
            <v>Охунбобоев</v>
          </cell>
          <cell r="E476" t="str">
            <v>Зафаробод</v>
          </cell>
          <cell r="F476">
            <v>18700</v>
          </cell>
          <cell r="I476">
            <v>17</v>
          </cell>
        </row>
        <row r="477">
          <cell r="A477">
            <v>160</v>
          </cell>
          <cell r="B477" t="str">
            <v>Байрамбек</v>
          </cell>
          <cell r="C477" t="str">
            <v>ф/х</v>
          </cell>
          <cell r="D477" t="str">
            <v>Охунбобоев</v>
          </cell>
          <cell r="E477" t="str">
            <v>Зафаробод</v>
          </cell>
          <cell r="F477">
            <v>34800</v>
          </cell>
          <cell r="H477">
            <v>10</v>
          </cell>
        </row>
        <row r="478">
          <cell r="A478">
            <v>161</v>
          </cell>
          <cell r="B478" t="str">
            <v>Барчиной</v>
          </cell>
          <cell r="C478" t="str">
            <v>ф/х</v>
          </cell>
          <cell r="D478" t="str">
            <v>Охунбобоев</v>
          </cell>
          <cell r="E478" t="str">
            <v>Зафаробод</v>
          </cell>
          <cell r="F478">
            <v>16400</v>
          </cell>
          <cell r="I478">
            <v>18</v>
          </cell>
        </row>
        <row r="479">
          <cell r="A479">
            <v>162</v>
          </cell>
          <cell r="B479" t="str">
            <v>Бахмал</v>
          </cell>
          <cell r="C479" t="str">
            <v>ф/х</v>
          </cell>
          <cell r="D479" t="str">
            <v>Охунбобоев</v>
          </cell>
          <cell r="E479" t="str">
            <v>Зафаробод</v>
          </cell>
          <cell r="F479">
            <v>48000</v>
          </cell>
          <cell r="H479">
            <v>12</v>
          </cell>
        </row>
        <row r="480">
          <cell r="A480">
            <v>163</v>
          </cell>
          <cell r="B480" t="str">
            <v>Баходир</v>
          </cell>
          <cell r="C480" t="str">
            <v>ф/х</v>
          </cell>
          <cell r="D480" t="str">
            <v>Охунбобоев</v>
          </cell>
          <cell r="E480" t="str">
            <v>Зафаробод</v>
          </cell>
          <cell r="F480">
            <v>24000</v>
          </cell>
          <cell r="H480">
            <v>10</v>
          </cell>
        </row>
        <row r="481">
          <cell r="A481">
            <v>164</v>
          </cell>
          <cell r="B481" t="str">
            <v>Бекхайдар</v>
          </cell>
          <cell r="C481" t="str">
            <v>ф/х</v>
          </cell>
          <cell r="D481" t="str">
            <v>Охунбобоев</v>
          </cell>
          <cell r="E481" t="str">
            <v>Зафаробод</v>
          </cell>
          <cell r="F481">
            <v>17300</v>
          </cell>
          <cell r="I481">
            <v>17</v>
          </cell>
        </row>
        <row r="482">
          <cell r="A482">
            <v>165</v>
          </cell>
          <cell r="B482" t="str">
            <v>Бекшерхон</v>
          </cell>
          <cell r="C482" t="str">
            <v>ф/х</v>
          </cell>
          <cell r="D482" t="str">
            <v>Охунбобоев</v>
          </cell>
          <cell r="E482" t="str">
            <v>Зафаробод</v>
          </cell>
          <cell r="F482">
            <v>44500</v>
          </cell>
          <cell r="I482">
            <v>18</v>
          </cell>
        </row>
        <row r="483">
          <cell r="A483">
            <v>166</v>
          </cell>
          <cell r="B483" t="str">
            <v>Бердак</v>
          </cell>
          <cell r="C483" t="str">
            <v>ф/х</v>
          </cell>
          <cell r="D483" t="str">
            <v>Охунбобоев</v>
          </cell>
          <cell r="E483" t="str">
            <v>Зафаробод</v>
          </cell>
          <cell r="F483">
            <v>97500</v>
          </cell>
          <cell r="H483">
            <v>10</v>
          </cell>
        </row>
        <row r="484">
          <cell r="A484">
            <v>167</v>
          </cell>
          <cell r="B484" t="str">
            <v>Бехруз-1</v>
          </cell>
          <cell r="C484" t="str">
            <v>ф/х</v>
          </cell>
          <cell r="D484" t="str">
            <v>Охунбобоев</v>
          </cell>
          <cell r="E484" t="str">
            <v>Зафаробод</v>
          </cell>
          <cell r="F484">
            <v>6300</v>
          </cell>
          <cell r="H484">
            <v>10</v>
          </cell>
        </row>
        <row r="485">
          <cell r="A485">
            <v>168</v>
          </cell>
          <cell r="B485" t="str">
            <v>Биби Хадича</v>
          </cell>
          <cell r="C485" t="str">
            <v>ф/х</v>
          </cell>
          <cell r="D485" t="str">
            <v>Охунбобоев</v>
          </cell>
          <cell r="E485" t="str">
            <v>Зафаробод</v>
          </cell>
          <cell r="F485">
            <v>51600</v>
          </cell>
          <cell r="H485">
            <v>10</v>
          </cell>
        </row>
        <row r="486">
          <cell r="A486">
            <v>169</v>
          </cell>
          <cell r="B486" t="str">
            <v>Бобои Бахри</v>
          </cell>
          <cell r="C486" t="str">
            <v>ф/х</v>
          </cell>
          <cell r="D486" t="str">
            <v>Охунбобоев</v>
          </cell>
          <cell r="E486" t="str">
            <v>Зафаробод</v>
          </cell>
          <cell r="F486">
            <v>19200</v>
          </cell>
          <cell r="H486">
            <v>10</v>
          </cell>
        </row>
        <row r="487">
          <cell r="A487">
            <v>170</v>
          </cell>
          <cell r="B487" t="str">
            <v>Боботуй</v>
          </cell>
          <cell r="C487" t="str">
            <v>ф/х</v>
          </cell>
          <cell r="D487" t="str">
            <v>Охунбобоев</v>
          </cell>
          <cell r="E487" t="str">
            <v>Зафаробод</v>
          </cell>
          <cell r="F487">
            <v>17200</v>
          </cell>
          <cell r="H487">
            <v>10</v>
          </cell>
        </row>
        <row r="488">
          <cell r="A488">
            <v>171</v>
          </cell>
          <cell r="B488" t="str">
            <v>Бобур</v>
          </cell>
          <cell r="C488" t="str">
            <v>ф/х</v>
          </cell>
          <cell r="D488" t="str">
            <v>Охунбобоев</v>
          </cell>
          <cell r="E488" t="str">
            <v>Зафаробод</v>
          </cell>
          <cell r="F488">
            <v>136000</v>
          </cell>
          <cell r="H488">
            <v>10</v>
          </cell>
        </row>
        <row r="489">
          <cell r="A489">
            <v>172</v>
          </cell>
          <cell r="B489" t="str">
            <v>Бобур тадбиркор</v>
          </cell>
          <cell r="C489" t="str">
            <v>ф/х</v>
          </cell>
          <cell r="D489" t="str">
            <v>Охунбобоев</v>
          </cell>
          <cell r="E489" t="str">
            <v>Зафаробод</v>
          </cell>
          <cell r="F489">
            <v>13600</v>
          </cell>
          <cell r="I489">
            <v>12</v>
          </cell>
        </row>
        <row r="490">
          <cell r="A490">
            <v>173</v>
          </cell>
          <cell r="B490" t="str">
            <v>Богбоши</v>
          </cell>
          <cell r="C490" t="str">
            <v>ф/х</v>
          </cell>
          <cell r="D490" t="str">
            <v>Охунбобоев</v>
          </cell>
          <cell r="E490" t="str">
            <v>Зафаробод</v>
          </cell>
          <cell r="F490">
            <v>45700</v>
          </cell>
          <cell r="H490">
            <v>11</v>
          </cell>
        </row>
        <row r="491">
          <cell r="A491">
            <v>174</v>
          </cell>
          <cell r="B491" t="str">
            <v>Богдон</v>
          </cell>
          <cell r="C491" t="str">
            <v>ф/х</v>
          </cell>
          <cell r="D491" t="str">
            <v>Охунбобоев</v>
          </cell>
          <cell r="E491" t="str">
            <v>Зафаробод</v>
          </cell>
          <cell r="F491">
            <v>46600</v>
          </cell>
          <cell r="I491">
            <v>18</v>
          </cell>
        </row>
        <row r="492">
          <cell r="A492">
            <v>175</v>
          </cell>
          <cell r="B492" t="str">
            <v>Бозорбой</v>
          </cell>
          <cell r="C492" t="str">
            <v>ф/х</v>
          </cell>
          <cell r="D492" t="str">
            <v>Охунбобоев</v>
          </cell>
          <cell r="E492" t="str">
            <v>Зафаробод</v>
          </cell>
          <cell r="F492">
            <v>32000</v>
          </cell>
          <cell r="I492">
            <v>19</v>
          </cell>
        </row>
        <row r="493">
          <cell r="A493">
            <v>176</v>
          </cell>
          <cell r="B493" t="str">
            <v>Бойака-Хусайн</v>
          </cell>
          <cell r="C493" t="str">
            <v>ф/х</v>
          </cell>
          <cell r="D493" t="str">
            <v>Охунбобоев</v>
          </cell>
          <cell r="E493" t="str">
            <v>Зафаробод</v>
          </cell>
          <cell r="F493">
            <v>9800</v>
          </cell>
          <cell r="H493">
            <v>8</v>
          </cell>
        </row>
        <row r="494">
          <cell r="A494">
            <v>177</v>
          </cell>
          <cell r="B494" t="str">
            <v>Болибек</v>
          </cell>
          <cell r="C494" t="str">
            <v>ф/х</v>
          </cell>
          <cell r="D494" t="str">
            <v>Охунбобоев</v>
          </cell>
          <cell r="E494" t="str">
            <v>Зафаробод</v>
          </cell>
          <cell r="F494">
            <v>26000</v>
          </cell>
          <cell r="H494">
            <v>10</v>
          </cell>
        </row>
        <row r="495">
          <cell r="A495">
            <v>178</v>
          </cell>
          <cell r="B495" t="str">
            <v>Болтаев Жахонгир</v>
          </cell>
          <cell r="C495" t="str">
            <v>ф/х</v>
          </cell>
          <cell r="D495" t="str">
            <v>Охунбобоев</v>
          </cell>
          <cell r="E495" t="str">
            <v>Зафаробод</v>
          </cell>
          <cell r="F495">
            <v>17600</v>
          </cell>
          <cell r="I495">
            <v>17</v>
          </cell>
        </row>
        <row r="496">
          <cell r="A496">
            <v>179</v>
          </cell>
          <cell r="B496" t="str">
            <v>Борот Ханжар</v>
          </cell>
          <cell r="C496" t="str">
            <v>ф/х</v>
          </cell>
          <cell r="D496" t="str">
            <v>Охунбобоев</v>
          </cell>
          <cell r="E496" t="str">
            <v>Зафаробод</v>
          </cell>
          <cell r="F496">
            <v>32200</v>
          </cell>
          <cell r="H496">
            <v>11</v>
          </cell>
        </row>
        <row r="497">
          <cell r="A497">
            <v>180</v>
          </cell>
          <cell r="B497" t="str">
            <v>Ботир</v>
          </cell>
          <cell r="C497" t="str">
            <v>ф/х</v>
          </cell>
          <cell r="D497" t="str">
            <v>Охунбобоев</v>
          </cell>
          <cell r="E497" t="str">
            <v>Зафаробод</v>
          </cell>
          <cell r="F497">
            <v>36600</v>
          </cell>
          <cell r="H497">
            <v>10</v>
          </cell>
        </row>
        <row r="498">
          <cell r="A498">
            <v>181</v>
          </cell>
          <cell r="B498" t="str">
            <v>Бурхонзода</v>
          </cell>
          <cell r="C498" t="str">
            <v>ф/х</v>
          </cell>
          <cell r="D498" t="str">
            <v>Охунбобоев</v>
          </cell>
          <cell r="E498" t="str">
            <v>Зафаробод</v>
          </cell>
          <cell r="F498">
            <v>15400</v>
          </cell>
          <cell r="H498">
            <v>9</v>
          </cell>
        </row>
        <row r="499">
          <cell r="A499">
            <v>182</v>
          </cell>
          <cell r="B499" t="str">
            <v>Вохид Дустим</v>
          </cell>
          <cell r="C499" t="str">
            <v>ф/х</v>
          </cell>
          <cell r="D499" t="str">
            <v>Охунбобоев</v>
          </cell>
          <cell r="E499" t="str">
            <v>Зафаробод</v>
          </cell>
          <cell r="F499">
            <v>18600</v>
          </cell>
          <cell r="H499">
            <v>10</v>
          </cell>
        </row>
        <row r="500">
          <cell r="A500">
            <v>183</v>
          </cell>
          <cell r="B500" t="str">
            <v>Галаба</v>
          </cell>
          <cell r="C500" t="str">
            <v>ф/х</v>
          </cell>
          <cell r="D500" t="str">
            <v>Охунбобоев</v>
          </cell>
          <cell r="E500" t="str">
            <v>Зафаробод</v>
          </cell>
          <cell r="F500">
            <v>44600</v>
          </cell>
          <cell r="H500">
            <v>11</v>
          </cell>
        </row>
        <row r="501">
          <cell r="A501">
            <v>184</v>
          </cell>
          <cell r="B501" t="str">
            <v>Галлаорол-S</v>
          </cell>
          <cell r="C501" t="str">
            <v>ф/х</v>
          </cell>
          <cell r="D501" t="str">
            <v>Охунбобоев</v>
          </cell>
          <cell r="E501" t="str">
            <v>Зафаробод</v>
          </cell>
          <cell r="F501">
            <v>23600</v>
          </cell>
          <cell r="H501">
            <v>10</v>
          </cell>
        </row>
        <row r="502">
          <cell r="A502">
            <v>185</v>
          </cell>
          <cell r="B502" t="str">
            <v>Гиркук</v>
          </cell>
          <cell r="C502" t="str">
            <v>ф/х</v>
          </cell>
          <cell r="D502" t="str">
            <v>Охунбобоев</v>
          </cell>
          <cell r="E502" t="str">
            <v>Зафаробод</v>
          </cell>
          <cell r="F502">
            <v>15500</v>
          </cell>
          <cell r="I502">
            <v>17</v>
          </cell>
        </row>
        <row r="503">
          <cell r="A503">
            <v>186</v>
          </cell>
          <cell r="B503" t="str">
            <v>Гладислис</v>
          </cell>
          <cell r="C503" t="str">
            <v>ф/х</v>
          </cell>
          <cell r="D503" t="str">
            <v>Охунбобоев</v>
          </cell>
          <cell r="E503" t="str">
            <v>Зафаробод</v>
          </cell>
          <cell r="F503">
            <v>31000</v>
          </cell>
          <cell r="H503">
            <v>10</v>
          </cell>
        </row>
        <row r="504">
          <cell r="A504">
            <v>187</v>
          </cell>
          <cell r="B504" t="str">
            <v>Дадажон</v>
          </cell>
          <cell r="C504" t="str">
            <v>ф/х</v>
          </cell>
          <cell r="D504" t="str">
            <v>Охунбобоев</v>
          </cell>
          <cell r="E504" t="str">
            <v>Зафаробод</v>
          </cell>
          <cell r="F504">
            <v>39800</v>
          </cell>
          <cell r="H504">
            <v>10</v>
          </cell>
        </row>
        <row r="505">
          <cell r="A505">
            <v>188</v>
          </cell>
          <cell r="B505" t="str">
            <v>Дилшод</v>
          </cell>
          <cell r="C505" t="str">
            <v>ф/х</v>
          </cell>
          <cell r="D505" t="str">
            <v>Охунбобоев</v>
          </cell>
          <cell r="E505" t="str">
            <v>Зафаробод</v>
          </cell>
          <cell r="F505">
            <v>57000</v>
          </cell>
          <cell r="H505">
            <v>10</v>
          </cell>
        </row>
        <row r="506">
          <cell r="A506">
            <v>189</v>
          </cell>
          <cell r="B506" t="str">
            <v>Довур</v>
          </cell>
          <cell r="C506" t="str">
            <v>ф/х</v>
          </cell>
          <cell r="D506" t="str">
            <v>Охунбобоев</v>
          </cell>
          <cell r="E506" t="str">
            <v>Зафаробод</v>
          </cell>
          <cell r="F506">
            <v>37500</v>
          </cell>
          <cell r="I506">
            <v>17</v>
          </cell>
        </row>
        <row r="507">
          <cell r="A507">
            <v>190</v>
          </cell>
          <cell r="B507" t="str">
            <v>Дониёр</v>
          </cell>
          <cell r="C507" t="str">
            <v>ф/х</v>
          </cell>
          <cell r="D507" t="str">
            <v>Охунбобоев</v>
          </cell>
          <cell r="E507" t="str">
            <v>Зафаробод</v>
          </cell>
          <cell r="F507">
            <v>33600</v>
          </cell>
          <cell r="H507">
            <v>10</v>
          </cell>
        </row>
        <row r="508">
          <cell r="A508">
            <v>191</v>
          </cell>
          <cell r="B508" t="str">
            <v>Доно бобо</v>
          </cell>
          <cell r="C508" t="str">
            <v>ф/х</v>
          </cell>
          <cell r="D508" t="str">
            <v>Охунбобоев</v>
          </cell>
          <cell r="E508" t="str">
            <v>Зафаробод</v>
          </cell>
          <cell r="F508">
            <v>17600</v>
          </cell>
          <cell r="H508">
            <v>10</v>
          </cell>
        </row>
        <row r="509">
          <cell r="A509">
            <v>192</v>
          </cell>
          <cell r="B509" t="str">
            <v xml:space="preserve">Достон </v>
          </cell>
          <cell r="C509" t="str">
            <v>ф/х</v>
          </cell>
          <cell r="D509" t="str">
            <v>Охунбобоев</v>
          </cell>
          <cell r="E509" t="str">
            <v>Зафаробод</v>
          </cell>
          <cell r="F509">
            <v>37900</v>
          </cell>
          <cell r="H509">
            <v>10</v>
          </cell>
        </row>
        <row r="510">
          <cell r="A510">
            <v>193</v>
          </cell>
          <cell r="B510" t="str">
            <v>Дувлон ота</v>
          </cell>
          <cell r="C510" t="str">
            <v>ф/х</v>
          </cell>
          <cell r="D510" t="str">
            <v>Охунбобоев</v>
          </cell>
          <cell r="E510" t="str">
            <v>Зафаробод</v>
          </cell>
          <cell r="F510">
            <v>29300</v>
          </cell>
          <cell r="H510">
            <v>6</v>
          </cell>
        </row>
        <row r="511">
          <cell r="A511">
            <v>194</v>
          </cell>
          <cell r="B511" t="str">
            <v>Ёмчисой</v>
          </cell>
          <cell r="C511" t="str">
            <v>ф/х</v>
          </cell>
          <cell r="D511" t="str">
            <v>Охунбобоев</v>
          </cell>
          <cell r="E511" t="str">
            <v>Зафаробод</v>
          </cell>
          <cell r="F511">
            <v>15300</v>
          </cell>
          <cell r="H511">
            <v>10</v>
          </cell>
        </row>
        <row r="512">
          <cell r="A512">
            <v>195</v>
          </cell>
          <cell r="B512" t="str">
            <v>Ёрлакаб бобо</v>
          </cell>
          <cell r="C512" t="str">
            <v>ф/х</v>
          </cell>
          <cell r="D512" t="str">
            <v>Охунбобоев</v>
          </cell>
          <cell r="E512" t="str">
            <v>Зафаробод</v>
          </cell>
          <cell r="F512">
            <v>109200</v>
          </cell>
          <cell r="I512">
            <v>10</v>
          </cell>
        </row>
        <row r="513">
          <cell r="A513">
            <v>196</v>
          </cell>
          <cell r="B513" t="str">
            <v>Ёруглик</v>
          </cell>
          <cell r="C513" t="str">
            <v>ф/х</v>
          </cell>
          <cell r="D513" t="str">
            <v>Охунбобоев</v>
          </cell>
          <cell r="E513" t="str">
            <v>Зафаробод</v>
          </cell>
          <cell r="F513">
            <v>50000</v>
          </cell>
          <cell r="H513">
            <v>10</v>
          </cell>
        </row>
        <row r="514">
          <cell r="A514">
            <v>197</v>
          </cell>
          <cell r="B514" t="str">
            <v>Жасур</v>
          </cell>
          <cell r="C514" t="str">
            <v>ф/х</v>
          </cell>
          <cell r="D514" t="str">
            <v>Охунбобоев</v>
          </cell>
          <cell r="E514" t="str">
            <v>Зафаробод</v>
          </cell>
          <cell r="F514">
            <v>14400</v>
          </cell>
          <cell r="I514">
            <v>19</v>
          </cell>
        </row>
        <row r="515">
          <cell r="A515">
            <v>198</v>
          </cell>
          <cell r="B515" t="str">
            <v>Жийрон бобо</v>
          </cell>
          <cell r="C515" t="str">
            <v>ф/х</v>
          </cell>
          <cell r="D515" t="str">
            <v>Охунбобоев</v>
          </cell>
          <cell r="E515" t="str">
            <v>Зафаробод</v>
          </cell>
          <cell r="F515">
            <v>20300</v>
          </cell>
          <cell r="H515">
            <v>9</v>
          </cell>
        </row>
        <row r="516">
          <cell r="A516">
            <v>199</v>
          </cell>
          <cell r="B516" t="str">
            <v>Жонон</v>
          </cell>
          <cell r="C516" t="str">
            <v>ф/х</v>
          </cell>
          <cell r="D516" t="str">
            <v>Охунбобоев</v>
          </cell>
          <cell r="E516" t="str">
            <v>Зафаробод</v>
          </cell>
          <cell r="F516">
            <v>17300</v>
          </cell>
          <cell r="H516">
            <v>10</v>
          </cell>
        </row>
        <row r="517">
          <cell r="A517">
            <v>200</v>
          </cell>
          <cell r="B517" t="str">
            <v xml:space="preserve">Жулбек  </v>
          </cell>
          <cell r="C517" t="str">
            <v>ф/х</v>
          </cell>
          <cell r="D517" t="str">
            <v>Охунбобоев</v>
          </cell>
          <cell r="E517" t="str">
            <v>Зафаробод</v>
          </cell>
          <cell r="F517">
            <v>19200</v>
          </cell>
          <cell r="H517">
            <v>10</v>
          </cell>
        </row>
        <row r="518">
          <cell r="A518">
            <v>201</v>
          </cell>
          <cell r="B518" t="str">
            <v xml:space="preserve">Жулбек ота </v>
          </cell>
          <cell r="C518" t="str">
            <v>ф/х</v>
          </cell>
          <cell r="D518" t="str">
            <v>Охунбобоев</v>
          </cell>
          <cell r="E518" t="str">
            <v>Зафаробод</v>
          </cell>
          <cell r="F518">
            <v>30300</v>
          </cell>
          <cell r="I518">
            <v>17</v>
          </cell>
        </row>
        <row r="519">
          <cell r="A519">
            <v>202</v>
          </cell>
          <cell r="B519" t="str">
            <v>Жултойбой</v>
          </cell>
          <cell r="C519" t="str">
            <v>ф/х</v>
          </cell>
          <cell r="D519" t="str">
            <v>Охунбобоев</v>
          </cell>
          <cell r="E519" t="str">
            <v>Зафаробод</v>
          </cell>
          <cell r="F519">
            <v>58000</v>
          </cell>
          <cell r="I519">
            <v>17</v>
          </cell>
        </row>
        <row r="520">
          <cell r="A520">
            <v>203</v>
          </cell>
          <cell r="B520" t="str">
            <v>Жумабой угли</v>
          </cell>
          <cell r="C520" t="str">
            <v>ф/х</v>
          </cell>
          <cell r="D520" t="str">
            <v>Охунбобоев</v>
          </cell>
          <cell r="E520" t="str">
            <v>Зафаробод</v>
          </cell>
          <cell r="F520">
            <v>28800</v>
          </cell>
          <cell r="H520">
            <v>9</v>
          </cell>
        </row>
        <row r="521">
          <cell r="A521">
            <v>204</v>
          </cell>
          <cell r="B521" t="str">
            <v>Жумардон</v>
          </cell>
          <cell r="C521" t="str">
            <v>ф/х</v>
          </cell>
          <cell r="D521" t="str">
            <v>Охунбобоев</v>
          </cell>
          <cell r="E521" t="str">
            <v>Зафаробод</v>
          </cell>
          <cell r="F521">
            <v>17400</v>
          </cell>
          <cell r="I521">
            <v>17</v>
          </cell>
        </row>
        <row r="522">
          <cell r="A522">
            <v>205</v>
          </cell>
          <cell r="B522" t="str">
            <v>Зайпин</v>
          </cell>
          <cell r="C522" t="str">
            <v>ф/х</v>
          </cell>
          <cell r="D522" t="str">
            <v>Охунбобоев</v>
          </cell>
          <cell r="E522" t="str">
            <v>Зафаробод</v>
          </cell>
          <cell r="F522">
            <v>18000</v>
          </cell>
          <cell r="H522">
            <v>10</v>
          </cell>
        </row>
        <row r="523">
          <cell r="A523">
            <v>206</v>
          </cell>
          <cell r="B523" t="str">
            <v>Замин</v>
          </cell>
          <cell r="C523" t="str">
            <v>ф/х</v>
          </cell>
          <cell r="D523" t="str">
            <v>Охунбобоев</v>
          </cell>
          <cell r="E523" t="str">
            <v>Зафаробод</v>
          </cell>
          <cell r="F523">
            <v>24000</v>
          </cell>
          <cell r="H523">
            <v>8</v>
          </cell>
        </row>
        <row r="524">
          <cell r="A524">
            <v>207</v>
          </cell>
          <cell r="B524" t="str">
            <v>Зулфия-Мохидил</v>
          </cell>
          <cell r="C524" t="str">
            <v>ф/х</v>
          </cell>
          <cell r="D524" t="str">
            <v>Охунбобоев</v>
          </cell>
          <cell r="E524" t="str">
            <v>Зафаробод</v>
          </cell>
          <cell r="F524">
            <v>10200</v>
          </cell>
          <cell r="H524">
            <v>10</v>
          </cell>
        </row>
        <row r="525">
          <cell r="A525">
            <v>208</v>
          </cell>
          <cell r="B525" t="str">
            <v>Ибн Комил</v>
          </cell>
          <cell r="C525" t="str">
            <v>ф/х</v>
          </cell>
          <cell r="D525" t="str">
            <v>Охунбобоев</v>
          </cell>
          <cell r="E525" t="str">
            <v>Зафаробод</v>
          </cell>
          <cell r="F525">
            <v>17300</v>
          </cell>
          <cell r="H525">
            <v>10</v>
          </cell>
        </row>
        <row r="526">
          <cell r="A526">
            <v>209</v>
          </cell>
          <cell r="B526" t="str">
            <v>Иброхим</v>
          </cell>
          <cell r="C526" t="str">
            <v>ф/х</v>
          </cell>
          <cell r="D526" t="str">
            <v>Охунбобоев</v>
          </cell>
          <cell r="E526" t="str">
            <v>Зафаробод</v>
          </cell>
          <cell r="F526">
            <v>54000</v>
          </cell>
          <cell r="I526">
            <v>12</v>
          </cell>
        </row>
        <row r="527">
          <cell r="A527">
            <v>210</v>
          </cell>
          <cell r="B527" t="str">
            <v>Исмат бобо</v>
          </cell>
          <cell r="C527" t="str">
            <v>ф/х</v>
          </cell>
          <cell r="D527" t="str">
            <v>Охунбобоев</v>
          </cell>
          <cell r="E527" t="str">
            <v>Зафаробод</v>
          </cell>
          <cell r="F527">
            <v>65600</v>
          </cell>
          <cell r="I527">
            <v>19</v>
          </cell>
        </row>
        <row r="528">
          <cell r="A528">
            <v>211</v>
          </cell>
          <cell r="B528" t="str">
            <v>Йулдош</v>
          </cell>
          <cell r="C528" t="str">
            <v>ф/х</v>
          </cell>
          <cell r="D528" t="str">
            <v>Охунбобоев</v>
          </cell>
          <cell r="E528" t="str">
            <v>Зафаробод</v>
          </cell>
          <cell r="F528">
            <v>64900</v>
          </cell>
          <cell r="H528">
            <v>10</v>
          </cell>
        </row>
        <row r="529">
          <cell r="A529">
            <v>212</v>
          </cell>
          <cell r="B529" t="str">
            <v>Йулдош бобо</v>
          </cell>
          <cell r="C529" t="str">
            <v>ф/х</v>
          </cell>
          <cell r="D529" t="str">
            <v>Охунбобоев</v>
          </cell>
          <cell r="E529" t="str">
            <v>Зафаробод</v>
          </cell>
          <cell r="F529">
            <v>31500</v>
          </cell>
          <cell r="H529">
            <v>10</v>
          </cell>
        </row>
        <row r="530">
          <cell r="A530">
            <v>213</v>
          </cell>
          <cell r="B530" t="str">
            <v>Кадван</v>
          </cell>
          <cell r="C530" t="str">
            <v>ф/х</v>
          </cell>
          <cell r="D530" t="str">
            <v>Охунбобоев</v>
          </cell>
          <cell r="E530" t="str">
            <v>Зафаробод</v>
          </cell>
          <cell r="F530">
            <v>15900</v>
          </cell>
          <cell r="H530">
            <v>10</v>
          </cell>
        </row>
        <row r="531">
          <cell r="A531">
            <v>214</v>
          </cell>
          <cell r="B531" t="str">
            <v>Калдиргоч</v>
          </cell>
          <cell r="C531" t="str">
            <v>ф/х</v>
          </cell>
          <cell r="D531" t="str">
            <v>Охунбобоев</v>
          </cell>
          <cell r="E531" t="str">
            <v>Зафаробод</v>
          </cell>
          <cell r="F531">
            <v>21500</v>
          </cell>
          <cell r="H531">
            <v>11</v>
          </cell>
        </row>
        <row r="532">
          <cell r="A532">
            <v>215</v>
          </cell>
          <cell r="B532" t="str">
            <v>Камишзор</v>
          </cell>
          <cell r="C532" t="str">
            <v>ф/х</v>
          </cell>
          <cell r="D532" t="str">
            <v>Охунбобоев</v>
          </cell>
          <cell r="E532" t="str">
            <v>Зафаробод</v>
          </cell>
          <cell r="F532">
            <v>31400</v>
          </cell>
          <cell r="H532">
            <v>9</v>
          </cell>
        </row>
        <row r="533">
          <cell r="A533">
            <v>216</v>
          </cell>
          <cell r="B533" t="str">
            <v>Камол-Мухммадиев</v>
          </cell>
          <cell r="C533" t="str">
            <v>ф/х</v>
          </cell>
          <cell r="D533" t="str">
            <v>Охунбобоев</v>
          </cell>
          <cell r="E533" t="str">
            <v>Зафаробод</v>
          </cell>
          <cell r="F533">
            <v>84500</v>
          </cell>
          <cell r="I533">
            <v>10</v>
          </cell>
        </row>
        <row r="534">
          <cell r="A534">
            <v>217</v>
          </cell>
          <cell r="B534" t="str">
            <v>Карим бобо</v>
          </cell>
          <cell r="C534" t="str">
            <v>ф/х</v>
          </cell>
          <cell r="D534" t="str">
            <v>Охунбобоев</v>
          </cell>
          <cell r="E534" t="str">
            <v>Зафаробод</v>
          </cell>
          <cell r="F534">
            <v>40100</v>
          </cell>
          <cell r="H534">
            <v>12</v>
          </cell>
        </row>
        <row r="535">
          <cell r="A535">
            <v>218</v>
          </cell>
          <cell r="B535" t="str">
            <v>Кизил коя</v>
          </cell>
          <cell r="C535" t="str">
            <v>ф/х</v>
          </cell>
          <cell r="D535" t="str">
            <v>Охунбобоев</v>
          </cell>
          <cell r="E535" t="str">
            <v>Зафаробод</v>
          </cell>
          <cell r="F535">
            <v>99900</v>
          </cell>
          <cell r="H535">
            <v>9</v>
          </cell>
        </row>
        <row r="536">
          <cell r="A536">
            <v>219</v>
          </cell>
          <cell r="B536" t="str">
            <v>Кили шаршара</v>
          </cell>
          <cell r="C536" t="str">
            <v>ф/х</v>
          </cell>
          <cell r="D536" t="str">
            <v>Охунбобоев</v>
          </cell>
          <cell r="E536" t="str">
            <v>Зафаробод</v>
          </cell>
          <cell r="F536">
            <v>15100</v>
          </cell>
          <cell r="H536">
            <v>9</v>
          </cell>
        </row>
        <row r="537">
          <cell r="A537">
            <v>220</v>
          </cell>
          <cell r="B537" t="str">
            <v>Кимёгар</v>
          </cell>
          <cell r="C537" t="str">
            <v>ф/х</v>
          </cell>
          <cell r="D537" t="str">
            <v>Охунбобоев</v>
          </cell>
          <cell r="E537" t="str">
            <v>Зафаробод</v>
          </cell>
          <cell r="F537">
            <v>76800</v>
          </cell>
          <cell r="H537">
            <v>10</v>
          </cell>
        </row>
        <row r="538">
          <cell r="A538">
            <v>221</v>
          </cell>
          <cell r="B538" t="str">
            <v>Коллеж</v>
          </cell>
          <cell r="C538" t="str">
            <v>ф/х</v>
          </cell>
          <cell r="D538" t="str">
            <v>Охунбобоев</v>
          </cell>
          <cell r="E538" t="str">
            <v>Зафаробод</v>
          </cell>
          <cell r="F538">
            <v>40700</v>
          </cell>
          <cell r="H538">
            <v>8</v>
          </cell>
        </row>
        <row r="539">
          <cell r="A539">
            <v>222</v>
          </cell>
          <cell r="B539" t="str">
            <v>Комил бобо</v>
          </cell>
          <cell r="C539" t="str">
            <v>ф/х</v>
          </cell>
          <cell r="D539" t="str">
            <v>Охунбобоев</v>
          </cell>
          <cell r="E539" t="str">
            <v>Зафаробод</v>
          </cell>
          <cell r="F539">
            <v>73500</v>
          </cell>
          <cell r="I539">
            <v>18</v>
          </cell>
        </row>
        <row r="540">
          <cell r="A540">
            <v>223</v>
          </cell>
          <cell r="B540" t="str">
            <v>Коракисса</v>
          </cell>
          <cell r="C540" t="str">
            <v>ф/х</v>
          </cell>
          <cell r="D540" t="str">
            <v>Охунбобоев</v>
          </cell>
          <cell r="E540" t="str">
            <v>Зафаробод</v>
          </cell>
          <cell r="F540">
            <v>17600</v>
          </cell>
          <cell r="H540">
            <v>10</v>
          </cell>
        </row>
        <row r="541">
          <cell r="A541">
            <v>224</v>
          </cell>
          <cell r="B541" t="str">
            <v>Кордовон</v>
          </cell>
          <cell r="C541" t="str">
            <v>ф/х</v>
          </cell>
          <cell r="D541" t="str">
            <v>Охунбобоев</v>
          </cell>
          <cell r="E541" t="str">
            <v>Зафаробод</v>
          </cell>
          <cell r="F541">
            <v>35600</v>
          </cell>
          <cell r="H541">
            <v>10</v>
          </cell>
        </row>
        <row r="542">
          <cell r="A542">
            <v>225</v>
          </cell>
          <cell r="B542" t="str">
            <v>Кудрат бобо</v>
          </cell>
          <cell r="C542" t="str">
            <v>ф/х</v>
          </cell>
          <cell r="D542" t="str">
            <v>Охунбобоев</v>
          </cell>
          <cell r="E542" t="str">
            <v>Зафаробод</v>
          </cell>
          <cell r="F542">
            <v>19200</v>
          </cell>
          <cell r="H542">
            <v>6</v>
          </cell>
        </row>
        <row r="543">
          <cell r="A543">
            <v>226</v>
          </cell>
          <cell r="B543" t="str">
            <v>Куктош</v>
          </cell>
          <cell r="C543" t="str">
            <v>ф/х</v>
          </cell>
          <cell r="D543" t="str">
            <v>Охунбобоев</v>
          </cell>
          <cell r="E543" t="str">
            <v>Зафаробод</v>
          </cell>
          <cell r="F543">
            <v>15600</v>
          </cell>
          <cell r="H543">
            <v>10</v>
          </cell>
        </row>
        <row r="544">
          <cell r="A544">
            <v>227</v>
          </cell>
          <cell r="B544" t="str">
            <v>Куп терак</v>
          </cell>
          <cell r="C544" t="str">
            <v>ф/х</v>
          </cell>
          <cell r="D544" t="str">
            <v>Охунбобоев</v>
          </cell>
          <cell r="E544" t="str">
            <v>Зафаробод</v>
          </cell>
          <cell r="F544">
            <v>11500</v>
          </cell>
          <cell r="H544">
            <v>10</v>
          </cell>
        </row>
        <row r="545">
          <cell r="A545">
            <v>228</v>
          </cell>
          <cell r="B545" t="str">
            <v>Лазиз-Шерзод</v>
          </cell>
          <cell r="C545" t="str">
            <v>ф/х</v>
          </cell>
          <cell r="D545" t="str">
            <v>Охунбобоев</v>
          </cell>
          <cell r="E545" t="str">
            <v>Зафаробод</v>
          </cell>
          <cell r="F545">
            <v>27600</v>
          </cell>
          <cell r="H545">
            <v>11</v>
          </cell>
        </row>
        <row r="546">
          <cell r="A546">
            <v>229</v>
          </cell>
          <cell r="B546" t="str">
            <v>Маржон1</v>
          </cell>
          <cell r="C546" t="str">
            <v>ф/х</v>
          </cell>
          <cell r="D546" t="str">
            <v>Охунбобоев</v>
          </cell>
          <cell r="E546" t="str">
            <v>Зафаробод</v>
          </cell>
          <cell r="F546">
            <v>109800</v>
          </cell>
          <cell r="I546">
            <v>12</v>
          </cell>
        </row>
        <row r="547">
          <cell r="A547">
            <v>230</v>
          </cell>
          <cell r="B547" t="str">
            <v>Махатмурод-Шукур</v>
          </cell>
          <cell r="C547" t="str">
            <v>ф/х</v>
          </cell>
          <cell r="D547" t="str">
            <v>Охунбобоев</v>
          </cell>
          <cell r="E547" t="str">
            <v>Зафаробод</v>
          </cell>
          <cell r="F547">
            <v>11500</v>
          </cell>
          <cell r="H547">
            <v>10</v>
          </cell>
        </row>
        <row r="548">
          <cell r="A548">
            <v>231</v>
          </cell>
          <cell r="B548" t="str">
            <v>Махмуд ота</v>
          </cell>
          <cell r="C548" t="str">
            <v>ф/х</v>
          </cell>
          <cell r="D548" t="str">
            <v>Охунбобоев</v>
          </cell>
          <cell r="E548" t="str">
            <v>Зафаробод</v>
          </cell>
          <cell r="F548">
            <v>54300</v>
          </cell>
          <cell r="H548">
            <v>14</v>
          </cell>
        </row>
        <row r="549">
          <cell r="A549">
            <v>232</v>
          </cell>
          <cell r="B549" t="str">
            <v>Махсуда Султоновна</v>
          </cell>
          <cell r="C549" t="str">
            <v>ф/х</v>
          </cell>
          <cell r="D549" t="str">
            <v>Охунбобоев</v>
          </cell>
          <cell r="E549" t="str">
            <v>Зафаробод</v>
          </cell>
          <cell r="F549">
            <v>25000</v>
          </cell>
          <cell r="I549">
            <v>16</v>
          </cell>
        </row>
        <row r="550">
          <cell r="A550">
            <v>233</v>
          </cell>
          <cell r="B550" t="str">
            <v>Машраб бобо</v>
          </cell>
          <cell r="C550" t="str">
            <v>ф/х</v>
          </cell>
          <cell r="D550" t="str">
            <v>Охунбобоев</v>
          </cell>
          <cell r="E550" t="str">
            <v>Зафаробод</v>
          </cell>
          <cell r="F550">
            <v>19700</v>
          </cell>
          <cell r="H550">
            <v>10</v>
          </cell>
        </row>
        <row r="551">
          <cell r="A551">
            <v>234</v>
          </cell>
          <cell r="B551" t="str">
            <v>Машъал</v>
          </cell>
          <cell r="C551" t="str">
            <v>ф/х</v>
          </cell>
          <cell r="D551" t="str">
            <v>Охунбобоев</v>
          </cell>
          <cell r="E551" t="str">
            <v>Зафаробод</v>
          </cell>
          <cell r="F551">
            <v>59000</v>
          </cell>
          <cell r="H551">
            <v>10</v>
          </cell>
        </row>
        <row r="552">
          <cell r="A552">
            <v>235</v>
          </cell>
          <cell r="B552" t="str">
            <v>Мингбой</v>
          </cell>
          <cell r="C552" t="str">
            <v>ф/х</v>
          </cell>
          <cell r="D552" t="str">
            <v>Охунбобоев</v>
          </cell>
          <cell r="E552" t="str">
            <v>Зафаробод</v>
          </cell>
          <cell r="F552">
            <v>25900</v>
          </cell>
          <cell r="H552">
            <v>10</v>
          </cell>
        </row>
        <row r="553">
          <cell r="A553">
            <v>236</v>
          </cell>
          <cell r="B553" t="str">
            <v>Мирзаширин</v>
          </cell>
          <cell r="C553" t="str">
            <v>ф/х</v>
          </cell>
          <cell r="D553" t="str">
            <v>Охунбобоев</v>
          </cell>
          <cell r="E553" t="str">
            <v>Зафаробод</v>
          </cell>
          <cell r="F553">
            <v>81300</v>
          </cell>
          <cell r="H553">
            <v>10</v>
          </cell>
        </row>
        <row r="554">
          <cell r="A554">
            <v>237</v>
          </cell>
          <cell r="B554" t="str">
            <v>Музаффар-А</v>
          </cell>
          <cell r="C554" t="str">
            <v>ф/х</v>
          </cell>
          <cell r="D554" t="str">
            <v>Охунбобоев</v>
          </cell>
          <cell r="E554" t="str">
            <v>Зафаробод</v>
          </cell>
          <cell r="F554">
            <v>35500</v>
          </cell>
          <cell r="H554">
            <v>10</v>
          </cell>
        </row>
        <row r="555">
          <cell r="A555">
            <v>238</v>
          </cell>
          <cell r="B555" t="str">
            <v>Муким</v>
          </cell>
          <cell r="C555" t="str">
            <v>ф/х</v>
          </cell>
          <cell r="D555" t="str">
            <v>Охунбобоев</v>
          </cell>
          <cell r="E555" t="str">
            <v>Зафаробод</v>
          </cell>
          <cell r="F555">
            <v>134700</v>
          </cell>
          <cell r="I555">
            <v>15</v>
          </cell>
        </row>
        <row r="556">
          <cell r="A556">
            <v>239</v>
          </cell>
          <cell r="B556" t="str">
            <v>Муниса</v>
          </cell>
          <cell r="C556" t="str">
            <v>ф/х</v>
          </cell>
          <cell r="D556" t="str">
            <v>Охунбобоев</v>
          </cell>
          <cell r="E556" t="str">
            <v>Зафаробод</v>
          </cell>
          <cell r="F556">
            <v>49300</v>
          </cell>
          <cell r="I556">
            <v>19</v>
          </cell>
        </row>
        <row r="557">
          <cell r="A557">
            <v>240</v>
          </cell>
          <cell r="B557" t="str">
            <v>Муслим-Тойир</v>
          </cell>
          <cell r="C557" t="str">
            <v>ф/х</v>
          </cell>
          <cell r="D557" t="str">
            <v>Охунбобоев</v>
          </cell>
          <cell r="E557" t="str">
            <v>Зафаробод</v>
          </cell>
          <cell r="F557">
            <v>12500</v>
          </cell>
          <cell r="H557">
            <v>10</v>
          </cell>
        </row>
        <row r="558">
          <cell r="A558">
            <v>241</v>
          </cell>
          <cell r="B558" t="str">
            <v>Мухриддин</v>
          </cell>
          <cell r="C558" t="str">
            <v>ф/х</v>
          </cell>
          <cell r="D558" t="str">
            <v>Охунбобоев</v>
          </cell>
          <cell r="E558" t="str">
            <v>Зафаробод</v>
          </cell>
          <cell r="F558">
            <v>34200</v>
          </cell>
          <cell r="I558">
            <v>19</v>
          </cell>
        </row>
        <row r="559">
          <cell r="A559">
            <v>242</v>
          </cell>
          <cell r="B559" t="str">
            <v>Навруз</v>
          </cell>
          <cell r="C559" t="str">
            <v>ф/х</v>
          </cell>
          <cell r="D559" t="str">
            <v>Охунбобоев</v>
          </cell>
          <cell r="E559" t="str">
            <v>Зафаробод</v>
          </cell>
          <cell r="F559">
            <v>46000</v>
          </cell>
          <cell r="H559">
            <v>10</v>
          </cell>
        </row>
        <row r="560">
          <cell r="A560">
            <v>243</v>
          </cell>
          <cell r="B560" t="str">
            <v>Найман</v>
          </cell>
          <cell r="C560" t="str">
            <v>ф/х</v>
          </cell>
          <cell r="D560" t="str">
            <v>Охунбобоев</v>
          </cell>
          <cell r="E560" t="str">
            <v>Зафаробод</v>
          </cell>
          <cell r="F560">
            <v>20500</v>
          </cell>
          <cell r="H560">
            <v>10</v>
          </cell>
        </row>
        <row r="561">
          <cell r="A561">
            <v>244</v>
          </cell>
          <cell r="B561" t="str">
            <v>Нарзи ота</v>
          </cell>
          <cell r="C561" t="str">
            <v>ф/х</v>
          </cell>
          <cell r="D561" t="str">
            <v>Охунбобоев</v>
          </cell>
          <cell r="E561" t="str">
            <v>Зафаробод</v>
          </cell>
          <cell r="F561">
            <v>13600</v>
          </cell>
          <cell r="H561">
            <v>6</v>
          </cell>
        </row>
        <row r="562">
          <cell r="A562">
            <v>245</v>
          </cell>
          <cell r="B562" t="str">
            <v>Ниёзали</v>
          </cell>
          <cell r="C562" t="str">
            <v>ф/х</v>
          </cell>
          <cell r="D562" t="str">
            <v>Охунбобоев</v>
          </cell>
          <cell r="E562" t="str">
            <v>Зафаробод</v>
          </cell>
          <cell r="F562">
            <v>17600</v>
          </cell>
          <cell r="I562">
            <v>15</v>
          </cell>
        </row>
        <row r="563">
          <cell r="A563">
            <v>246</v>
          </cell>
          <cell r="B563" t="str">
            <v>Норкул бобо-У</v>
          </cell>
          <cell r="C563" t="str">
            <v>ф/х</v>
          </cell>
          <cell r="D563" t="str">
            <v>Охунбобоев</v>
          </cell>
          <cell r="E563" t="str">
            <v>Зафаробод</v>
          </cell>
          <cell r="F563">
            <v>16800</v>
          </cell>
          <cell r="H563">
            <v>10</v>
          </cell>
        </row>
        <row r="564">
          <cell r="A564">
            <v>248</v>
          </cell>
          <cell r="B564" t="str">
            <v>Нужум</v>
          </cell>
          <cell r="C564" t="str">
            <v>ф/х</v>
          </cell>
          <cell r="D564" t="str">
            <v>Охунбобоев</v>
          </cell>
          <cell r="E564" t="str">
            <v>Зафаробод</v>
          </cell>
          <cell r="F564">
            <v>14600</v>
          </cell>
          <cell r="H564">
            <v>8</v>
          </cell>
        </row>
        <row r="565">
          <cell r="A565">
            <v>249</v>
          </cell>
          <cell r="B565" t="str">
            <v>Нуруллабек</v>
          </cell>
          <cell r="C565" t="str">
            <v>ф/х</v>
          </cell>
          <cell r="D565" t="str">
            <v>Охунбобоев</v>
          </cell>
          <cell r="E565" t="str">
            <v>Зафаробод</v>
          </cell>
          <cell r="F565">
            <v>67000</v>
          </cell>
          <cell r="I565">
            <v>10</v>
          </cell>
        </row>
        <row r="566">
          <cell r="A566">
            <v>250</v>
          </cell>
          <cell r="B566" t="str">
            <v>Обод бобо</v>
          </cell>
          <cell r="C566" t="str">
            <v>ф/х</v>
          </cell>
          <cell r="D566" t="str">
            <v>Охунбобоев</v>
          </cell>
          <cell r="E566" t="str">
            <v>Зафаробод</v>
          </cell>
          <cell r="F566">
            <v>19200</v>
          </cell>
          <cell r="I566">
            <v>10</v>
          </cell>
        </row>
        <row r="567">
          <cell r="A567">
            <v>251</v>
          </cell>
          <cell r="B567" t="str">
            <v>Одилахон</v>
          </cell>
          <cell r="C567" t="str">
            <v>ф/х</v>
          </cell>
          <cell r="D567" t="str">
            <v>Охунбобоев</v>
          </cell>
          <cell r="E567" t="str">
            <v>Зафаробод</v>
          </cell>
          <cell r="F567">
            <v>36100</v>
          </cell>
          <cell r="H567">
            <v>10</v>
          </cell>
        </row>
        <row r="568">
          <cell r="A568">
            <v>252</v>
          </cell>
          <cell r="B568" t="str">
            <v>Ойкумуш она</v>
          </cell>
          <cell r="C568" t="str">
            <v>ф/х</v>
          </cell>
          <cell r="D568" t="str">
            <v>Охунбобоев</v>
          </cell>
          <cell r="E568" t="str">
            <v>Зафаробод</v>
          </cell>
          <cell r="F568">
            <v>31900</v>
          </cell>
          <cell r="H568">
            <v>14</v>
          </cell>
        </row>
        <row r="569">
          <cell r="A569">
            <v>253</v>
          </cell>
          <cell r="B569" t="str">
            <v>Ок олтин</v>
          </cell>
          <cell r="C569" t="str">
            <v>ф/х</v>
          </cell>
          <cell r="D569" t="str">
            <v>Охунбобоев</v>
          </cell>
          <cell r="E569" t="str">
            <v>Зафаробод</v>
          </cell>
          <cell r="F569">
            <v>37000</v>
          </cell>
          <cell r="H569">
            <v>12</v>
          </cell>
        </row>
        <row r="570">
          <cell r="A570">
            <v>254</v>
          </cell>
          <cell r="B570" t="str">
            <v>Олимжон</v>
          </cell>
          <cell r="C570" t="str">
            <v>ф/х</v>
          </cell>
          <cell r="D570" t="str">
            <v>Охунбобоев</v>
          </cell>
          <cell r="E570" t="str">
            <v>Зафаробод</v>
          </cell>
          <cell r="F570">
            <v>14000</v>
          </cell>
          <cell r="H570">
            <v>10</v>
          </cell>
        </row>
        <row r="571">
          <cell r="A571">
            <v>256</v>
          </cell>
          <cell r="B571" t="str">
            <v>Олмасувон</v>
          </cell>
          <cell r="C571" t="str">
            <v>ф/х</v>
          </cell>
          <cell r="D571" t="str">
            <v>Охунбобоев</v>
          </cell>
          <cell r="E571" t="str">
            <v>Зафаробод</v>
          </cell>
          <cell r="F571">
            <v>25800</v>
          </cell>
          <cell r="I571">
            <v>17</v>
          </cell>
        </row>
        <row r="572">
          <cell r="A572">
            <v>257</v>
          </cell>
          <cell r="B572" t="str">
            <v>Олтибек</v>
          </cell>
          <cell r="C572" t="str">
            <v>ф/х</v>
          </cell>
          <cell r="D572" t="str">
            <v>Охунбобоев</v>
          </cell>
          <cell r="E572" t="str">
            <v>Зафаробод</v>
          </cell>
          <cell r="F572">
            <v>31600</v>
          </cell>
          <cell r="I572">
            <v>17</v>
          </cell>
        </row>
        <row r="573">
          <cell r="A573">
            <v>258</v>
          </cell>
          <cell r="B573" t="str">
            <v>Орзикул</v>
          </cell>
          <cell r="C573" t="str">
            <v>ф/х</v>
          </cell>
          <cell r="D573" t="str">
            <v>Охунбобоев</v>
          </cell>
          <cell r="E573" t="str">
            <v>Зафаробод</v>
          </cell>
          <cell r="F573">
            <v>42500</v>
          </cell>
          <cell r="I573">
            <v>16</v>
          </cell>
        </row>
        <row r="574">
          <cell r="A574">
            <v>259</v>
          </cell>
          <cell r="B574" t="str">
            <v>Орион</v>
          </cell>
          <cell r="C574" t="str">
            <v>ф/х</v>
          </cell>
          <cell r="D574" t="str">
            <v>Охунбобоев</v>
          </cell>
          <cell r="E574" t="str">
            <v>Зафаробод</v>
          </cell>
          <cell r="F574">
            <v>23500</v>
          </cell>
          <cell r="H574">
            <v>12</v>
          </cell>
        </row>
        <row r="575">
          <cell r="A575">
            <v>260</v>
          </cell>
          <cell r="B575" t="str">
            <v>Ортикбой</v>
          </cell>
          <cell r="C575" t="str">
            <v>ф/х</v>
          </cell>
          <cell r="D575" t="str">
            <v>Охунбобоев</v>
          </cell>
          <cell r="E575" t="str">
            <v>Зафаробод</v>
          </cell>
          <cell r="F575">
            <v>19300</v>
          </cell>
          <cell r="H575">
            <v>10</v>
          </cell>
        </row>
        <row r="576">
          <cell r="A576">
            <v>261</v>
          </cell>
          <cell r="B576" t="str">
            <v>Отабек</v>
          </cell>
          <cell r="C576" t="str">
            <v>ф/х</v>
          </cell>
          <cell r="D576" t="str">
            <v>Охунбобоев</v>
          </cell>
          <cell r="E576" t="str">
            <v>Зафаробод</v>
          </cell>
          <cell r="F576">
            <v>54700</v>
          </cell>
          <cell r="H576">
            <v>10</v>
          </cell>
        </row>
        <row r="577">
          <cell r="A577">
            <v>262</v>
          </cell>
          <cell r="B577" t="str">
            <v>Отамурод ота</v>
          </cell>
          <cell r="C577" t="str">
            <v>ф/х</v>
          </cell>
          <cell r="D577" t="str">
            <v>Охунбобоев</v>
          </cell>
          <cell r="E577" t="str">
            <v>Зафаробод</v>
          </cell>
          <cell r="F577">
            <v>48000</v>
          </cell>
          <cell r="H577">
            <v>8</v>
          </cell>
        </row>
        <row r="578">
          <cell r="A578">
            <v>263</v>
          </cell>
          <cell r="B578" t="str">
            <v>Охонгир бобо</v>
          </cell>
          <cell r="C578" t="str">
            <v>ф/х</v>
          </cell>
          <cell r="D578" t="str">
            <v>Охунбобоев</v>
          </cell>
          <cell r="E578" t="str">
            <v>Зафаробод</v>
          </cell>
          <cell r="F578">
            <v>33000</v>
          </cell>
          <cell r="I578">
            <v>16</v>
          </cell>
        </row>
        <row r="579">
          <cell r="A579">
            <v>264</v>
          </cell>
          <cell r="B579" t="str">
            <v>Оятилла</v>
          </cell>
          <cell r="C579" t="str">
            <v>ф/х</v>
          </cell>
          <cell r="D579" t="str">
            <v>Охунбобоев</v>
          </cell>
          <cell r="E579" t="str">
            <v>Зафаробод</v>
          </cell>
          <cell r="F579">
            <v>40000</v>
          </cell>
          <cell r="H579">
            <v>10</v>
          </cell>
        </row>
        <row r="580">
          <cell r="A580">
            <v>265</v>
          </cell>
          <cell r="B580" t="str">
            <v>Панжагушт</v>
          </cell>
          <cell r="C580" t="str">
            <v>ф/х</v>
          </cell>
          <cell r="D580" t="str">
            <v>Охунбобоев</v>
          </cell>
          <cell r="E580" t="str">
            <v>Зафаробод</v>
          </cell>
          <cell r="F580">
            <v>27900</v>
          </cell>
          <cell r="I580">
            <v>10</v>
          </cell>
        </row>
        <row r="581">
          <cell r="A581">
            <v>266</v>
          </cell>
          <cell r="B581" t="str">
            <v>Парандоз</v>
          </cell>
          <cell r="C581" t="str">
            <v>ф/х</v>
          </cell>
          <cell r="D581" t="str">
            <v>Охунбобоев</v>
          </cell>
          <cell r="E581" t="str">
            <v>Зафаробод</v>
          </cell>
          <cell r="F581">
            <v>7700</v>
          </cell>
          <cell r="H581">
            <v>9</v>
          </cell>
        </row>
        <row r="582">
          <cell r="A582">
            <v>267</v>
          </cell>
          <cell r="B582" t="str">
            <v>Пур-нур</v>
          </cell>
          <cell r="C582" t="str">
            <v>ф/х</v>
          </cell>
          <cell r="D582" t="str">
            <v>Охунбобоев</v>
          </cell>
          <cell r="E582" t="str">
            <v>Зафаробод</v>
          </cell>
          <cell r="F582">
            <v>30700</v>
          </cell>
          <cell r="H582">
            <v>10</v>
          </cell>
        </row>
        <row r="583">
          <cell r="A583">
            <v>268</v>
          </cell>
          <cell r="B583" t="str">
            <v>Р.Тогаев</v>
          </cell>
          <cell r="C583" t="str">
            <v>ф/х</v>
          </cell>
          <cell r="D583" t="str">
            <v>Охунбобоев</v>
          </cell>
          <cell r="E583" t="str">
            <v>Зафаробод</v>
          </cell>
          <cell r="F583">
            <v>90000</v>
          </cell>
          <cell r="I583">
            <v>18</v>
          </cell>
        </row>
        <row r="584">
          <cell r="A584">
            <v>269</v>
          </cell>
          <cell r="B584" t="str">
            <v>Раббим бобо</v>
          </cell>
          <cell r="C584" t="str">
            <v>ф/х</v>
          </cell>
          <cell r="D584" t="str">
            <v>Охунбобоев</v>
          </cell>
          <cell r="E584" t="str">
            <v>Зафаробод</v>
          </cell>
          <cell r="F584">
            <v>49900</v>
          </cell>
          <cell r="H584">
            <v>10</v>
          </cell>
        </row>
        <row r="585">
          <cell r="A585">
            <v>270</v>
          </cell>
          <cell r="B585" t="str">
            <v>Равшан ота</v>
          </cell>
          <cell r="C585" t="str">
            <v>ф/х</v>
          </cell>
          <cell r="D585" t="str">
            <v>Охунбобоев</v>
          </cell>
          <cell r="E585" t="str">
            <v>Зафаробод</v>
          </cell>
          <cell r="F585">
            <v>18700</v>
          </cell>
          <cell r="I585">
            <v>10</v>
          </cell>
        </row>
        <row r="586">
          <cell r="A586">
            <v>271</v>
          </cell>
          <cell r="B586" t="str">
            <v>Ражаб бобо</v>
          </cell>
          <cell r="C586" t="str">
            <v>ф/х</v>
          </cell>
          <cell r="D586" t="str">
            <v>Охунбобоев</v>
          </cell>
          <cell r="E586" t="str">
            <v>Зафаробод</v>
          </cell>
          <cell r="F586">
            <v>36000</v>
          </cell>
          <cell r="H586">
            <v>14</v>
          </cell>
        </row>
        <row r="587">
          <cell r="A587">
            <v>272</v>
          </cell>
          <cell r="B587" t="str">
            <v>Ракш</v>
          </cell>
          <cell r="C587" t="str">
            <v>ф/х</v>
          </cell>
          <cell r="D587" t="str">
            <v>Охунбобоев</v>
          </cell>
          <cell r="E587" t="str">
            <v>Зафаробод</v>
          </cell>
          <cell r="F587">
            <v>25900</v>
          </cell>
          <cell r="H587">
            <v>10</v>
          </cell>
        </row>
        <row r="588">
          <cell r="A588">
            <v>273</v>
          </cell>
          <cell r="B588" t="str">
            <v>Расад</v>
          </cell>
          <cell r="C588" t="str">
            <v>ф/х</v>
          </cell>
          <cell r="D588" t="str">
            <v>Охунбобоев</v>
          </cell>
          <cell r="E588" t="str">
            <v>Зафаробод</v>
          </cell>
          <cell r="F588">
            <v>25800</v>
          </cell>
          <cell r="H588">
            <v>10</v>
          </cell>
        </row>
        <row r="589">
          <cell r="A589">
            <v>274</v>
          </cell>
          <cell r="B589" t="str">
            <v>Робия-Каромат</v>
          </cell>
          <cell r="C589" t="str">
            <v>ф/х</v>
          </cell>
          <cell r="D589" t="str">
            <v>Охунбобоев</v>
          </cell>
          <cell r="E589" t="str">
            <v>Зафаробод</v>
          </cell>
          <cell r="F589">
            <v>41800</v>
          </cell>
          <cell r="H589">
            <v>10</v>
          </cell>
        </row>
        <row r="590">
          <cell r="A590">
            <v>275</v>
          </cell>
          <cell r="B590" t="str">
            <v>Рустам-шалола</v>
          </cell>
          <cell r="C590" t="str">
            <v>ф/х</v>
          </cell>
          <cell r="D590" t="str">
            <v>Охунбобоев</v>
          </cell>
          <cell r="E590" t="str">
            <v>Зафаробод</v>
          </cell>
          <cell r="F590">
            <v>16800</v>
          </cell>
          <cell r="H590">
            <v>10</v>
          </cell>
        </row>
        <row r="591">
          <cell r="A591">
            <v>276</v>
          </cell>
          <cell r="B591" t="str">
            <v>Савронжон</v>
          </cell>
          <cell r="C591" t="str">
            <v>ф/х</v>
          </cell>
          <cell r="D591" t="str">
            <v>Охунбобоев</v>
          </cell>
          <cell r="E591" t="str">
            <v>Зафаробод</v>
          </cell>
          <cell r="F591">
            <v>24700</v>
          </cell>
          <cell r="I591">
            <v>9</v>
          </cell>
        </row>
        <row r="592">
          <cell r="A592">
            <v>277</v>
          </cell>
          <cell r="B592" t="str">
            <v>Садаф</v>
          </cell>
          <cell r="C592" t="str">
            <v>ф/х</v>
          </cell>
          <cell r="D592" t="str">
            <v>Охунбобоев</v>
          </cell>
          <cell r="E592" t="str">
            <v>Зафаробод</v>
          </cell>
          <cell r="F592">
            <v>65400</v>
          </cell>
          <cell r="I592">
            <v>10</v>
          </cell>
        </row>
        <row r="593">
          <cell r="A593">
            <v>278</v>
          </cell>
          <cell r="B593" t="str">
            <v>Саидмурот ота</v>
          </cell>
          <cell r="C593" t="str">
            <v>ф/х</v>
          </cell>
          <cell r="D593" t="str">
            <v>Охунбобоев</v>
          </cell>
          <cell r="E593" t="str">
            <v>Зафаробод</v>
          </cell>
          <cell r="F593">
            <v>40700</v>
          </cell>
          <cell r="I593">
            <v>19</v>
          </cell>
        </row>
        <row r="594">
          <cell r="A594">
            <v>279</v>
          </cell>
          <cell r="B594" t="str">
            <v>Сайдулло</v>
          </cell>
          <cell r="C594" t="str">
            <v>ф/х</v>
          </cell>
          <cell r="D594" t="str">
            <v>Охунбобоев</v>
          </cell>
          <cell r="E594" t="str">
            <v>Зафаробод</v>
          </cell>
          <cell r="F594">
            <v>26200</v>
          </cell>
          <cell r="I594">
            <v>17</v>
          </cell>
        </row>
        <row r="595">
          <cell r="A595">
            <v>280</v>
          </cell>
          <cell r="B595" t="str">
            <v>Сайёдон</v>
          </cell>
          <cell r="C595" t="str">
            <v>ф/х</v>
          </cell>
          <cell r="D595" t="str">
            <v>Охунбобоев</v>
          </cell>
          <cell r="E595" t="str">
            <v>Зафаробод</v>
          </cell>
          <cell r="F595">
            <v>11200</v>
          </cell>
          <cell r="I595">
            <v>17</v>
          </cell>
        </row>
        <row r="596">
          <cell r="A596">
            <v>281</v>
          </cell>
          <cell r="B596" t="str">
            <v>Салимбой</v>
          </cell>
          <cell r="C596" t="str">
            <v>ф/х</v>
          </cell>
          <cell r="D596" t="str">
            <v>Охунбобоев</v>
          </cell>
          <cell r="E596" t="str">
            <v>Зафаробод</v>
          </cell>
          <cell r="F596">
            <v>22000</v>
          </cell>
          <cell r="I596">
            <v>19</v>
          </cell>
        </row>
        <row r="597">
          <cell r="A597">
            <v>282</v>
          </cell>
          <cell r="B597" t="str">
            <v>Саловат-Юшева</v>
          </cell>
          <cell r="C597" t="str">
            <v>ф/х</v>
          </cell>
          <cell r="D597" t="str">
            <v>Охунбобоев</v>
          </cell>
          <cell r="E597" t="str">
            <v>Зафаробод</v>
          </cell>
          <cell r="F597">
            <v>29500</v>
          </cell>
          <cell r="H597">
            <v>10</v>
          </cell>
        </row>
        <row r="598">
          <cell r="A598">
            <v>283</v>
          </cell>
          <cell r="B598" t="str">
            <v>Само</v>
          </cell>
          <cell r="C598" t="str">
            <v>ф/х</v>
          </cell>
          <cell r="D598" t="str">
            <v>Охунбобоев</v>
          </cell>
          <cell r="E598" t="str">
            <v>Зафаробод</v>
          </cell>
          <cell r="F598">
            <v>52300</v>
          </cell>
          <cell r="I598">
            <v>18</v>
          </cell>
        </row>
        <row r="599">
          <cell r="A599">
            <v>284</v>
          </cell>
          <cell r="B599" t="str">
            <v>Санжарбек</v>
          </cell>
          <cell r="C599" t="str">
            <v>ф/х</v>
          </cell>
          <cell r="D599" t="str">
            <v>Охунбобоев</v>
          </cell>
          <cell r="E599" t="str">
            <v>Зафаробод</v>
          </cell>
          <cell r="F599">
            <v>43500</v>
          </cell>
          <cell r="H599">
            <v>12</v>
          </cell>
        </row>
        <row r="600">
          <cell r="A600">
            <v>285</v>
          </cell>
          <cell r="B600" t="str">
            <v>Сарим ота</v>
          </cell>
          <cell r="C600" t="str">
            <v>ф/х</v>
          </cell>
          <cell r="D600" t="str">
            <v>Охунбобоев</v>
          </cell>
          <cell r="E600" t="str">
            <v>Зафаробод</v>
          </cell>
          <cell r="F600">
            <v>17900</v>
          </cell>
          <cell r="I600">
            <v>16</v>
          </cell>
        </row>
        <row r="601">
          <cell r="A601">
            <v>286</v>
          </cell>
          <cell r="B601" t="str">
            <v>Сахоб</v>
          </cell>
          <cell r="C601" t="str">
            <v>ф/х</v>
          </cell>
          <cell r="D601" t="str">
            <v>Охунбобоев</v>
          </cell>
          <cell r="E601" t="str">
            <v>Зафаробод</v>
          </cell>
          <cell r="F601">
            <v>60000</v>
          </cell>
          <cell r="I601">
            <v>18</v>
          </cell>
        </row>
        <row r="602">
          <cell r="A602">
            <v>287</v>
          </cell>
          <cell r="B602" t="str">
            <v>Саховат</v>
          </cell>
          <cell r="C602" t="str">
            <v>ф/х</v>
          </cell>
          <cell r="D602" t="str">
            <v>Охунбобоев</v>
          </cell>
          <cell r="E602" t="str">
            <v>Зафаробод</v>
          </cell>
          <cell r="F602">
            <v>17600</v>
          </cell>
          <cell r="I602">
            <v>17</v>
          </cell>
        </row>
        <row r="603">
          <cell r="A603">
            <v>288</v>
          </cell>
          <cell r="B603" t="str">
            <v>Сиёвуш</v>
          </cell>
          <cell r="C603" t="str">
            <v>ф/х</v>
          </cell>
          <cell r="D603" t="str">
            <v>Охунбобоев</v>
          </cell>
          <cell r="E603" t="str">
            <v>Зафаробод</v>
          </cell>
          <cell r="F603">
            <v>14000</v>
          </cell>
          <cell r="H603">
            <v>10</v>
          </cell>
        </row>
        <row r="604">
          <cell r="A604">
            <v>289</v>
          </cell>
          <cell r="B604" t="str">
            <v>Синдорзода</v>
          </cell>
          <cell r="C604" t="str">
            <v>ф/х</v>
          </cell>
          <cell r="D604" t="str">
            <v>Охунбобоев</v>
          </cell>
          <cell r="E604" t="str">
            <v>Зафаробод</v>
          </cell>
          <cell r="F604">
            <v>24700</v>
          </cell>
          <cell r="H604">
            <v>10</v>
          </cell>
        </row>
        <row r="605">
          <cell r="A605">
            <v>290</v>
          </cell>
          <cell r="B605" t="str">
            <v>Сирли камар</v>
          </cell>
          <cell r="C605" t="str">
            <v>ф/х</v>
          </cell>
          <cell r="D605" t="str">
            <v>Охунбобоев</v>
          </cell>
          <cell r="E605" t="str">
            <v>Зафаробод</v>
          </cell>
          <cell r="F605">
            <v>23600</v>
          </cell>
          <cell r="I605">
            <v>16</v>
          </cell>
        </row>
        <row r="606">
          <cell r="A606">
            <v>291</v>
          </cell>
          <cell r="B606" t="str">
            <v>Ситора</v>
          </cell>
          <cell r="C606" t="str">
            <v>ф/х</v>
          </cell>
          <cell r="D606" t="str">
            <v>Охунбобоев</v>
          </cell>
          <cell r="E606" t="str">
            <v>Зафаробод</v>
          </cell>
          <cell r="F606">
            <v>18000</v>
          </cell>
          <cell r="H606">
            <v>9</v>
          </cell>
        </row>
        <row r="607">
          <cell r="A607">
            <v>292</v>
          </cell>
          <cell r="B607" t="str">
            <v>Сормон</v>
          </cell>
          <cell r="C607" t="str">
            <v>ф/х</v>
          </cell>
          <cell r="D607" t="str">
            <v>Охунбобоев</v>
          </cell>
          <cell r="E607" t="str">
            <v>Зафаробод</v>
          </cell>
          <cell r="F607">
            <v>68400</v>
          </cell>
          <cell r="H607">
            <v>9</v>
          </cell>
        </row>
        <row r="608">
          <cell r="A608">
            <v>293</v>
          </cell>
          <cell r="B608" t="str">
            <v>Сувон ота</v>
          </cell>
          <cell r="C608" t="str">
            <v>ф/х</v>
          </cell>
          <cell r="D608" t="str">
            <v>Охунбобоев</v>
          </cell>
          <cell r="E608" t="str">
            <v>Зафаробод</v>
          </cell>
          <cell r="F608">
            <v>38200</v>
          </cell>
          <cell r="H608">
            <v>8</v>
          </cell>
        </row>
        <row r="609">
          <cell r="A609">
            <v>294</v>
          </cell>
          <cell r="B609" t="str">
            <v>Султон-Бегмат</v>
          </cell>
          <cell r="C609" t="str">
            <v>ф/х</v>
          </cell>
          <cell r="D609" t="str">
            <v>Охунбобоев</v>
          </cell>
          <cell r="E609" t="str">
            <v>Зафаробод</v>
          </cell>
          <cell r="F609">
            <v>14700</v>
          </cell>
          <cell r="I609">
            <v>16</v>
          </cell>
        </row>
        <row r="610">
          <cell r="A610">
            <v>295</v>
          </cell>
          <cell r="B610" t="str">
            <v>Таковор</v>
          </cell>
          <cell r="C610" t="str">
            <v>ф/х</v>
          </cell>
          <cell r="D610" t="str">
            <v>Охунбобоев</v>
          </cell>
          <cell r="E610" t="str">
            <v>Зафаробод</v>
          </cell>
          <cell r="F610">
            <v>14000</v>
          </cell>
          <cell r="H610">
            <v>8</v>
          </cell>
        </row>
        <row r="611">
          <cell r="A611">
            <v>296</v>
          </cell>
          <cell r="B611" t="str">
            <v>Таман</v>
          </cell>
          <cell r="C611" t="str">
            <v>ф/х</v>
          </cell>
          <cell r="D611" t="str">
            <v>Охунбобоев</v>
          </cell>
          <cell r="E611" t="str">
            <v>Зафаробод</v>
          </cell>
          <cell r="F611">
            <v>28200</v>
          </cell>
          <cell r="H611">
            <v>9</v>
          </cell>
        </row>
        <row r="612">
          <cell r="A612">
            <v>297</v>
          </cell>
          <cell r="B612" t="str">
            <v>Тараккиёт</v>
          </cell>
          <cell r="C612" t="str">
            <v>ф/х</v>
          </cell>
          <cell r="D612" t="str">
            <v>Охунбобоев</v>
          </cell>
          <cell r="E612" t="str">
            <v>Зафаробод</v>
          </cell>
          <cell r="F612">
            <v>15100</v>
          </cell>
          <cell r="H612">
            <v>10</v>
          </cell>
        </row>
        <row r="613">
          <cell r="A613">
            <v>298</v>
          </cell>
          <cell r="B613" t="str">
            <v>Тилла бобо</v>
          </cell>
          <cell r="C613" t="str">
            <v>ф/х</v>
          </cell>
          <cell r="D613" t="str">
            <v>Охунбобоев</v>
          </cell>
          <cell r="E613" t="str">
            <v>Зафаробод</v>
          </cell>
          <cell r="F613">
            <v>50000</v>
          </cell>
          <cell r="H613">
            <v>8</v>
          </cell>
        </row>
        <row r="614">
          <cell r="A614">
            <v>299</v>
          </cell>
          <cell r="B614" t="str">
            <v>Тинчлик</v>
          </cell>
          <cell r="C614" t="str">
            <v>ф/х</v>
          </cell>
          <cell r="D614" t="str">
            <v>Охунбобоев</v>
          </cell>
          <cell r="E614" t="str">
            <v>Зафаробод</v>
          </cell>
          <cell r="F614">
            <v>82000</v>
          </cell>
          <cell r="H614">
            <v>10</v>
          </cell>
        </row>
        <row r="615">
          <cell r="A615">
            <v>300</v>
          </cell>
          <cell r="B615" t="str">
            <v>Туркистон</v>
          </cell>
          <cell r="C615" t="str">
            <v>ф/х</v>
          </cell>
          <cell r="D615" t="str">
            <v>Охунбобоев</v>
          </cell>
          <cell r="E615" t="str">
            <v>Зафаробод</v>
          </cell>
          <cell r="F615">
            <v>21000</v>
          </cell>
          <cell r="H615">
            <v>10</v>
          </cell>
        </row>
        <row r="616">
          <cell r="A616">
            <v>301</v>
          </cell>
          <cell r="B616" t="str">
            <v>Узбекистон-1</v>
          </cell>
          <cell r="C616" t="str">
            <v>ф/х</v>
          </cell>
          <cell r="D616" t="str">
            <v>Охунбобоев</v>
          </cell>
          <cell r="E616" t="str">
            <v>Зафаробод</v>
          </cell>
          <cell r="F616">
            <v>34700</v>
          </cell>
          <cell r="H616">
            <v>10</v>
          </cell>
        </row>
        <row r="617">
          <cell r="A617">
            <v>302</v>
          </cell>
          <cell r="B617" t="str">
            <v>Узокбой ота</v>
          </cell>
          <cell r="C617" t="str">
            <v>ф/х</v>
          </cell>
          <cell r="D617" t="str">
            <v>Охунбобоев</v>
          </cell>
          <cell r="E617" t="str">
            <v>Зафаробод</v>
          </cell>
          <cell r="F617">
            <v>52500</v>
          </cell>
          <cell r="I617">
            <v>16</v>
          </cell>
        </row>
        <row r="618">
          <cell r="A618">
            <v>303</v>
          </cell>
          <cell r="B618" t="str">
            <v>Уктам-Наби</v>
          </cell>
          <cell r="C618" t="str">
            <v>ф/х</v>
          </cell>
          <cell r="D618" t="str">
            <v>Охунбобоев</v>
          </cell>
          <cell r="E618" t="str">
            <v>Зафаробод</v>
          </cell>
          <cell r="F618">
            <v>19400</v>
          </cell>
          <cell r="I618">
            <v>17</v>
          </cell>
        </row>
        <row r="619">
          <cell r="A619">
            <v>304</v>
          </cell>
          <cell r="B619" t="str">
            <v>Улугбек-СД</v>
          </cell>
          <cell r="C619" t="str">
            <v>ф/х</v>
          </cell>
          <cell r="D619" t="str">
            <v>Охунбобоев</v>
          </cell>
          <cell r="E619" t="str">
            <v>Зафаробод</v>
          </cell>
          <cell r="F619">
            <v>33000</v>
          </cell>
          <cell r="I619">
            <v>17</v>
          </cell>
        </row>
        <row r="620">
          <cell r="A620">
            <v>305</v>
          </cell>
          <cell r="B620" t="str">
            <v>Умид</v>
          </cell>
          <cell r="C620" t="str">
            <v>ф/х</v>
          </cell>
          <cell r="D620" t="str">
            <v>Охунбобоев</v>
          </cell>
          <cell r="E620" t="str">
            <v>Зафаробод</v>
          </cell>
          <cell r="F620">
            <v>24700</v>
          </cell>
          <cell r="I620">
            <v>16</v>
          </cell>
        </row>
        <row r="621">
          <cell r="A621">
            <v>306</v>
          </cell>
          <cell r="B621" t="str">
            <v>Уммат ота</v>
          </cell>
          <cell r="C621" t="str">
            <v>ф/х</v>
          </cell>
          <cell r="D621" t="str">
            <v>Охунбобоев</v>
          </cell>
          <cell r="E621" t="str">
            <v>Зафаробод</v>
          </cell>
          <cell r="F621">
            <v>25500</v>
          </cell>
          <cell r="I621">
            <v>19</v>
          </cell>
        </row>
        <row r="622">
          <cell r="A622">
            <v>307</v>
          </cell>
          <cell r="B622" t="str">
            <v>Умурзоккул</v>
          </cell>
          <cell r="C622" t="str">
            <v>ф/х</v>
          </cell>
          <cell r="D622" t="str">
            <v>Охунбобоев</v>
          </cell>
          <cell r="E622" t="str">
            <v>Зафаробод</v>
          </cell>
          <cell r="F622">
            <v>27400</v>
          </cell>
          <cell r="I622">
            <v>19</v>
          </cell>
        </row>
        <row r="623">
          <cell r="A623">
            <v>308</v>
          </cell>
          <cell r="B623" t="str">
            <v>Урда тош</v>
          </cell>
          <cell r="C623" t="str">
            <v>ф/х</v>
          </cell>
          <cell r="D623" t="str">
            <v>Охунбобоев</v>
          </cell>
          <cell r="E623" t="str">
            <v>Зафаробод</v>
          </cell>
          <cell r="F623">
            <v>11300</v>
          </cell>
          <cell r="I623">
            <v>17</v>
          </cell>
        </row>
        <row r="624">
          <cell r="A624">
            <v>309</v>
          </cell>
          <cell r="B624" t="str">
            <v>Усмат</v>
          </cell>
          <cell r="C624" t="str">
            <v>ф/х</v>
          </cell>
          <cell r="D624" t="str">
            <v>Охунбобоев</v>
          </cell>
          <cell r="E624" t="str">
            <v>Зафаробод</v>
          </cell>
          <cell r="F624">
            <v>25700</v>
          </cell>
          <cell r="H624">
            <v>14</v>
          </cell>
        </row>
        <row r="625">
          <cell r="A625">
            <v>310</v>
          </cell>
          <cell r="B625" t="str">
            <v>Учма</v>
          </cell>
          <cell r="C625" t="str">
            <v>ф/х</v>
          </cell>
          <cell r="D625" t="str">
            <v>Охунбобоев</v>
          </cell>
          <cell r="E625" t="str">
            <v>Зафаробод</v>
          </cell>
          <cell r="F625">
            <v>38700</v>
          </cell>
          <cell r="H625">
            <v>14</v>
          </cell>
        </row>
        <row r="626">
          <cell r="A626">
            <v>311</v>
          </cell>
          <cell r="B626" t="str">
            <v>Фазлиддин</v>
          </cell>
          <cell r="C626" t="str">
            <v>ф/х</v>
          </cell>
          <cell r="D626" t="str">
            <v>Охунбобоев</v>
          </cell>
          <cell r="E626" t="str">
            <v>Зафаробод</v>
          </cell>
          <cell r="F626">
            <v>20800</v>
          </cell>
          <cell r="I626">
            <v>19</v>
          </cell>
        </row>
        <row r="627">
          <cell r="A627">
            <v>312</v>
          </cell>
          <cell r="B627" t="str">
            <v>Файз КТХФ</v>
          </cell>
          <cell r="C627" t="str">
            <v>ф/х</v>
          </cell>
          <cell r="D627" t="str">
            <v>Охунбобоев</v>
          </cell>
          <cell r="E627" t="str">
            <v>Зафаробод</v>
          </cell>
          <cell r="F627">
            <v>44700</v>
          </cell>
          <cell r="H627">
            <v>10</v>
          </cell>
        </row>
        <row r="628">
          <cell r="A628">
            <v>313</v>
          </cell>
          <cell r="B628" t="str">
            <v>Факт</v>
          </cell>
          <cell r="C628" t="str">
            <v>ф/х</v>
          </cell>
          <cell r="D628" t="str">
            <v>Охунбобоев</v>
          </cell>
          <cell r="E628" t="str">
            <v>Зафаробод</v>
          </cell>
          <cell r="F628">
            <v>32400</v>
          </cell>
          <cell r="I628">
            <v>18</v>
          </cell>
        </row>
        <row r="629">
          <cell r="A629">
            <v>314</v>
          </cell>
          <cell r="B629" t="str">
            <v>Феруз-Биби</v>
          </cell>
          <cell r="C629" t="str">
            <v>ф/х</v>
          </cell>
          <cell r="D629" t="str">
            <v>Охунбобоев</v>
          </cell>
          <cell r="E629" t="str">
            <v>Зафаробод</v>
          </cell>
          <cell r="F629">
            <v>51900</v>
          </cell>
          <cell r="I629">
            <v>10</v>
          </cell>
        </row>
        <row r="630">
          <cell r="A630">
            <v>315</v>
          </cell>
          <cell r="B630" t="str">
            <v>Фориш йуллари</v>
          </cell>
          <cell r="C630" t="str">
            <v>ф/х</v>
          </cell>
          <cell r="D630" t="str">
            <v>Охунбобоев</v>
          </cell>
          <cell r="E630" t="str">
            <v>Зафаробод</v>
          </cell>
          <cell r="F630">
            <v>49900</v>
          </cell>
          <cell r="I630">
            <v>17</v>
          </cell>
        </row>
        <row r="631">
          <cell r="A631">
            <v>316</v>
          </cell>
          <cell r="B631" t="str">
            <v>Фунун</v>
          </cell>
          <cell r="C631" t="str">
            <v>ф/х</v>
          </cell>
          <cell r="D631" t="str">
            <v>Охунбобоев</v>
          </cell>
          <cell r="E631" t="str">
            <v>Зафаробод</v>
          </cell>
          <cell r="F631">
            <v>41700</v>
          </cell>
          <cell r="H631">
            <v>10</v>
          </cell>
        </row>
        <row r="632">
          <cell r="A632">
            <v>317</v>
          </cell>
          <cell r="B632" t="str">
            <v>Хадича</v>
          </cell>
          <cell r="C632" t="str">
            <v>ф/х</v>
          </cell>
          <cell r="D632" t="str">
            <v>Охунбобоев</v>
          </cell>
          <cell r="E632" t="str">
            <v>Зафаробод</v>
          </cell>
          <cell r="F632">
            <v>40000</v>
          </cell>
          <cell r="I632">
            <v>18</v>
          </cell>
        </row>
        <row r="633">
          <cell r="A633">
            <v>318</v>
          </cell>
          <cell r="B633" t="str">
            <v>Хайдар ота</v>
          </cell>
          <cell r="C633" t="str">
            <v>ф/х</v>
          </cell>
          <cell r="D633" t="str">
            <v>Охунбобоев</v>
          </cell>
          <cell r="E633" t="str">
            <v>Зафаробод</v>
          </cell>
          <cell r="F633">
            <v>37800</v>
          </cell>
          <cell r="H633">
            <v>8</v>
          </cell>
        </row>
        <row r="634">
          <cell r="A634">
            <v>319</v>
          </cell>
          <cell r="B634" t="str">
            <v>Хамдустлик-12</v>
          </cell>
          <cell r="C634" t="str">
            <v>ф/х</v>
          </cell>
          <cell r="D634" t="str">
            <v>Охунбобоев</v>
          </cell>
          <cell r="E634" t="str">
            <v>Зафаробод</v>
          </cell>
          <cell r="F634">
            <v>54500</v>
          </cell>
          <cell r="I634">
            <v>18</v>
          </cell>
        </row>
        <row r="635">
          <cell r="A635">
            <v>320</v>
          </cell>
          <cell r="B635" t="str">
            <v>Хамдустлик-15</v>
          </cell>
          <cell r="C635" t="str">
            <v>ф/х</v>
          </cell>
          <cell r="D635" t="str">
            <v>Охунбобоев</v>
          </cell>
          <cell r="E635" t="str">
            <v>Зафаробод</v>
          </cell>
          <cell r="F635">
            <v>72000</v>
          </cell>
          <cell r="H635">
            <v>10</v>
          </cell>
        </row>
        <row r="636">
          <cell r="A636">
            <v>321</v>
          </cell>
          <cell r="B636" t="str">
            <v>Хамдустлик-2</v>
          </cell>
          <cell r="C636" t="str">
            <v>ф/х</v>
          </cell>
          <cell r="D636" t="str">
            <v>Охунбобоев</v>
          </cell>
          <cell r="E636" t="str">
            <v>Зафаробод</v>
          </cell>
          <cell r="F636">
            <v>25800</v>
          </cell>
          <cell r="H636">
            <v>10</v>
          </cell>
        </row>
        <row r="637">
          <cell r="A637">
            <v>322</v>
          </cell>
          <cell r="B637" t="str">
            <v>Хамдустлик-20</v>
          </cell>
          <cell r="C637" t="str">
            <v>ф/х</v>
          </cell>
          <cell r="D637" t="str">
            <v>Охунбобоев</v>
          </cell>
          <cell r="E637" t="str">
            <v>Зафаробод</v>
          </cell>
          <cell r="F637">
            <v>26400</v>
          </cell>
          <cell r="H637">
            <v>10</v>
          </cell>
        </row>
        <row r="638">
          <cell r="A638">
            <v>323</v>
          </cell>
          <cell r="B638" t="str">
            <v>Хамдустлик-22</v>
          </cell>
          <cell r="C638" t="str">
            <v>ф/х</v>
          </cell>
          <cell r="D638" t="str">
            <v>Охунбобоев</v>
          </cell>
          <cell r="E638" t="str">
            <v>Зафаробод</v>
          </cell>
          <cell r="F638">
            <v>27600</v>
          </cell>
          <cell r="H638">
            <v>10</v>
          </cell>
        </row>
        <row r="639">
          <cell r="A639">
            <v>324</v>
          </cell>
          <cell r="B639" t="str">
            <v>Хамдустлик-3</v>
          </cell>
          <cell r="C639" t="str">
            <v>ф/х</v>
          </cell>
          <cell r="D639" t="str">
            <v>Охунбобоев</v>
          </cell>
          <cell r="E639" t="str">
            <v>Зафаробод</v>
          </cell>
          <cell r="F639">
            <v>26900</v>
          </cell>
          <cell r="H639">
            <v>10</v>
          </cell>
        </row>
        <row r="640">
          <cell r="A640">
            <v>325</v>
          </cell>
          <cell r="B640" t="str">
            <v>Хамдустлик-4</v>
          </cell>
          <cell r="C640" t="str">
            <v>ф/х</v>
          </cell>
          <cell r="D640" t="str">
            <v>Охунбобоев</v>
          </cell>
          <cell r="E640" t="str">
            <v>Зафаробод</v>
          </cell>
          <cell r="F640">
            <v>41000</v>
          </cell>
          <cell r="H640">
            <v>10</v>
          </cell>
        </row>
        <row r="641">
          <cell r="A641">
            <v>326</v>
          </cell>
          <cell r="B641" t="str">
            <v>Ханжар бобо</v>
          </cell>
          <cell r="C641" t="str">
            <v>ф/х</v>
          </cell>
          <cell r="D641" t="str">
            <v>Охунбобоев</v>
          </cell>
          <cell r="E641" t="str">
            <v>Зафаробод</v>
          </cell>
          <cell r="F641">
            <v>35200</v>
          </cell>
          <cell r="H641">
            <v>10</v>
          </cell>
        </row>
        <row r="642">
          <cell r="A642">
            <v>327</v>
          </cell>
          <cell r="B642" t="str">
            <v>Хасан-1</v>
          </cell>
          <cell r="C642" t="str">
            <v>ф/х</v>
          </cell>
          <cell r="D642" t="str">
            <v>Охунбобоев</v>
          </cell>
          <cell r="E642" t="str">
            <v>Зафаробод</v>
          </cell>
          <cell r="F642">
            <v>57600</v>
          </cell>
          <cell r="H642">
            <v>10</v>
          </cell>
        </row>
        <row r="643">
          <cell r="A643">
            <v>328</v>
          </cell>
          <cell r="B643" t="str">
            <v>Хожи Раббим</v>
          </cell>
          <cell r="C643" t="str">
            <v>ф/х</v>
          </cell>
          <cell r="D643" t="str">
            <v>Охунбобоев</v>
          </cell>
          <cell r="E643" t="str">
            <v>Зафаробод</v>
          </cell>
          <cell r="F643">
            <v>34000</v>
          </cell>
          <cell r="H643">
            <v>10</v>
          </cell>
        </row>
        <row r="644">
          <cell r="A644">
            <v>329</v>
          </cell>
          <cell r="B644" t="str">
            <v>Холис</v>
          </cell>
          <cell r="C644" t="str">
            <v>ф/х</v>
          </cell>
          <cell r="D644" t="str">
            <v>Охунбобоев</v>
          </cell>
          <cell r="E644" t="str">
            <v>Зафаробод</v>
          </cell>
          <cell r="F644">
            <v>22000</v>
          </cell>
          <cell r="I644">
            <v>17</v>
          </cell>
        </row>
        <row r="645">
          <cell r="A645">
            <v>330</v>
          </cell>
          <cell r="B645" t="str">
            <v>Холмон Сардор</v>
          </cell>
          <cell r="C645" t="str">
            <v>ф/х</v>
          </cell>
          <cell r="D645" t="str">
            <v>Охунбобоев</v>
          </cell>
          <cell r="E645" t="str">
            <v>Зафаробод</v>
          </cell>
          <cell r="F645">
            <v>81000</v>
          </cell>
          <cell r="H645">
            <v>9</v>
          </cell>
        </row>
        <row r="646">
          <cell r="A646">
            <v>331</v>
          </cell>
          <cell r="B646" t="str">
            <v>Холмурод ота</v>
          </cell>
          <cell r="C646" t="str">
            <v>ф/х</v>
          </cell>
          <cell r="D646" t="str">
            <v>Охунбобоев</v>
          </cell>
          <cell r="E646" t="str">
            <v>Зафаробод</v>
          </cell>
          <cell r="F646">
            <v>41700</v>
          </cell>
          <cell r="H646">
            <v>9</v>
          </cell>
        </row>
        <row r="647">
          <cell r="A647">
            <v>332</v>
          </cell>
          <cell r="B647" t="str">
            <v>Хумо</v>
          </cell>
          <cell r="C647" t="str">
            <v>ф/х</v>
          </cell>
          <cell r="D647" t="str">
            <v>Охунбобоев</v>
          </cell>
          <cell r="E647" t="str">
            <v>Зафаробод</v>
          </cell>
          <cell r="F647">
            <v>122100</v>
          </cell>
          <cell r="I647">
            <v>17</v>
          </cell>
        </row>
        <row r="648">
          <cell r="A648">
            <v>333</v>
          </cell>
          <cell r="B648" t="str">
            <v>Хуроп</v>
          </cell>
          <cell r="C648" t="str">
            <v>ф/х</v>
          </cell>
          <cell r="D648" t="str">
            <v>Охунбобоев</v>
          </cell>
          <cell r="E648" t="str">
            <v>Зафаробод</v>
          </cell>
          <cell r="F648">
            <v>16400</v>
          </cell>
          <cell r="H648">
            <v>10</v>
          </cell>
        </row>
        <row r="649">
          <cell r="A649">
            <v>334</v>
          </cell>
          <cell r="B649" t="str">
            <v>Хуршид</v>
          </cell>
          <cell r="C649" t="str">
            <v>ф/х</v>
          </cell>
          <cell r="D649" t="str">
            <v>Охунбобоев</v>
          </cell>
          <cell r="E649" t="str">
            <v>Зафаробод</v>
          </cell>
          <cell r="F649">
            <v>46000</v>
          </cell>
          <cell r="I649">
            <v>12</v>
          </cell>
        </row>
        <row r="650">
          <cell r="A650">
            <v>335</v>
          </cell>
          <cell r="B650" t="str">
            <v>Чаманно</v>
          </cell>
          <cell r="C650" t="str">
            <v>ф/х</v>
          </cell>
          <cell r="D650" t="str">
            <v>Охунбобоев</v>
          </cell>
          <cell r="E650" t="str">
            <v>Зафаробод</v>
          </cell>
          <cell r="F650">
            <v>75600</v>
          </cell>
          <cell r="I650">
            <v>19</v>
          </cell>
        </row>
        <row r="651">
          <cell r="A651">
            <v>336</v>
          </cell>
          <cell r="B651" t="str">
            <v>Чарос</v>
          </cell>
          <cell r="C651" t="str">
            <v>ф/х</v>
          </cell>
          <cell r="D651" t="str">
            <v>Охунбобоев</v>
          </cell>
          <cell r="E651" t="str">
            <v>Зафаробод</v>
          </cell>
          <cell r="F651">
            <v>32100</v>
          </cell>
          <cell r="I651">
            <v>17</v>
          </cell>
        </row>
        <row r="652">
          <cell r="A652">
            <v>337</v>
          </cell>
          <cell r="B652" t="str">
            <v>Чарх</v>
          </cell>
          <cell r="C652" t="str">
            <v>ф/х</v>
          </cell>
          <cell r="D652" t="str">
            <v>Охунбобоев</v>
          </cell>
          <cell r="E652" t="str">
            <v>Зафаробод</v>
          </cell>
          <cell r="F652">
            <v>15600</v>
          </cell>
          <cell r="I652">
            <v>17</v>
          </cell>
        </row>
        <row r="653">
          <cell r="A653">
            <v>338</v>
          </cell>
          <cell r="B653" t="str">
            <v>Шарк</v>
          </cell>
          <cell r="C653" t="str">
            <v>ф/х</v>
          </cell>
          <cell r="D653" t="str">
            <v>Охунбобоев</v>
          </cell>
          <cell r="E653" t="str">
            <v>Зафаробод</v>
          </cell>
          <cell r="F653">
            <v>44600</v>
          </cell>
          <cell r="I653">
            <v>18</v>
          </cell>
        </row>
        <row r="654">
          <cell r="A654">
            <v>339</v>
          </cell>
          <cell r="B654" t="str">
            <v>Шарофнур</v>
          </cell>
          <cell r="C654" t="str">
            <v>ф/х</v>
          </cell>
          <cell r="D654" t="str">
            <v>Охунбобоев</v>
          </cell>
          <cell r="E654" t="str">
            <v>Зафаробод</v>
          </cell>
          <cell r="F654">
            <v>22500</v>
          </cell>
          <cell r="I654">
            <v>17</v>
          </cell>
        </row>
        <row r="655">
          <cell r="A655">
            <v>340</v>
          </cell>
          <cell r="B655" t="str">
            <v>Шахло-Муборак</v>
          </cell>
          <cell r="C655" t="str">
            <v>ф/х</v>
          </cell>
          <cell r="D655" t="str">
            <v>Охунбобоев</v>
          </cell>
          <cell r="E655" t="str">
            <v>Зафаробод</v>
          </cell>
          <cell r="F655">
            <v>18900</v>
          </cell>
          <cell r="H655">
            <v>10</v>
          </cell>
        </row>
        <row r="656">
          <cell r="A656">
            <v>341</v>
          </cell>
          <cell r="B656" t="str">
            <v>Ширин</v>
          </cell>
          <cell r="C656" t="str">
            <v>ф/х</v>
          </cell>
          <cell r="D656" t="str">
            <v>Охунбобоев</v>
          </cell>
          <cell r="E656" t="str">
            <v>Зафаробод</v>
          </cell>
          <cell r="F656">
            <v>64500</v>
          </cell>
          <cell r="I656">
            <v>17</v>
          </cell>
        </row>
        <row r="657">
          <cell r="A657">
            <v>342</v>
          </cell>
          <cell r="B657" t="str">
            <v>Шоди Султон</v>
          </cell>
          <cell r="C657" t="str">
            <v>ф/х</v>
          </cell>
          <cell r="D657" t="str">
            <v>Охунбобоев</v>
          </cell>
          <cell r="E657" t="str">
            <v>Зафаробод</v>
          </cell>
          <cell r="F657">
            <v>33200</v>
          </cell>
          <cell r="I657">
            <v>19</v>
          </cell>
        </row>
        <row r="658">
          <cell r="A658">
            <v>343</v>
          </cell>
          <cell r="B658" t="str">
            <v>Шокир-Умид</v>
          </cell>
          <cell r="C658" t="str">
            <v>ф/х</v>
          </cell>
          <cell r="D658" t="str">
            <v>Охунбобоев</v>
          </cell>
          <cell r="E658" t="str">
            <v>Зафаробод</v>
          </cell>
          <cell r="F658">
            <v>25600</v>
          </cell>
          <cell r="H658">
            <v>10</v>
          </cell>
        </row>
        <row r="659">
          <cell r="A659">
            <v>344</v>
          </cell>
          <cell r="B659" t="str">
            <v>Шохрух-1</v>
          </cell>
          <cell r="C659" t="str">
            <v>ф/х</v>
          </cell>
          <cell r="D659" t="str">
            <v>Охунбобоев</v>
          </cell>
          <cell r="E659" t="str">
            <v>Зафаробод</v>
          </cell>
          <cell r="F659">
            <v>81300</v>
          </cell>
          <cell r="I659">
            <v>17</v>
          </cell>
        </row>
        <row r="660">
          <cell r="A660">
            <v>345</v>
          </cell>
          <cell r="B660" t="str">
            <v>Шухрат-Рахмон ота</v>
          </cell>
          <cell r="C660" t="str">
            <v>ф/х</v>
          </cell>
          <cell r="D660" t="str">
            <v>Охунбобоев</v>
          </cell>
          <cell r="E660" t="str">
            <v>Зафаробод</v>
          </cell>
          <cell r="F660">
            <v>13900</v>
          </cell>
          <cell r="I660">
            <v>12</v>
          </cell>
        </row>
        <row r="661">
          <cell r="A661">
            <v>346</v>
          </cell>
          <cell r="B661" t="str">
            <v>Эгамкул</v>
          </cell>
          <cell r="C661" t="str">
            <v>ф/х</v>
          </cell>
          <cell r="D661" t="str">
            <v>Охунбобоев</v>
          </cell>
          <cell r="E661" t="str">
            <v>Зафаробод</v>
          </cell>
          <cell r="F661">
            <v>60000</v>
          </cell>
          <cell r="H661">
            <v>12</v>
          </cell>
        </row>
        <row r="662">
          <cell r="A662">
            <v>347</v>
          </cell>
          <cell r="B662" t="str">
            <v>Эликул</v>
          </cell>
          <cell r="C662" t="str">
            <v>ф/х</v>
          </cell>
          <cell r="D662" t="str">
            <v>Охунбобоев</v>
          </cell>
          <cell r="E662" t="str">
            <v>Зафаробод</v>
          </cell>
          <cell r="F662">
            <v>17600</v>
          </cell>
          <cell r="H662">
            <v>10</v>
          </cell>
        </row>
        <row r="663">
          <cell r="A663">
            <v>348</v>
          </cell>
          <cell r="B663" t="str">
            <v>Элимбой ота</v>
          </cell>
          <cell r="C663" t="str">
            <v>ф/х</v>
          </cell>
          <cell r="D663" t="str">
            <v>Охунбобоев</v>
          </cell>
          <cell r="E663" t="str">
            <v>Зафаробод</v>
          </cell>
          <cell r="F663">
            <v>32000</v>
          </cell>
          <cell r="H663">
            <v>8</v>
          </cell>
        </row>
        <row r="664">
          <cell r="A664">
            <v>349</v>
          </cell>
          <cell r="B664" t="str">
            <v>Эсоншох</v>
          </cell>
          <cell r="C664" t="str">
            <v>ф/х</v>
          </cell>
          <cell r="D664" t="str">
            <v>Охунбобоев</v>
          </cell>
          <cell r="E664" t="str">
            <v>Зафаробод</v>
          </cell>
          <cell r="F664">
            <v>29700</v>
          </cell>
          <cell r="H664">
            <v>10</v>
          </cell>
        </row>
        <row r="665">
          <cell r="A665">
            <v>350</v>
          </cell>
          <cell r="B665" t="str">
            <v>Юнус бобо</v>
          </cell>
          <cell r="C665" t="str">
            <v>ф/х</v>
          </cell>
          <cell r="D665" t="str">
            <v>Охунбобоев</v>
          </cell>
          <cell r="E665" t="str">
            <v>Зафаробод</v>
          </cell>
          <cell r="F665">
            <v>21500</v>
          </cell>
          <cell r="H665">
            <v>9</v>
          </cell>
        </row>
        <row r="666">
          <cell r="A666">
            <v>247</v>
          </cell>
          <cell r="B666" t="str">
            <v>Носир</v>
          </cell>
          <cell r="C666" t="str">
            <v>б/т</v>
          </cell>
          <cell r="D666" t="str">
            <v>Охунбобоев</v>
          </cell>
          <cell r="E666" t="str">
            <v>Зафаробод</v>
          </cell>
          <cell r="F666">
            <v>88800</v>
          </cell>
          <cell r="I666">
            <v>17</v>
          </cell>
        </row>
        <row r="667">
          <cell r="A667">
            <v>255</v>
          </cell>
          <cell r="B667" t="str">
            <v xml:space="preserve">Олкортепа </v>
          </cell>
          <cell r="C667" t="str">
            <v>б/т</v>
          </cell>
          <cell r="D667" t="str">
            <v>Охунбобоев</v>
          </cell>
          <cell r="E667" t="str">
            <v>Зафаробод</v>
          </cell>
          <cell r="F667">
            <v>22000</v>
          </cell>
          <cell r="H667">
            <v>10</v>
          </cell>
        </row>
        <row r="668">
          <cell r="A668">
            <v>118</v>
          </cell>
          <cell r="B668" t="str">
            <v>Абдуназар</v>
          </cell>
          <cell r="C668" t="str">
            <v>ф/х</v>
          </cell>
          <cell r="D668" t="str">
            <v>Мустакиллик</v>
          </cell>
          <cell r="E668" t="str">
            <v>Зафаробод</v>
          </cell>
          <cell r="F668">
            <v>27900</v>
          </cell>
          <cell r="H668">
            <v>19</v>
          </cell>
        </row>
        <row r="669">
          <cell r="A669">
            <v>119</v>
          </cell>
          <cell r="B669" t="str">
            <v>Абдухолик угли-Абдукодир</v>
          </cell>
          <cell r="C669" t="str">
            <v>ф/х</v>
          </cell>
          <cell r="D669" t="str">
            <v>Мустакиллик</v>
          </cell>
          <cell r="E669" t="str">
            <v>Зафаробод</v>
          </cell>
          <cell r="F669">
            <v>11900</v>
          </cell>
          <cell r="H669">
            <v>6</v>
          </cell>
        </row>
        <row r="670">
          <cell r="A670">
            <v>120</v>
          </cell>
          <cell r="B670" t="str">
            <v>Азизбек-Элчин</v>
          </cell>
          <cell r="C670" t="str">
            <v>ф/х</v>
          </cell>
          <cell r="D670" t="str">
            <v>Мустакиллик</v>
          </cell>
          <cell r="E670" t="str">
            <v>Зафаробод</v>
          </cell>
          <cell r="F670">
            <v>104100</v>
          </cell>
          <cell r="H670">
            <v>8</v>
          </cell>
        </row>
        <row r="671">
          <cell r="A671">
            <v>121</v>
          </cell>
          <cell r="B671" t="str">
            <v>Ахмат ота</v>
          </cell>
          <cell r="C671" t="str">
            <v>ф/х</v>
          </cell>
          <cell r="D671" t="str">
            <v>Мустакиллик</v>
          </cell>
          <cell r="E671" t="str">
            <v>Зафаробод</v>
          </cell>
          <cell r="F671">
            <v>24600</v>
          </cell>
          <cell r="H671">
            <v>10</v>
          </cell>
        </row>
        <row r="672">
          <cell r="A672">
            <v>122</v>
          </cell>
          <cell r="B672" t="str">
            <v>Ахматхон ота</v>
          </cell>
          <cell r="C672" t="str">
            <v>ф/х</v>
          </cell>
          <cell r="D672" t="str">
            <v>Мустакиллик</v>
          </cell>
          <cell r="E672" t="str">
            <v>Зафаробод</v>
          </cell>
          <cell r="F672">
            <v>15800</v>
          </cell>
          <cell r="H672">
            <v>11</v>
          </cell>
        </row>
        <row r="673">
          <cell r="A673">
            <v>123</v>
          </cell>
          <cell r="B673" t="str">
            <v>Баланд осмон юлдузи</v>
          </cell>
          <cell r="C673" t="str">
            <v>ф/х</v>
          </cell>
          <cell r="D673" t="str">
            <v>Мустакиллик</v>
          </cell>
          <cell r="E673" t="str">
            <v>Зафаробод</v>
          </cell>
          <cell r="F673">
            <v>47900</v>
          </cell>
          <cell r="H673">
            <v>11</v>
          </cell>
        </row>
        <row r="674">
          <cell r="A674">
            <v>124</v>
          </cell>
          <cell r="B674" t="str">
            <v>Бегона-Бахор</v>
          </cell>
          <cell r="C674" t="str">
            <v>ф/х</v>
          </cell>
          <cell r="D674" t="str">
            <v>Мустакиллик</v>
          </cell>
          <cell r="E674" t="str">
            <v>Зафаробод</v>
          </cell>
          <cell r="F674">
            <v>4900</v>
          </cell>
          <cell r="H674">
            <v>14</v>
          </cell>
        </row>
        <row r="675">
          <cell r="A675">
            <v>125</v>
          </cell>
          <cell r="B675" t="str">
            <v>Бобожон-Эргаш  ота</v>
          </cell>
          <cell r="C675" t="str">
            <v>ф/х</v>
          </cell>
          <cell r="D675" t="str">
            <v>Мустакиллик</v>
          </cell>
          <cell r="E675" t="str">
            <v>Зафаробод</v>
          </cell>
          <cell r="F675">
            <v>25000</v>
          </cell>
          <cell r="H675">
            <v>12</v>
          </cell>
        </row>
        <row r="676">
          <cell r="A676">
            <v>126</v>
          </cell>
          <cell r="B676" t="str">
            <v>Бобокул ота</v>
          </cell>
          <cell r="C676" t="str">
            <v>ф/х</v>
          </cell>
          <cell r="D676" t="str">
            <v>Мустакиллик</v>
          </cell>
          <cell r="E676" t="str">
            <v>Зафаробод</v>
          </cell>
          <cell r="F676">
            <v>17000</v>
          </cell>
          <cell r="H676">
            <v>8</v>
          </cell>
        </row>
        <row r="677">
          <cell r="A677">
            <v>127</v>
          </cell>
          <cell r="B677" t="str">
            <v>Бузутлон ота</v>
          </cell>
          <cell r="C677" t="str">
            <v>ф/х</v>
          </cell>
          <cell r="D677" t="str">
            <v>Мустакиллик</v>
          </cell>
          <cell r="E677" t="str">
            <v>Зафаробод</v>
          </cell>
          <cell r="F677">
            <v>30300</v>
          </cell>
          <cell r="H677">
            <v>9</v>
          </cell>
        </row>
        <row r="678">
          <cell r="A678">
            <v>128</v>
          </cell>
          <cell r="B678" t="str">
            <v>Гулбадан-Дулона</v>
          </cell>
          <cell r="C678" t="str">
            <v>ф/х</v>
          </cell>
          <cell r="D678" t="str">
            <v>Мустакиллик</v>
          </cell>
          <cell r="E678" t="str">
            <v>Зафаробод</v>
          </cell>
          <cell r="F678">
            <v>11900</v>
          </cell>
          <cell r="H678">
            <v>9</v>
          </cell>
        </row>
        <row r="679">
          <cell r="A679">
            <v>129</v>
          </cell>
          <cell r="B679" t="str">
            <v>Жайхун-Олис</v>
          </cell>
          <cell r="C679" t="str">
            <v>ф/х</v>
          </cell>
          <cell r="D679" t="str">
            <v>Мустакиллик</v>
          </cell>
          <cell r="E679" t="str">
            <v>Зафаробод</v>
          </cell>
          <cell r="F679">
            <v>21600</v>
          </cell>
          <cell r="H679">
            <v>8</v>
          </cell>
        </row>
        <row r="680">
          <cell r="A680">
            <v>130</v>
          </cell>
          <cell r="B680" t="str">
            <v>Жигарбанд</v>
          </cell>
          <cell r="C680" t="str">
            <v>ф/х</v>
          </cell>
          <cell r="D680" t="str">
            <v>Мустакиллик</v>
          </cell>
          <cell r="E680" t="str">
            <v>Зафаробод</v>
          </cell>
          <cell r="F680">
            <v>39300</v>
          </cell>
          <cell r="H680">
            <v>9</v>
          </cell>
        </row>
        <row r="681">
          <cell r="A681">
            <v>131</v>
          </cell>
          <cell r="B681" t="str">
            <v>Жонибек-Кувнок</v>
          </cell>
          <cell r="C681" t="str">
            <v>ф/х</v>
          </cell>
          <cell r="D681" t="str">
            <v>Мустакиллик</v>
          </cell>
          <cell r="E681" t="str">
            <v>Зафаробод</v>
          </cell>
          <cell r="F681">
            <v>22600</v>
          </cell>
          <cell r="H681">
            <v>9</v>
          </cell>
        </row>
        <row r="682">
          <cell r="A682">
            <v>132</v>
          </cell>
          <cell r="B682" t="str">
            <v>Завкизода</v>
          </cell>
          <cell r="C682" t="str">
            <v>ф/х</v>
          </cell>
          <cell r="D682" t="str">
            <v>Мустакиллик</v>
          </cell>
          <cell r="E682" t="str">
            <v>Зафаробод</v>
          </cell>
          <cell r="F682">
            <v>5600</v>
          </cell>
          <cell r="H682">
            <v>15</v>
          </cell>
        </row>
        <row r="683">
          <cell r="A683">
            <v>133</v>
          </cell>
          <cell r="B683" t="str">
            <v>Зиеда</v>
          </cell>
          <cell r="C683" t="str">
            <v>ф/х</v>
          </cell>
          <cell r="D683" t="str">
            <v>Мустакиллик</v>
          </cell>
          <cell r="E683" t="str">
            <v>Зафаробод</v>
          </cell>
          <cell r="F683">
            <v>77900</v>
          </cell>
          <cell r="H683">
            <v>10</v>
          </cell>
        </row>
        <row r="684">
          <cell r="A684">
            <v>134</v>
          </cell>
          <cell r="B684" t="str">
            <v>Кулимахиён</v>
          </cell>
          <cell r="C684" t="str">
            <v>ф/х</v>
          </cell>
          <cell r="D684" t="str">
            <v>Мустакиллик</v>
          </cell>
          <cell r="E684" t="str">
            <v>Зафаробод</v>
          </cell>
          <cell r="F684">
            <v>6000</v>
          </cell>
          <cell r="H684">
            <v>12</v>
          </cell>
        </row>
        <row r="685">
          <cell r="A685">
            <v>135</v>
          </cell>
          <cell r="B685" t="str">
            <v>Кушробот тусини</v>
          </cell>
          <cell r="C685" t="str">
            <v>ф/х</v>
          </cell>
          <cell r="D685" t="str">
            <v>Мустакиллик</v>
          </cell>
          <cell r="E685" t="str">
            <v>Зафаробод</v>
          </cell>
          <cell r="F685">
            <v>28500</v>
          </cell>
          <cell r="H685">
            <v>10</v>
          </cell>
        </row>
        <row r="686">
          <cell r="A686">
            <v>136</v>
          </cell>
          <cell r="B686" t="str">
            <v>Мардонжон</v>
          </cell>
          <cell r="C686" t="str">
            <v>ф/х</v>
          </cell>
          <cell r="D686" t="str">
            <v>Мустакиллик</v>
          </cell>
          <cell r="E686" t="str">
            <v>Зафаробод</v>
          </cell>
          <cell r="F686">
            <v>20200</v>
          </cell>
          <cell r="H686">
            <v>12</v>
          </cell>
        </row>
        <row r="687">
          <cell r="A687">
            <v>137</v>
          </cell>
          <cell r="B687" t="str">
            <v>Немон</v>
          </cell>
          <cell r="C687" t="str">
            <v>ф/х</v>
          </cell>
          <cell r="D687" t="str">
            <v>Мустакиллик</v>
          </cell>
          <cell r="E687" t="str">
            <v>Зафаробод</v>
          </cell>
          <cell r="F687">
            <v>8100</v>
          </cell>
          <cell r="H687">
            <v>8</v>
          </cell>
        </row>
        <row r="688">
          <cell r="A688">
            <v>138</v>
          </cell>
          <cell r="B688" t="str">
            <v>Огох бул</v>
          </cell>
          <cell r="C688" t="str">
            <v>ф/х</v>
          </cell>
          <cell r="D688" t="str">
            <v>Мустакиллик</v>
          </cell>
          <cell r="E688" t="str">
            <v>Зафаробод</v>
          </cell>
          <cell r="F688">
            <v>5000</v>
          </cell>
          <cell r="H688">
            <v>10</v>
          </cell>
        </row>
        <row r="689">
          <cell r="A689">
            <v>139</v>
          </cell>
          <cell r="B689" t="str">
            <v>Ок чарик</v>
          </cell>
          <cell r="C689" t="str">
            <v>ф/х</v>
          </cell>
          <cell r="D689" t="str">
            <v>Мустакиллик</v>
          </cell>
          <cell r="E689" t="str">
            <v>Зафаробод</v>
          </cell>
          <cell r="F689">
            <v>12600</v>
          </cell>
          <cell r="H689">
            <v>10</v>
          </cell>
        </row>
        <row r="690">
          <cell r="A690">
            <v>140</v>
          </cell>
          <cell r="B690" t="str">
            <v>Очил</v>
          </cell>
          <cell r="C690" t="str">
            <v>ф/х</v>
          </cell>
          <cell r="D690" t="str">
            <v>Мустакиллик</v>
          </cell>
          <cell r="E690" t="str">
            <v>Зафаробод</v>
          </cell>
          <cell r="F690">
            <v>7400</v>
          </cell>
          <cell r="H690">
            <v>10</v>
          </cell>
        </row>
        <row r="691">
          <cell r="A691">
            <v>141</v>
          </cell>
          <cell r="B691" t="str">
            <v>Парашт</v>
          </cell>
          <cell r="C691" t="str">
            <v>ф/х</v>
          </cell>
          <cell r="D691" t="str">
            <v>Мустакиллик</v>
          </cell>
          <cell r="E691" t="str">
            <v>Зафаробод</v>
          </cell>
          <cell r="F691">
            <v>27400</v>
          </cell>
          <cell r="H691">
            <v>8</v>
          </cell>
        </row>
        <row r="692">
          <cell r="A692">
            <v>142</v>
          </cell>
          <cell r="B692" t="str">
            <v>Рустам-Сиёвуш</v>
          </cell>
          <cell r="C692" t="str">
            <v>ф/х</v>
          </cell>
          <cell r="D692" t="str">
            <v>Мустакиллик</v>
          </cell>
          <cell r="E692" t="str">
            <v>Зафаробод</v>
          </cell>
          <cell r="F692">
            <v>26500</v>
          </cell>
          <cell r="H692">
            <v>6</v>
          </cell>
        </row>
        <row r="693">
          <cell r="A693">
            <v>143</v>
          </cell>
          <cell r="B693" t="str">
            <v>Сарвигул-Жахон</v>
          </cell>
          <cell r="C693" t="str">
            <v>ф/х</v>
          </cell>
          <cell r="D693" t="str">
            <v>Мустакиллик</v>
          </cell>
          <cell r="E693" t="str">
            <v>Зафаробод</v>
          </cell>
          <cell r="F693">
            <v>23500</v>
          </cell>
          <cell r="H693">
            <v>14</v>
          </cell>
        </row>
        <row r="694">
          <cell r="A694">
            <v>144</v>
          </cell>
          <cell r="B694" t="str">
            <v>Сегун</v>
          </cell>
          <cell r="C694" t="str">
            <v>ф/х</v>
          </cell>
          <cell r="D694" t="str">
            <v>Мустакиллик</v>
          </cell>
          <cell r="E694" t="str">
            <v>Зафаробод</v>
          </cell>
          <cell r="F694">
            <v>33900</v>
          </cell>
          <cell r="H694">
            <v>8</v>
          </cell>
        </row>
        <row r="695">
          <cell r="A695">
            <v>145</v>
          </cell>
          <cell r="B695" t="str">
            <v>Фарзона</v>
          </cell>
          <cell r="C695" t="str">
            <v>ф/х</v>
          </cell>
          <cell r="D695" t="str">
            <v>Мустакиллик</v>
          </cell>
          <cell r="E695" t="str">
            <v>Зафаробод</v>
          </cell>
          <cell r="F695">
            <v>5400</v>
          </cell>
          <cell r="H695">
            <v>8</v>
          </cell>
        </row>
        <row r="696">
          <cell r="A696">
            <v>146</v>
          </cell>
          <cell r="B696" t="str">
            <v>Фозилмон</v>
          </cell>
          <cell r="C696" t="str">
            <v>ф/х</v>
          </cell>
          <cell r="D696" t="str">
            <v>Мустакиллик</v>
          </cell>
          <cell r="E696" t="str">
            <v>Зафаробод</v>
          </cell>
          <cell r="F696">
            <v>24300</v>
          </cell>
          <cell r="H696">
            <v>10</v>
          </cell>
        </row>
        <row r="697">
          <cell r="A697">
            <v>147</v>
          </cell>
          <cell r="B697" t="str">
            <v>Хайдар Хамза ота</v>
          </cell>
          <cell r="C697" t="str">
            <v>ф/х</v>
          </cell>
          <cell r="D697" t="str">
            <v>Мустакиллик</v>
          </cell>
          <cell r="E697" t="str">
            <v>Зафаробод</v>
          </cell>
          <cell r="F697">
            <v>6000</v>
          </cell>
          <cell r="H697">
            <v>10</v>
          </cell>
        </row>
        <row r="698">
          <cell r="A698">
            <v>148</v>
          </cell>
          <cell r="B698" t="str">
            <v>Хайиткул-Саидкул</v>
          </cell>
          <cell r="C698" t="str">
            <v>ф/х</v>
          </cell>
          <cell r="D698" t="str">
            <v>Мустакиллик</v>
          </cell>
          <cell r="E698" t="str">
            <v>Зафаробод</v>
          </cell>
          <cell r="F698">
            <v>3800</v>
          </cell>
          <cell r="H698">
            <v>4</v>
          </cell>
        </row>
        <row r="699">
          <cell r="A699">
            <v>149</v>
          </cell>
          <cell r="B699" t="str">
            <v>Шоди ота-Шавкат</v>
          </cell>
          <cell r="C699" t="str">
            <v>ф/х</v>
          </cell>
          <cell r="D699" t="str">
            <v>Мустакиллик</v>
          </cell>
          <cell r="E699" t="str">
            <v>Зафаробод</v>
          </cell>
          <cell r="F699">
            <v>12200</v>
          </cell>
          <cell r="H699">
            <v>8</v>
          </cell>
        </row>
        <row r="700">
          <cell r="A700">
            <v>150</v>
          </cell>
          <cell r="B700" t="str">
            <v>Эшмурод бобо</v>
          </cell>
          <cell r="C700" t="str">
            <v>ф/х</v>
          </cell>
          <cell r="D700" t="str">
            <v>Мустакиллик</v>
          </cell>
          <cell r="E700" t="str">
            <v>Зафаробод</v>
          </cell>
          <cell r="F700">
            <v>14400</v>
          </cell>
          <cell r="H700">
            <v>8</v>
          </cell>
        </row>
        <row r="701">
          <cell r="A701">
            <v>151</v>
          </cell>
          <cell r="B701" t="str">
            <v>Янги хаёт</v>
          </cell>
          <cell r="C701" t="str">
            <v>ф/х</v>
          </cell>
          <cell r="D701" t="str">
            <v>Мустакиллик</v>
          </cell>
          <cell r="E701" t="str">
            <v>Зафаробод</v>
          </cell>
          <cell r="F701">
            <v>13900</v>
          </cell>
          <cell r="H701">
            <v>10</v>
          </cell>
        </row>
        <row r="702">
          <cell r="A702">
            <v>91</v>
          </cell>
          <cell r="B702" t="str">
            <v>А.Боймокли</v>
          </cell>
          <cell r="C702" t="str">
            <v>ф/х</v>
          </cell>
          <cell r="D702" t="str">
            <v>Кожахмет</v>
          </cell>
          <cell r="E702" t="str">
            <v>Зафаробод</v>
          </cell>
          <cell r="F702">
            <v>17300</v>
          </cell>
          <cell r="I702">
            <v>8</v>
          </cell>
        </row>
        <row r="703">
          <cell r="A703">
            <v>92</v>
          </cell>
          <cell r="B703" t="str">
            <v>Адыл</v>
          </cell>
          <cell r="C703" t="str">
            <v>ф/х</v>
          </cell>
          <cell r="D703" t="str">
            <v>Кожахмет</v>
          </cell>
          <cell r="E703" t="str">
            <v>Зафаробод</v>
          </cell>
          <cell r="F703">
            <v>75800</v>
          </cell>
          <cell r="H703">
            <v>16</v>
          </cell>
        </row>
        <row r="704">
          <cell r="A704">
            <v>93</v>
          </cell>
          <cell r="B704" t="str">
            <v>А-Кунгирот-1</v>
          </cell>
          <cell r="C704" t="str">
            <v>ф/х</v>
          </cell>
          <cell r="D704" t="str">
            <v>Кожахмет</v>
          </cell>
          <cell r="E704" t="str">
            <v>Зафаробод</v>
          </cell>
          <cell r="F704">
            <v>26600</v>
          </cell>
          <cell r="H704">
            <v>12</v>
          </cell>
        </row>
        <row r="705">
          <cell r="A705">
            <v>94</v>
          </cell>
          <cell r="B705" t="str">
            <v>Бекмурод Яриев</v>
          </cell>
          <cell r="C705" t="str">
            <v>ф/х</v>
          </cell>
          <cell r="D705" t="str">
            <v>Кожахмет</v>
          </cell>
          <cell r="E705" t="str">
            <v>Зафаробод</v>
          </cell>
          <cell r="F705">
            <v>28300</v>
          </cell>
          <cell r="H705">
            <v>15</v>
          </cell>
        </row>
        <row r="706">
          <cell r="A706">
            <v>95</v>
          </cell>
          <cell r="B706" t="str">
            <v>Береке</v>
          </cell>
          <cell r="C706" t="str">
            <v>ф/х</v>
          </cell>
          <cell r="D706" t="str">
            <v>Кожахмет</v>
          </cell>
          <cell r="E706" t="str">
            <v>Зафаробод</v>
          </cell>
          <cell r="F706">
            <v>26800</v>
          </cell>
          <cell r="H706">
            <v>15</v>
          </cell>
        </row>
        <row r="707">
          <cell r="A707">
            <v>96</v>
          </cell>
          <cell r="B707" t="str">
            <v>Бувнарой она</v>
          </cell>
          <cell r="C707" t="str">
            <v>ф/х</v>
          </cell>
          <cell r="D707" t="str">
            <v>Кожахмет</v>
          </cell>
          <cell r="E707" t="str">
            <v>Зафаробод</v>
          </cell>
          <cell r="F707">
            <v>16500</v>
          </cell>
          <cell r="H707">
            <v>15</v>
          </cell>
        </row>
        <row r="708">
          <cell r="A708">
            <v>97</v>
          </cell>
          <cell r="B708" t="str">
            <v>Гулмурод бобо</v>
          </cell>
          <cell r="C708" t="str">
            <v>ф/х</v>
          </cell>
          <cell r="D708" t="str">
            <v>Кожахмет</v>
          </cell>
          <cell r="E708" t="str">
            <v>Зафаробод</v>
          </cell>
          <cell r="F708">
            <v>30500</v>
          </cell>
          <cell r="H708">
            <v>15</v>
          </cell>
        </row>
        <row r="709">
          <cell r="A709">
            <v>98</v>
          </cell>
          <cell r="B709" t="str">
            <v>Еламон</v>
          </cell>
          <cell r="C709" t="str">
            <v>ф/х</v>
          </cell>
          <cell r="D709" t="str">
            <v>Кожахмет</v>
          </cell>
          <cell r="E709" t="str">
            <v>Зафаробод</v>
          </cell>
          <cell r="F709">
            <v>32700</v>
          </cell>
          <cell r="H709">
            <v>15</v>
          </cell>
        </row>
        <row r="710">
          <cell r="A710">
            <v>99</v>
          </cell>
          <cell r="B710" t="str">
            <v>Ерали ота</v>
          </cell>
          <cell r="C710" t="str">
            <v>ф/х</v>
          </cell>
          <cell r="D710" t="str">
            <v>Кожахмет</v>
          </cell>
          <cell r="E710" t="str">
            <v>Зафаробод</v>
          </cell>
          <cell r="F710">
            <v>22500</v>
          </cell>
          <cell r="H710">
            <v>15</v>
          </cell>
        </row>
        <row r="711">
          <cell r="A711">
            <v>100</v>
          </cell>
          <cell r="B711" t="str">
            <v>Ерсултан</v>
          </cell>
          <cell r="C711" t="str">
            <v>ф/х</v>
          </cell>
          <cell r="D711" t="str">
            <v>Кожахмет</v>
          </cell>
          <cell r="E711" t="str">
            <v>Зафаробод</v>
          </cell>
          <cell r="F711">
            <v>51100</v>
          </cell>
          <cell r="H711">
            <v>16</v>
          </cell>
        </row>
        <row r="712">
          <cell r="A712">
            <v>101</v>
          </cell>
          <cell r="B712" t="str">
            <v>Жамбыл</v>
          </cell>
          <cell r="C712" t="str">
            <v>ф/х</v>
          </cell>
          <cell r="D712" t="str">
            <v>Кожахмет</v>
          </cell>
          <cell r="E712" t="str">
            <v>Зафаробод</v>
          </cell>
          <cell r="F712">
            <v>77800</v>
          </cell>
          <cell r="H712">
            <v>16</v>
          </cell>
        </row>
        <row r="713">
          <cell r="A713">
            <v>102</v>
          </cell>
          <cell r="B713" t="str">
            <v>Жуман ота</v>
          </cell>
          <cell r="C713" t="str">
            <v>ф/х</v>
          </cell>
          <cell r="D713" t="str">
            <v>Кожахмет</v>
          </cell>
          <cell r="E713" t="str">
            <v>Зафаробод</v>
          </cell>
          <cell r="F713">
            <v>26500</v>
          </cell>
          <cell r="H713">
            <v>16</v>
          </cell>
        </row>
        <row r="714">
          <cell r="A714">
            <v>103</v>
          </cell>
          <cell r="B714" t="str">
            <v>ИРС</v>
          </cell>
          <cell r="C714" t="str">
            <v>ф/х</v>
          </cell>
          <cell r="D714" t="str">
            <v>Кожахмет</v>
          </cell>
          <cell r="E714" t="str">
            <v>Зафаробод</v>
          </cell>
          <cell r="F714">
            <v>52100</v>
          </cell>
          <cell r="H714">
            <v>16</v>
          </cell>
        </row>
        <row r="715">
          <cell r="A715">
            <v>104</v>
          </cell>
          <cell r="B715" t="str">
            <v>Казыбек-Би</v>
          </cell>
          <cell r="C715" t="str">
            <v>ф/х</v>
          </cell>
          <cell r="D715" t="str">
            <v>Кожахмет</v>
          </cell>
          <cell r="E715" t="str">
            <v>Зафаробод</v>
          </cell>
          <cell r="F715">
            <v>45000</v>
          </cell>
          <cell r="H715">
            <v>16</v>
          </cell>
        </row>
        <row r="716">
          <cell r="A716">
            <v>105</v>
          </cell>
          <cell r="B716" t="str">
            <v>Маханбеткул</v>
          </cell>
          <cell r="C716" t="str">
            <v>ф/х</v>
          </cell>
          <cell r="D716" t="str">
            <v>Кожахмет</v>
          </cell>
          <cell r="E716" t="str">
            <v>Зафаробод</v>
          </cell>
          <cell r="F716">
            <v>23900</v>
          </cell>
          <cell r="H716">
            <v>16</v>
          </cell>
        </row>
        <row r="717">
          <cell r="A717">
            <v>106</v>
          </cell>
          <cell r="B717" t="str">
            <v>Наврузек ота</v>
          </cell>
          <cell r="C717" t="str">
            <v>ф/х</v>
          </cell>
          <cell r="D717" t="str">
            <v>Кожахмет</v>
          </cell>
          <cell r="E717" t="str">
            <v>Зафаробод</v>
          </cell>
          <cell r="F717">
            <v>17400</v>
          </cell>
          <cell r="H717">
            <v>17</v>
          </cell>
        </row>
        <row r="718">
          <cell r="A718">
            <v>107</v>
          </cell>
          <cell r="B718" t="str">
            <v>Нурлан</v>
          </cell>
          <cell r="C718" t="str">
            <v>ф/х</v>
          </cell>
          <cell r="D718" t="str">
            <v>Кожахмет</v>
          </cell>
          <cell r="E718" t="str">
            <v>Зафаробод</v>
          </cell>
          <cell r="F718">
            <v>17000</v>
          </cell>
          <cell r="H718">
            <v>18</v>
          </cell>
        </row>
        <row r="719">
          <cell r="A719">
            <v>108</v>
          </cell>
          <cell r="B719" t="str">
            <v>Оринбой</v>
          </cell>
          <cell r="C719" t="str">
            <v>ф/х</v>
          </cell>
          <cell r="D719" t="str">
            <v>Кожахмет</v>
          </cell>
          <cell r="E719" t="str">
            <v>Зафаробод</v>
          </cell>
          <cell r="F719">
            <v>45200</v>
          </cell>
          <cell r="H719">
            <v>14</v>
          </cell>
        </row>
        <row r="720">
          <cell r="A720">
            <v>109</v>
          </cell>
          <cell r="B720" t="str">
            <v>Рыски</v>
          </cell>
          <cell r="C720" t="str">
            <v>ф/х</v>
          </cell>
          <cell r="D720" t="str">
            <v>Кожахмет</v>
          </cell>
          <cell r="E720" t="str">
            <v>Зафаробод</v>
          </cell>
          <cell r="F720">
            <v>78600</v>
          </cell>
          <cell r="H720">
            <v>17</v>
          </cell>
        </row>
        <row r="721">
          <cell r="A721">
            <v>110</v>
          </cell>
          <cell r="B721" t="str">
            <v>Сабыт-67</v>
          </cell>
          <cell r="C721" t="str">
            <v>ф/х</v>
          </cell>
          <cell r="D721" t="str">
            <v>Кожахмет</v>
          </cell>
          <cell r="E721" t="str">
            <v>Зафаробод</v>
          </cell>
          <cell r="F721">
            <v>17000</v>
          </cell>
          <cell r="H721">
            <v>17</v>
          </cell>
        </row>
        <row r="722">
          <cell r="A722">
            <v>111</v>
          </cell>
          <cell r="B722" t="str">
            <v>Солин АРТ</v>
          </cell>
          <cell r="C722" t="str">
            <v>ф/х</v>
          </cell>
          <cell r="D722" t="str">
            <v>Кожахмет</v>
          </cell>
          <cell r="E722" t="str">
            <v>Зафаробод</v>
          </cell>
          <cell r="F722">
            <v>18200</v>
          </cell>
          <cell r="H722">
            <v>16</v>
          </cell>
        </row>
        <row r="723">
          <cell r="A723">
            <v>112</v>
          </cell>
          <cell r="B723" t="str">
            <v>Сурманбой ота</v>
          </cell>
          <cell r="C723" t="str">
            <v>ф/х</v>
          </cell>
          <cell r="D723" t="str">
            <v>Кожахмет</v>
          </cell>
          <cell r="E723" t="str">
            <v>Зафаробод</v>
          </cell>
          <cell r="F723">
            <v>13300</v>
          </cell>
          <cell r="H723">
            <v>16</v>
          </cell>
        </row>
        <row r="724">
          <cell r="A724">
            <v>113</v>
          </cell>
          <cell r="B724" t="str">
            <v>Сухроб</v>
          </cell>
          <cell r="C724" t="str">
            <v>ф/х</v>
          </cell>
          <cell r="D724" t="str">
            <v>Кожахмет</v>
          </cell>
          <cell r="E724" t="str">
            <v>Зафаробод</v>
          </cell>
          <cell r="F724">
            <v>230900</v>
          </cell>
          <cell r="H724">
            <v>19</v>
          </cell>
        </row>
        <row r="725">
          <cell r="A725">
            <v>114</v>
          </cell>
          <cell r="B725" t="str">
            <v>США</v>
          </cell>
          <cell r="C725" t="str">
            <v>ф/х</v>
          </cell>
          <cell r="D725" t="str">
            <v>Кожахмет</v>
          </cell>
          <cell r="E725" t="str">
            <v>Зафаробод</v>
          </cell>
          <cell r="F725">
            <v>37100</v>
          </cell>
          <cell r="H725">
            <v>16</v>
          </cell>
        </row>
        <row r="726">
          <cell r="A726">
            <v>115</v>
          </cell>
          <cell r="B726" t="str">
            <v>Темир-Санакул</v>
          </cell>
          <cell r="C726" t="str">
            <v>ф/х</v>
          </cell>
          <cell r="D726" t="str">
            <v>Кожахмет</v>
          </cell>
          <cell r="E726" t="str">
            <v>Зафаробод</v>
          </cell>
          <cell r="F726">
            <v>138100</v>
          </cell>
          <cell r="H726">
            <v>19</v>
          </cell>
        </row>
        <row r="727">
          <cell r="A727">
            <v>116</v>
          </cell>
          <cell r="B727" t="str">
            <v>Темиртоу</v>
          </cell>
          <cell r="C727" t="str">
            <v>ф/х</v>
          </cell>
          <cell r="D727" t="str">
            <v>Кожахмет</v>
          </cell>
          <cell r="E727" t="str">
            <v>Зафаробод</v>
          </cell>
          <cell r="F727">
            <v>14700</v>
          </cell>
          <cell r="H727">
            <v>19</v>
          </cell>
        </row>
        <row r="728">
          <cell r="A728">
            <v>117</v>
          </cell>
          <cell r="B728" t="str">
            <v>Шокиржон-Шамсиев</v>
          </cell>
          <cell r="C728" t="str">
            <v>ф/х</v>
          </cell>
          <cell r="D728" t="str">
            <v>Кожахмет</v>
          </cell>
          <cell r="E728" t="str">
            <v>Зафаробод</v>
          </cell>
          <cell r="F728">
            <v>23400</v>
          </cell>
          <cell r="H728">
            <v>15</v>
          </cell>
        </row>
        <row r="729">
          <cell r="A729">
            <v>42</v>
          </cell>
          <cell r="B729" t="str">
            <v>Алибой ота</v>
          </cell>
          <cell r="C729" t="str">
            <v>ф/х</v>
          </cell>
          <cell r="D729" t="str">
            <v>Зафаробод</v>
          </cell>
          <cell r="E729" t="str">
            <v>Зафаробод</v>
          </cell>
          <cell r="F729">
            <v>21100</v>
          </cell>
          <cell r="J729">
            <v>12</v>
          </cell>
        </row>
        <row r="730">
          <cell r="A730">
            <v>43</v>
          </cell>
          <cell r="B730" t="str">
            <v>Алишербек-Вали угли</v>
          </cell>
          <cell r="C730" t="str">
            <v>ф/х</v>
          </cell>
          <cell r="D730" t="str">
            <v>Зафаробод</v>
          </cell>
          <cell r="E730" t="str">
            <v>Зафаробод</v>
          </cell>
          <cell r="F730">
            <v>87700</v>
          </cell>
          <cell r="I730">
            <v>12</v>
          </cell>
        </row>
        <row r="731">
          <cell r="A731">
            <v>44</v>
          </cell>
          <cell r="B731" t="str">
            <v>Ахчоп</v>
          </cell>
          <cell r="C731" t="str">
            <v>ф/х</v>
          </cell>
          <cell r="D731" t="str">
            <v>Зафаробод</v>
          </cell>
          <cell r="E731" t="str">
            <v>Зафаробод</v>
          </cell>
          <cell r="F731">
            <v>57500</v>
          </cell>
          <cell r="I731">
            <v>12</v>
          </cell>
        </row>
        <row r="732">
          <cell r="A732">
            <v>46</v>
          </cell>
          <cell r="B732" t="str">
            <v>Бегзод-М</v>
          </cell>
          <cell r="C732" t="str">
            <v>ф/х</v>
          </cell>
          <cell r="D732" t="str">
            <v>Зафаробод</v>
          </cell>
          <cell r="E732" t="str">
            <v>Зафаробод</v>
          </cell>
          <cell r="F732">
            <v>30500</v>
          </cell>
          <cell r="I732">
            <v>12</v>
          </cell>
        </row>
        <row r="733">
          <cell r="A733">
            <v>47</v>
          </cell>
          <cell r="B733" t="str">
            <v>Бек</v>
          </cell>
          <cell r="C733" t="str">
            <v>ф/х</v>
          </cell>
          <cell r="D733" t="str">
            <v>Зафаробод</v>
          </cell>
          <cell r="E733" t="str">
            <v>Зафаробод</v>
          </cell>
          <cell r="F733">
            <v>45400</v>
          </cell>
          <cell r="I733">
            <v>6</v>
          </cell>
        </row>
        <row r="734">
          <cell r="A734">
            <v>48</v>
          </cell>
          <cell r="B734" t="str">
            <v>Бекобод</v>
          </cell>
          <cell r="C734" t="str">
            <v>ф/х</v>
          </cell>
          <cell r="D734" t="str">
            <v>Зафаробод</v>
          </cell>
          <cell r="E734" t="str">
            <v>Зафаробод</v>
          </cell>
          <cell r="F734">
            <v>31000</v>
          </cell>
          <cell r="I734">
            <v>12</v>
          </cell>
        </row>
        <row r="735">
          <cell r="A735">
            <v>49</v>
          </cell>
          <cell r="B735" t="str">
            <v>Ватан</v>
          </cell>
          <cell r="C735" t="str">
            <v>ф/х</v>
          </cell>
          <cell r="D735" t="str">
            <v>Зафаробод</v>
          </cell>
          <cell r="E735" t="str">
            <v>Зафаробод</v>
          </cell>
          <cell r="F735">
            <v>67000</v>
          </cell>
          <cell r="I735">
            <v>12</v>
          </cell>
        </row>
        <row r="736">
          <cell r="A736">
            <v>50</v>
          </cell>
          <cell r="B736" t="str">
            <v>Гамзат-Очун</v>
          </cell>
          <cell r="C736" t="str">
            <v>ф/х</v>
          </cell>
          <cell r="D736" t="str">
            <v>Зафаробод</v>
          </cell>
          <cell r="E736" t="str">
            <v>Зафаробод</v>
          </cell>
          <cell r="F736">
            <v>56600</v>
          </cell>
          <cell r="I736">
            <v>12</v>
          </cell>
        </row>
        <row r="737">
          <cell r="A737">
            <v>51</v>
          </cell>
          <cell r="B737" t="str">
            <v>Гулсаида</v>
          </cell>
          <cell r="C737" t="str">
            <v>ф/х</v>
          </cell>
          <cell r="D737" t="str">
            <v>Зафаробод</v>
          </cell>
          <cell r="E737" t="str">
            <v>Зафаробод</v>
          </cell>
          <cell r="F737">
            <v>29900</v>
          </cell>
          <cell r="I737">
            <v>8</v>
          </cell>
        </row>
        <row r="738">
          <cell r="A738">
            <v>52</v>
          </cell>
          <cell r="B738" t="str">
            <v>Гулшан</v>
          </cell>
          <cell r="C738" t="str">
            <v>ф/х</v>
          </cell>
          <cell r="D738" t="str">
            <v>Зафаробод</v>
          </cell>
          <cell r="E738" t="str">
            <v>Зафаробод</v>
          </cell>
          <cell r="F738">
            <v>71800</v>
          </cell>
          <cell r="I738">
            <v>8</v>
          </cell>
        </row>
        <row r="739">
          <cell r="A739">
            <v>53</v>
          </cell>
          <cell r="B739" t="str">
            <v>Дашт</v>
          </cell>
          <cell r="C739" t="str">
            <v>ф/х</v>
          </cell>
          <cell r="D739" t="str">
            <v>Зафаробод</v>
          </cell>
          <cell r="E739" t="str">
            <v>Зафаробод</v>
          </cell>
          <cell r="F739">
            <v>86000</v>
          </cell>
          <cell r="I739">
            <v>12</v>
          </cell>
        </row>
        <row r="740">
          <cell r="A740">
            <v>54</v>
          </cell>
          <cell r="B740" t="str">
            <v>Жамол</v>
          </cell>
          <cell r="C740" t="str">
            <v>ф/х</v>
          </cell>
          <cell r="D740" t="str">
            <v>Зафаробод</v>
          </cell>
          <cell r="E740" t="str">
            <v>Зафаробод</v>
          </cell>
          <cell r="F740">
            <v>59200</v>
          </cell>
          <cell r="I740">
            <v>12</v>
          </cell>
        </row>
        <row r="741">
          <cell r="A741">
            <v>55</v>
          </cell>
          <cell r="B741" t="str">
            <v>Жамшид</v>
          </cell>
          <cell r="C741" t="str">
            <v>ф/х</v>
          </cell>
          <cell r="D741" t="str">
            <v>Зафаробод</v>
          </cell>
          <cell r="E741" t="str">
            <v>Зафаробод</v>
          </cell>
          <cell r="F741">
            <v>131700</v>
          </cell>
          <cell r="I741">
            <v>15</v>
          </cell>
        </row>
        <row r="742">
          <cell r="A742">
            <v>56</v>
          </cell>
          <cell r="B742" t="str">
            <v>Жовидон</v>
          </cell>
          <cell r="C742" t="str">
            <v>ф/х</v>
          </cell>
          <cell r="D742" t="str">
            <v>Зафаробод</v>
          </cell>
          <cell r="E742" t="str">
            <v>Зафаробод</v>
          </cell>
          <cell r="F742">
            <v>23400</v>
          </cell>
          <cell r="I742">
            <v>14</v>
          </cell>
        </row>
        <row r="743">
          <cell r="A743">
            <v>57</v>
          </cell>
          <cell r="B743" t="str">
            <v>Кумуш</v>
          </cell>
          <cell r="C743" t="str">
            <v>ф/х</v>
          </cell>
          <cell r="D743" t="str">
            <v>Зафаробод</v>
          </cell>
          <cell r="E743" t="str">
            <v>Зафаробод</v>
          </cell>
          <cell r="F743">
            <v>51000</v>
          </cell>
          <cell r="I743">
            <v>12</v>
          </cell>
        </row>
        <row r="744">
          <cell r="A744">
            <v>58</v>
          </cell>
          <cell r="B744" t="str">
            <v>Куняшер</v>
          </cell>
          <cell r="C744" t="str">
            <v>ф/х</v>
          </cell>
          <cell r="D744" t="str">
            <v>Зафаробод</v>
          </cell>
          <cell r="E744" t="str">
            <v>Зафаробод</v>
          </cell>
          <cell r="F744">
            <v>44100</v>
          </cell>
          <cell r="I744">
            <v>12</v>
          </cell>
        </row>
        <row r="745">
          <cell r="A745">
            <v>59</v>
          </cell>
          <cell r="B745" t="str">
            <v>Леган</v>
          </cell>
          <cell r="C745" t="str">
            <v>ф/х</v>
          </cell>
          <cell r="D745" t="str">
            <v>Зафаробод</v>
          </cell>
          <cell r="E745" t="str">
            <v>Зафаробод</v>
          </cell>
          <cell r="F745">
            <v>14000</v>
          </cell>
          <cell r="I745">
            <v>12</v>
          </cell>
        </row>
        <row r="746">
          <cell r="A746">
            <v>60</v>
          </cell>
          <cell r="B746" t="str">
            <v>Мезон</v>
          </cell>
          <cell r="C746" t="str">
            <v>ф/х</v>
          </cell>
          <cell r="D746" t="str">
            <v>Зафаробод</v>
          </cell>
          <cell r="E746" t="str">
            <v>Зафаробод</v>
          </cell>
          <cell r="F746">
            <v>82900</v>
          </cell>
          <cell r="I746">
            <v>6</v>
          </cell>
        </row>
        <row r="747">
          <cell r="A747">
            <v>61</v>
          </cell>
          <cell r="B747" t="str">
            <v>Миролим</v>
          </cell>
          <cell r="C747" t="str">
            <v>ф/х</v>
          </cell>
          <cell r="D747" t="str">
            <v>Зафаробод</v>
          </cell>
          <cell r="E747" t="str">
            <v>Зафаробод</v>
          </cell>
          <cell r="F747">
            <v>117100</v>
          </cell>
          <cell r="I747">
            <v>13</v>
          </cell>
        </row>
        <row r="748">
          <cell r="A748">
            <v>62</v>
          </cell>
          <cell r="B748" t="str">
            <v>Назар ота</v>
          </cell>
          <cell r="C748" t="str">
            <v>ф/х</v>
          </cell>
          <cell r="D748" t="str">
            <v>Зафаробод</v>
          </cell>
          <cell r="E748" t="str">
            <v>Зафаробод</v>
          </cell>
          <cell r="F748">
            <v>91600</v>
          </cell>
          <cell r="I748">
            <v>14</v>
          </cell>
        </row>
        <row r="749">
          <cell r="A749">
            <v>63</v>
          </cell>
          <cell r="B749" t="str">
            <v>Нодирбек</v>
          </cell>
          <cell r="C749" t="str">
            <v>ф/х</v>
          </cell>
          <cell r="D749" t="str">
            <v>Зафаробод</v>
          </cell>
          <cell r="E749" t="str">
            <v>Зафаробод</v>
          </cell>
          <cell r="F749">
            <v>27300</v>
          </cell>
          <cell r="I749">
            <v>8</v>
          </cell>
        </row>
        <row r="750">
          <cell r="A750">
            <v>64</v>
          </cell>
          <cell r="B750" t="str">
            <v xml:space="preserve">Нурота </v>
          </cell>
          <cell r="C750" t="str">
            <v>ф/х</v>
          </cell>
          <cell r="D750" t="str">
            <v>Зафаробод</v>
          </cell>
          <cell r="E750" t="str">
            <v>Зафаробод</v>
          </cell>
          <cell r="F750">
            <v>91600</v>
          </cell>
          <cell r="I750">
            <v>8</v>
          </cell>
        </row>
        <row r="751">
          <cell r="A751">
            <v>65</v>
          </cell>
          <cell r="B751" t="str">
            <v>Обид-А</v>
          </cell>
          <cell r="C751" t="str">
            <v>ф/х</v>
          </cell>
          <cell r="D751" t="str">
            <v>Зафаробод</v>
          </cell>
          <cell r="E751" t="str">
            <v>Зафаробод</v>
          </cell>
          <cell r="F751">
            <v>28300</v>
          </cell>
          <cell r="I751">
            <v>11</v>
          </cell>
        </row>
        <row r="752">
          <cell r="A752">
            <v>66</v>
          </cell>
          <cell r="B752" t="str">
            <v>Олмозор</v>
          </cell>
          <cell r="C752" t="str">
            <v>ф/х</v>
          </cell>
          <cell r="D752" t="str">
            <v>Зафаробод</v>
          </cell>
          <cell r="E752" t="str">
            <v>Зафаробод</v>
          </cell>
          <cell r="F752">
            <v>80900</v>
          </cell>
          <cell r="I752">
            <v>6</v>
          </cell>
        </row>
        <row r="753">
          <cell r="A753">
            <v>67</v>
          </cell>
          <cell r="B753" t="str">
            <v>Пармон ота</v>
          </cell>
          <cell r="C753" t="str">
            <v>ф/х</v>
          </cell>
          <cell r="D753" t="str">
            <v>Зафаробод</v>
          </cell>
          <cell r="E753" t="str">
            <v>Зафаробод</v>
          </cell>
          <cell r="F753">
            <v>30900</v>
          </cell>
          <cell r="I753">
            <v>12</v>
          </cell>
        </row>
        <row r="754">
          <cell r="A754">
            <v>68</v>
          </cell>
          <cell r="B754" t="str">
            <v>Пахтазор</v>
          </cell>
          <cell r="C754" t="str">
            <v>ф/х</v>
          </cell>
          <cell r="D754" t="str">
            <v>Зафаробод</v>
          </cell>
          <cell r="E754" t="str">
            <v>Зафаробод</v>
          </cell>
          <cell r="F754">
            <v>56700</v>
          </cell>
          <cell r="I754">
            <v>12</v>
          </cell>
        </row>
        <row r="755">
          <cell r="A755">
            <v>69</v>
          </cell>
          <cell r="B755" t="str">
            <v>Сангшох</v>
          </cell>
          <cell r="C755" t="str">
            <v>ф/х</v>
          </cell>
          <cell r="D755" t="str">
            <v>Зафаробод</v>
          </cell>
          <cell r="E755" t="str">
            <v>Зафаробод</v>
          </cell>
          <cell r="F755">
            <v>27200</v>
          </cell>
          <cell r="I755">
            <v>13</v>
          </cell>
        </row>
        <row r="756">
          <cell r="A756">
            <v>70</v>
          </cell>
          <cell r="B756" t="str">
            <v>Сертомир</v>
          </cell>
          <cell r="C756" t="str">
            <v>ф/х</v>
          </cell>
          <cell r="D756" t="str">
            <v>Зафаробод</v>
          </cell>
          <cell r="E756" t="str">
            <v>Зафаробод</v>
          </cell>
          <cell r="F756">
            <v>75400</v>
          </cell>
          <cell r="I756">
            <v>10</v>
          </cell>
        </row>
        <row r="757">
          <cell r="A757">
            <v>71</v>
          </cell>
          <cell r="B757" t="str">
            <v>Симон-Дефо</v>
          </cell>
          <cell r="C757" t="str">
            <v>ф/х</v>
          </cell>
          <cell r="D757" t="str">
            <v>Зафаробод</v>
          </cell>
          <cell r="E757" t="str">
            <v>Зафаробод</v>
          </cell>
          <cell r="F757">
            <v>63000</v>
          </cell>
          <cell r="I757">
            <v>14</v>
          </cell>
        </row>
        <row r="758">
          <cell r="A758">
            <v>72</v>
          </cell>
          <cell r="B758" t="str">
            <v>Солин бургути</v>
          </cell>
          <cell r="C758" t="str">
            <v>ф/х</v>
          </cell>
          <cell r="D758" t="str">
            <v>Зафаробод</v>
          </cell>
          <cell r="E758" t="str">
            <v>Зафаробод</v>
          </cell>
          <cell r="F758">
            <v>41900</v>
          </cell>
          <cell r="I758">
            <v>14</v>
          </cell>
        </row>
        <row r="759">
          <cell r="A759">
            <v>73</v>
          </cell>
          <cell r="B759" t="str">
            <v>Танга топди</v>
          </cell>
          <cell r="C759" t="str">
            <v>ф/х</v>
          </cell>
          <cell r="D759" t="str">
            <v>Зафаробод</v>
          </cell>
          <cell r="E759" t="str">
            <v>Зафаробод</v>
          </cell>
          <cell r="F759">
            <v>54000</v>
          </cell>
          <cell r="I759">
            <v>10</v>
          </cell>
        </row>
        <row r="760">
          <cell r="A760">
            <v>74</v>
          </cell>
          <cell r="B760" t="str">
            <v>Тараккиёт товуши</v>
          </cell>
          <cell r="C760" t="str">
            <v>ф/х</v>
          </cell>
          <cell r="D760" t="str">
            <v>Зафаробод</v>
          </cell>
          <cell r="E760" t="str">
            <v>Зафаробод</v>
          </cell>
          <cell r="F760">
            <v>50000</v>
          </cell>
          <cell r="I760">
            <v>11</v>
          </cell>
        </row>
        <row r="761">
          <cell r="A761">
            <v>75</v>
          </cell>
          <cell r="B761" t="str">
            <v>Тохир</v>
          </cell>
          <cell r="C761" t="str">
            <v>ф/х</v>
          </cell>
          <cell r="D761" t="str">
            <v>Зафаробод</v>
          </cell>
          <cell r="E761" t="str">
            <v>Зафаробод</v>
          </cell>
          <cell r="F761">
            <v>51300</v>
          </cell>
          <cell r="I761">
            <v>12</v>
          </cell>
        </row>
        <row r="762">
          <cell r="A762">
            <v>76</v>
          </cell>
          <cell r="B762" t="str">
            <v>Тошбулок</v>
          </cell>
          <cell r="C762" t="str">
            <v>ф/х</v>
          </cell>
          <cell r="D762" t="str">
            <v>Зафаробод</v>
          </cell>
          <cell r="E762" t="str">
            <v>Зафаробод</v>
          </cell>
          <cell r="F762">
            <v>53000</v>
          </cell>
          <cell r="I762">
            <v>9</v>
          </cell>
        </row>
        <row r="763">
          <cell r="A763">
            <v>77</v>
          </cell>
          <cell r="B763" t="str">
            <v>Тошлок</v>
          </cell>
          <cell r="C763" t="str">
            <v>ф/х</v>
          </cell>
          <cell r="D763" t="str">
            <v>Зафаробод</v>
          </cell>
          <cell r="E763" t="str">
            <v>Зафаробод</v>
          </cell>
          <cell r="F763">
            <v>117400</v>
          </cell>
          <cell r="I763">
            <v>9</v>
          </cell>
        </row>
        <row r="764">
          <cell r="A764">
            <v>78</v>
          </cell>
          <cell r="B764" t="str">
            <v>Умар</v>
          </cell>
          <cell r="C764" t="str">
            <v>ф/х</v>
          </cell>
          <cell r="D764" t="str">
            <v>Зафаробод</v>
          </cell>
          <cell r="E764" t="str">
            <v>Зафаробод</v>
          </cell>
          <cell r="F764">
            <v>44200</v>
          </cell>
          <cell r="I764">
            <v>12</v>
          </cell>
        </row>
        <row r="765">
          <cell r="A765">
            <v>79</v>
          </cell>
          <cell r="B765" t="str">
            <v>Уч киз тоги</v>
          </cell>
          <cell r="C765" t="str">
            <v>ф/х</v>
          </cell>
          <cell r="D765" t="str">
            <v>Зафаробод</v>
          </cell>
          <cell r="E765" t="str">
            <v>Зафаробод</v>
          </cell>
          <cell r="F765">
            <v>29600</v>
          </cell>
          <cell r="I765">
            <v>6</v>
          </cell>
        </row>
        <row r="766">
          <cell r="A766">
            <v>80</v>
          </cell>
          <cell r="B766" t="str">
            <v>Учнор</v>
          </cell>
          <cell r="C766" t="str">
            <v>ф/х</v>
          </cell>
          <cell r="D766" t="str">
            <v>Зафаробод</v>
          </cell>
          <cell r="E766" t="str">
            <v>Зафаробод</v>
          </cell>
          <cell r="F766">
            <v>18100</v>
          </cell>
          <cell r="I766">
            <v>12</v>
          </cell>
        </row>
        <row r="767">
          <cell r="A767">
            <v>81</v>
          </cell>
          <cell r="B767" t="str">
            <v>Халил ота</v>
          </cell>
          <cell r="C767" t="str">
            <v>ф/х</v>
          </cell>
          <cell r="D767" t="str">
            <v>Зафаробод</v>
          </cell>
          <cell r="E767" t="str">
            <v>Зафаробод</v>
          </cell>
          <cell r="F767">
            <v>96800</v>
          </cell>
          <cell r="I767">
            <v>11</v>
          </cell>
        </row>
        <row r="768">
          <cell r="A768">
            <v>82</v>
          </cell>
          <cell r="B768" t="str">
            <v>Хидиросмон</v>
          </cell>
          <cell r="C768" t="str">
            <v>ф/х</v>
          </cell>
          <cell r="D768" t="str">
            <v>Зафаробод</v>
          </cell>
          <cell r="E768" t="str">
            <v>Зафаробод</v>
          </cell>
          <cell r="F768">
            <v>154700</v>
          </cell>
          <cell r="I768">
            <v>8</v>
          </cell>
        </row>
        <row r="769">
          <cell r="A769">
            <v>83</v>
          </cell>
          <cell r="B769" t="str">
            <v>Холик ота</v>
          </cell>
          <cell r="C769" t="str">
            <v>ф/х</v>
          </cell>
          <cell r="D769" t="str">
            <v>Зафаробод</v>
          </cell>
          <cell r="E769" t="str">
            <v>Зафаробод</v>
          </cell>
          <cell r="F769">
            <v>64100</v>
          </cell>
          <cell r="I769">
            <v>8</v>
          </cell>
        </row>
        <row r="770">
          <cell r="A770">
            <v>84</v>
          </cell>
          <cell r="B770" t="str">
            <v>Чинор</v>
          </cell>
          <cell r="C770" t="str">
            <v>ф/х</v>
          </cell>
          <cell r="D770" t="str">
            <v>Зафаробод</v>
          </cell>
          <cell r="E770" t="str">
            <v>Зафаробод</v>
          </cell>
          <cell r="F770">
            <v>50100</v>
          </cell>
          <cell r="I770">
            <v>12</v>
          </cell>
        </row>
        <row r="771">
          <cell r="A771">
            <v>85</v>
          </cell>
          <cell r="B771" t="str">
            <v>Шамсия</v>
          </cell>
          <cell r="C771" t="str">
            <v>ф/х</v>
          </cell>
          <cell r="D771" t="str">
            <v>Зафаробод</v>
          </cell>
          <cell r="E771" t="str">
            <v>Зафаробод</v>
          </cell>
          <cell r="F771">
            <v>74000</v>
          </cell>
          <cell r="I771">
            <v>8</v>
          </cell>
        </row>
        <row r="772">
          <cell r="A772">
            <v>86</v>
          </cell>
          <cell r="B772" t="str">
            <v>Шодибой ота</v>
          </cell>
          <cell r="C772" t="str">
            <v>ф/х</v>
          </cell>
          <cell r="D772" t="str">
            <v>Зафаробод</v>
          </cell>
          <cell r="E772" t="str">
            <v>Зафаробод</v>
          </cell>
          <cell r="F772">
            <v>33100</v>
          </cell>
          <cell r="I772">
            <v>8</v>
          </cell>
        </row>
        <row r="773">
          <cell r="A773">
            <v>87</v>
          </cell>
          <cell r="B773" t="str">
            <v>Шурбулок</v>
          </cell>
          <cell r="C773" t="str">
            <v>ф/х</v>
          </cell>
          <cell r="D773" t="str">
            <v>Зафаробод</v>
          </cell>
          <cell r="E773" t="str">
            <v>Зафаробод</v>
          </cell>
          <cell r="F773">
            <v>66500</v>
          </cell>
          <cell r="I773">
            <v>8</v>
          </cell>
        </row>
        <row r="774">
          <cell r="A774">
            <v>88</v>
          </cell>
          <cell r="B774" t="str">
            <v>Эркин</v>
          </cell>
          <cell r="C774" t="str">
            <v>ф/х</v>
          </cell>
          <cell r="D774" t="str">
            <v>Зафаробод</v>
          </cell>
          <cell r="E774" t="str">
            <v>Зафаробод</v>
          </cell>
          <cell r="F774">
            <v>57000</v>
          </cell>
          <cell r="I774">
            <v>7</v>
          </cell>
        </row>
        <row r="775">
          <cell r="A775">
            <v>89</v>
          </cell>
          <cell r="B775" t="str">
            <v>Юзбой суфи</v>
          </cell>
          <cell r="C775" t="str">
            <v>ф/х</v>
          </cell>
          <cell r="D775" t="str">
            <v>Зафаробод</v>
          </cell>
          <cell r="E775" t="str">
            <v>Зафаробод</v>
          </cell>
          <cell r="F775">
            <v>36900</v>
          </cell>
          <cell r="I775">
            <v>10</v>
          </cell>
        </row>
        <row r="776">
          <cell r="A776">
            <v>90</v>
          </cell>
          <cell r="B776" t="str">
            <v>Янгиобод-1</v>
          </cell>
          <cell r="C776" t="str">
            <v>ф/х</v>
          </cell>
          <cell r="D776" t="str">
            <v>Зафаробод</v>
          </cell>
          <cell r="E776" t="str">
            <v>Зафаробод</v>
          </cell>
          <cell r="F776">
            <v>21500</v>
          </cell>
          <cell r="I776">
            <v>11</v>
          </cell>
        </row>
        <row r="777">
          <cell r="A777">
            <v>45</v>
          </cell>
          <cell r="B777" t="str">
            <v>Бегзод-1</v>
          </cell>
          <cell r="C777" t="str">
            <v>б/т</v>
          </cell>
          <cell r="D777" t="str">
            <v>Зафаробод</v>
          </cell>
          <cell r="E777" t="str">
            <v>Зафаробод</v>
          </cell>
          <cell r="F777">
            <v>94200</v>
          </cell>
          <cell r="I777">
            <v>8</v>
          </cell>
        </row>
        <row r="778">
          <cell r="A778">
            <v>1</v>
          </cell>
          <cell r="B778" t="str">
            <v>Адирлик богида</v>
          </cell>
          <cell r="C778" t="str">
            <v>ф/х</v>
          </cell>
          <cell r="D778" t="str">
            <v>Беруний</v>
          </cell>
          <cell r="E778" t="str">
            <v>Зафаробод</v>
          </cell>
          <cell r="F778">
            <v>12600</v>
          </cell>
          <cell r="J778">
            <v>10</v>
          </cell>
        </row>
        <row r="779">
          <cell r="A779">
            <v>2</v>
          </cell>
          <cell r="B779" t="str">
            <v>Али-Абу-Бакир</v>
          </cell>
          <cell r="C779" t="str">
            <v>ф/х</v>
          </cell>
          <cell r="D779" t="str">
            <v>Беруний</v>
          </cell>
          <cell r="E779" t="str">
            <v>Зафаробод</v>
          </cell>
          <cell r="F779">
            <v>166300</v>
          </cell>
          <cell r="H779">
            <v>15</v>
          </cell>
        </row>
        <row r="780">
          <cell r="A780">
            <v>3</v>
          </cell>
          <cell r="B780" t="str">
            <v>Ахмат тадбиркор</v>
          </cell>
          <cell r="C780" t="str">
            <v>ф/х</v>
          </cell>
          <cell r="D780" t="str">
            <v>Беруний</v>
          </cell>
          <cell r="E780" t="str">
            <v>Зафаробод</v>
          </cell>
          <cell r="F780">
            <v>12100</v>
          </cell>
          <cell r="J780">
            <v>10</v>
          </cell>
        </row>
        <row r="781">
          <cell r="A781">
            <v>4</v>
          </cell>
          <cell r="B781" t="str">
            <v>Бахром Боллибоев</v>
          </cell>
          <cell r="C781" t="str">
            <v>ф/х</v>
          </cell>
          <cell r="D781" t="str">
            <v>Беруний</v>
          </cell>
          <cell r="E781" t="str">
            <v>Зафаробод</v>
          </cell>
          <cell r="F781">
            <v>12000</v>
          </cell>
          <cell r="J781">
            <v>8</v>
          </cell>
        </row>
        <row r="782">
          <cell r="A782">
            <v>5</v>
          </cell>
          <cell r="B782" t="str">
            <v>Бозорбой ота авлоди</v>
          </cell>
          <cell r="C782" t="str">
            <v>ф/х</v>
          </cell>
          <cell r="D782" t="str">
            <v>Беруний</v>
          </cell>
          <cell r="E782" t="str">
            <v>Зафаробод</v>
          </cell>
          <cell r="F782">
            <v>27000</v>
          </cell>
          <cell r="J782">
            <v>8</v>
          </cell>
        </row>
        <row r="783">
          <cell r="A783">
            <v>6</v>
          </cell>
          <cell r="B783" t="str">
            <v>Бурхон бобо</v>
          </cell>
          <cell r="C783" t="str">
            <v>ф/х</v>
          </cell>
          <cell r="D783" t="str">
            <v>Беруний</v>
          </cell>
          <cell r="E783" t="str">
            <v>Зафаробод</v>
          </cell>
          <cell r="F783">
            <v>35300</v>
          </cell>
          <cell r="J783">
            <v>12</v>
          </cell>
        </row>
        <row r="784">
          <cell r="A784">
            <v>7</v>
          </cell>
          <cell r="B784" t="str">
            <v>Гайратбек-Султон</v>
          </cell>
          <cell r="C784" t="str">
            <v>ф/х</v>
          </cell>
          <cell r="D784" t="str">
            <v>Беруний</v>
          </cell>
          <cell r="E784" t="str">
            <v>Зафаробод</v>
          </cell>
          <cell r="F784">
            <v>27900</v>
          </cell>
          <cell r="J784">
            <v>8</v>
          </cell>
        </row>
        <row r="785">
          <cell r="A785">
            <v>8</v>
          </cell>
          <cell r="B785" t="str">
            <v>Гайрат-Жавохир</v>
          </cell>
          <cell r="C785" t="str">
            <v>ф/х</v>
          </cell>
          <cell r="D785" t="str">
            <v>Беруний</v>
          </cell>
          <cell r="E785" t="str">
            <v>Зафаробод</v>
          </cell>
          <cell r="F785">
            <v>18500</v>
          </cell>
          <cell r="J785">
            <v>12</v>
          </cell>
        </row>
        <row r="786">
          <cell r="A786">
            <v>9</v>
          </cell>
          <cell r="B786" t="str">
            <v>Ганишер</v>
          </cell>
          <cell r="C786" t="str">
            <v>ф/х</v>
          </cell>
          <cell r="D786" t="str">
            <v>Беруний</v>
          </cell>
          <cell r="E786" t="str">
            <v>Зафаробод</v>
          </cell>
          <cell r="F786">
            <v>8300</v>
          </cell>
          <cell r="J786">
            <v>14</v>
          </cell>
        </row>
        <row r="787">
          <cell r="A787">
            <v>10</v>
          </cell>
          <cell r="B787" t="str">
            <v>Жавшар ота</v>
          </cell>
          <cell r="C787" t="str">
            <v>ф/х</v>
          </cell>
          <cell r="D787" t="str">
            <v>Беруний</v>
          </cell>
          <cell r="E787" t="str">
            <v>Зафаробод</v>
          </cell>
          <cell r="F787">
            <v>22700</v>
          </cell>
          <cell r="J787">
            <v>5</v>
          </cell>
        </row>
        <row r="788">
          <cell r="A788">
            <v>11</v>
          </cell>
          <cell r="B788" t="str">
            <v>Зайниддин-Дилшод</v>
          </cell>
          <cell r="C788" t="str">
            <v>ф/х</v>
          </cell>
          <cell r="D788" t="str">
            <v>Беруний</v>
          </cell>
          <cell r="E788" t="str">
            <v>Зафаробод</v>
          </cell>
          <cell r="F788">
            <v>14200</v>
          </cell>
          <cell r="J788">
            <v>6</v>
          </cell>
        </row>
        <row r="789">
          <cell r="A789">
            <v>12</v>
          </cell>
          <cell r="B789" t="str">
            <v>Илмира-Шахзода</v>
          </cell>
          <cell r="C789" t="str">
            <v>ф/х</v>
          </cell>
          <cell r="D789" t="str">
            <v>Беруний</v>
          </cell>
          <cell r="E789" t="str">
            <v>Зафаробод</v>
          </cell>
          <cell r="F789">
            <v>8100</v>
          </cell>
          <cell r="J789">
            <v>10</v>
          </cell>
        </row>
        <row r="790">
          <cell r="A790">
            <v>13</v>
          </cell>
          <cell r="B790" t="str">
            <v>Камар Курбонов</v>
          </cell>
          <cell r="C790" t="str">
            <v>ф/х</v>
          </cell>
          <cell r="D790" t="str">
            <v>Беруний</v>
          </cell>
          <cell r="E790" t="str">
            <v>Зафаробод</v>
          </cell>
          <cell r="F790">
            <v>9800</v>
          </cell>
          <cell r="J790">
            <v>14</v>
          </cell>
        </row>
        <row r="791">
          <cell r="A791">
            <v>14</v>
          </cell>
          <cell r="B791" t="str">
            <v>Камол ота</v>
          </cell>
          <cell r="C791" t="str">
            <v>ф/х</v>
          </cell>
          <cell r="D791" t="str">
            <v>Беруний</v>
          </cell>
          <cell r="E791" t="str">
            <v>Зафаробод</v>
          </cell>
          <cell r="F791">
            <v>11400</v>
          </cell>
          <cell r="J791">
            <v>12</v>
          </cell>
        </row>
        <row r="792">
          <cell r="A792">
            <v>15</v>
          </cell>
          <cell r="B792" t="str">
            <v>Кенг-кирра</v>
          </cell>
          <cell r="C792" t="str">
            <v>ф/х</v>
          </cell>
          <cell r="D792" t="str">
            <v>Беруний</v>
          </cell>
          <cell r="E792" t="str">
            <v>Зафаробод</v>
          </cell>
          <cell r="F792">
            <v>19400</v>
          </cell>
          <cell r="J792">
            <v>10</v>
          </cell>
        </row>
        <row r="793">
          <cell r="A793">
            <v>16</v>
          </cell>
          <cell r="B793" t="str">
            <v>Кили буйи</v>
          </cell>
          <cell r="C793" t="str">
            <v>ф/х</v>
          </cell>
          <cell r="D793" t="str">
            <v>Беруний</v>
          </cell>
          <cell r="E793" t="str">
            <v>Зафаробод</v>
          </cell>
          <cell r="F793">
            <v>37800</v>
          </cell>
          <cell r="J793">
            <v>6</v>
          </cell>
        </row>
        <row r="794">
          <cell r="A794">
            <v>17</v>
          </cell>
          <cell r="B794" t="str">
            <v>Клара-Рохмонкул кизи</v>
          </cell>
          <cell r="C794" t="str">
            <v>ф/х</v>
          </cell>
          <cell r="D794" t="str">
            <v>Беруний</v>
          </cell>
          <cell r="E794" t="str">
            <v>Зафаробод</v>
          </cell>
          <cell r="F794">
            <v>14600</v>
          </cell>
          <cell r="J794">
            <v>8</v>
          </cell>
        </row>
        <row r="795">
          <cell r="A795">
            <v>18</v>
          </cell>
          <cell r="B795" t="str">
            <v>Конжиголи</v>
          </cell>
          <cell r="C795" t="str">
            <v>ф/х</v>
          </cell>
          <cell r="D795" t="str">
            <v>Беруний</v>
          </cell>
          <cell r="E795" t="str">
            <v>Зафаробод</v>
          </cell>
          <cell r="F795">
            <v>28000</v>
          </cell>
          <cell r="J795">
            <v>8</v>
          </cell>
        </row>
        <row r="796">
          <cell r="A796">
            <v>19</v>
          </cell>
          <cell r="B796" t="str">
            <v>Коплонбек-Болибек</v>
          </cell>
          <cell r="C796" t="str">
            <v>ф/х</v>
          </cell>
          <cell r="D796" t="str">
            <v>Беруний</v>
          </cell>
          <cell r="E796" t="str">
            <v>Зафаробод</v>
          </cell>
          <cell r="F796">
            <v>66000</v>
          </cell>
          <cell r="J796">
            <v>10</v>
          </cell>
        </row>
        <row r="797">
          <cell r="A797">
            <v>20</v>
          </cell>
          <cell r="B797" t="str">
            <v>Кувнок ота</v>
          </cell>
          <cell r="C797" t="str">
            <v>ф/х</v>
          </cell>
          <cell r="D797" t="str">
            <v>Беруний</v>
          </cell>
          <cell r="E797" t="str">
            <v>Зафаробод</v>
          </cell>
          <cell r="F797">
            <v>16200</v>
          </cell>
          <cell r="J797">
            <v>8</v>
          </cell>
        </row>
        <row r="798">
          <cell r="A798">
            <v>21</v>
          </cell>
          <cell r="B798" t="str">
            <v>Куш кир-Дукур сой</v>
          </cell>
          <cell r="C798" t="str">
            <v>ф/х</v>
          </cell>
          <cell r="D798" t="str">
            <v>Беруний</v>
          </cell>
          <cell r="E798" t="str">
            <v>Зафаробод</v>
          </cell>
          <cell r="F798">
            <v>28900</v>
          </cell>
          <cell r="J798">
            <v>12</v>
          </cell>
        </row>
        <row r="799">
          <cell r="A799">
            <v>22</v>
          </cell>
          <cell r="B799" t="str">
            <v>Марат-Миржалол</v>
          </cell>
          <cell r="C799" t="str">
            <v>ф/х</v>
          </cell>
          <cell r="D799" t="str">
            <v>Беруний</v>
          </cell>
          <cell r="E799" t="str">
            <v>Зафаробод</v>
          </cell>
          <cell r="F799">
            <v>24200</v>
          </cell>
          <cell r="J799">
            <v>8</v>
          </cell>
        </row>
        <row r="800">
          <cell r="A800">
            <v>23</v>
          </cell>
          <cell r="B800" t="str">
            <v>Махаммат ота авлоди</v>
          </cell>
          <cell r="C800" t="str">
            <v>ф/х</v>
          </cell>
          <cell r="D800" t="str">
            <v>Беруний</v>
          </cell>
          <cell r="E800" t="str">
            <v>Зафаробод</v>
          </cell>
          <cell r="F800">
            <v>9200</v>
          </cell>
          <cell r="J800">
            <v>11</v>
          </cell>
        </row>
        <row r="801">
          <cell r="A801">
            <v>24</v>
          </cell>
          <cell r="B801" t="str">
            <v>Наката</v>
          </cell>
          <cell r="C801" t="str">
            <v>ф/х</v>
          </cell>
          <cell r="D801" t="str">
            <v>Беруний</v>
          </cell>
          <cell r="E801" t="str">
            <v>Зафаробод</v>
          </cell>
          <cell r="F801">
            <v>25100</v>
          </cell>
          <cell r="J801">
            <v>12</v>
          </cell>
        </row>
        <row r="802">
          <cell r="A802">
            <v>25</v>
          </cell>
          <cell r="B802" t="str">
            <v>Нозин-Наргиз</v>
          </cell>
          <cell r="C802" t="str">
            <v>ф/х</v>
          </cell>
          <cell r="D802" t="str">
            <v>Беруний</v>
          </cell>
          <cell r="E802" t="str">
            <v>Зафаробод</v>
          </cell>
          <cell r="F802">
            <v>15700</v>
          </cell>
          <cell r="J802">
            <v>14</v>
          </cell>
        </row>
        <row r="803">
          <cell r="A803">
            <v>26</v>
          </cell>
          <cell r="B803" t="str">
            <v>Озод куш самода</v>
          </cell>
          <cell r="C803" t="str">
            <v>ф/х</v>
          </cell>
          <cell r="D803" t="str">
            <v>Беруний</v>
          </cell>
          <cell r="E803" t="str">
            <v>Зафаробод</v>
          </cell>
          <cell r="F803">
            <v>25300</v>
          </cell>
          <cell r="J803">
            <v>12</v>
          </cell>
        </row>
        <row r="804">
          <cell r="A804">
            <v>27</v>
          </cell>
          <cell r="B804" t="str">
            <v xml:space="preserve">Прим-Ёкуббек </v>
          </cell>
          <cell r="C804" t="str">
            <v>ф/х</v>
          </cell>
          <cell r="D804" t="str">
            <v>Беруний</v>
          </cell>
          <cell r="E804" t="str">
            <v>Зафаробод</v>
          </cell>
          <cell r="F804">
            <v>14700</v>
          </cell>
          <cell r="J804">
            <v>8</v>
          </cell>
        </row>
        <row r="805">
          <cell r="A805">
            <v>28</v>
          </cell>
          <cell r="B805" t="str">
            <v>Сайдулхон-Олим</v>
          </cell>
          <cell r="C805" t="str">
            <v>ф/х</v>
          </cell>
          <cell r="D805" t="str">
            <v>Беруний</v>
          </cell>
          <cell r="E805" t="str">
            <v>Зафаробод</v>
          </cell>
          <cell r="F805">
            <v>17400</v>
          </cell>
          <cell r="J805">
            <v>15</v>
          </cell>
        </row>
        <row r="806">
          <cell r="A806">
            <v>29</v>
          </cell>
          <cell r="B806" t="str">
            <v>Тошкудук ота</v>
          </cell>
          <cell r="C806" t="str">
            <v>ф/х</v>
          </cell>
          <cell r="D806" t="str">
            <v>Беруний</v>
          </cell>
          <cell r="E806" t="str">
            <v>Зафаробод</v>
          </cell>
          <cell r="F806">
            <v>18400</v>
          </cell>
          <cell r="J806">
            <v>12</v>
          </cell>
        </row>
        <row r="807">
          <cell r="A807">
            <v>30</v>
          </cell>
          <cell r="B807" t="str">
            <v>Тухтахон-Элбос</v>
          </cell>
          <cell r="C807" t="str">
            <v>ф/х</v>
          </cell>
          <cell r="D807" t="str">
            <v>Беруний</v>
          </cell>
          <cell r="E807" t="str">
            <v>Зафаробод</v>
          </cell>
          <cell r="F807">
            <v>13100</v>
          </cell>
          <cell r="J807">
            <v>8</v>
          </cell>
        </row>
        <row r="808">
          <cell r="A808">
            <v>31</v>
          </cell>
          <cell r="B808" t="str">
            <v>Умиджон Синдаров</v>
          </cell>
          <cell r="C808" t="str">
            <v>ф/х</v>
          </cell>
          <cell r="D808" t="str">
            <v>Беруний</v>
          </cell>
          <cell r="E808" t="str">
            <v>Зафаробод</v>
          </cell>
          <cell r="F808">
            <v>14900</v>
          </cell>
          <cell r="J808">
            <v>13</v>
          </cell>
        </row>
        <row r="809">
          <cell r="A809">
            <v>32</v>
          </cell>
          <cell r="B809" t="str">
            <v>Урол-Достон</v>
          </cell>
          <cell r="C809" t="str">
            <v>ф/х</v>
          </cell>
          <cell r="D809" t="str">
            <v>Беруний</v>
          </cell>
          <cell r="E809" t="str">
            <v>Зафаробод</v>
          </cell>
          <cell r="F809">
            <v>21900</v>
          </cell>
          <cell r="J809">
            <v>12</v>
          </cell>
        </row>
        <row r="810">
          <cell r="A810">
            <v>33</v>
          </cell>
          <cell r="B810" t="str">
            <v>Фазлиддин Аблакимов</v>
          </cell>
          <cell r="C810" t="str">
            <v>ф/х</v>
          </cell>
          <cell r="D810" t="str">
            <v>Беруний</v>
          </cell>
          <cell r="E810" t="str">
            <v>Зафаробод</v>
          </cell>
          <cell r="F810">
            <v>12000</v>
          </cell>
          <cell r="J810">
            <v>10</v>
          </cell>
        </row>
        <row r="811">
          <cell r="A811">
            <v>34</v>
          </cell>
          <cell r="B811" t="str">
            <v>Хайдар кул буйи</v>
          </cell>
          <cell r="C811" t="str">
            <v>ф/х</v>
          </cell>
          <cell r="D811" t="str">
            <v>Беруний</v>
          </cell>
          <cell r="E811" t="str">
            <v>Зафаробод</v>
          </cell>
          <cell r="F811">
            <v>22800</v>
          </cell>
          <cell r="J811">
            <v>12</v>
          </cell>
        </row>
        <row r="812">
          <cell r="A812">
            <v>35</v>
          </cell>
          <cell r="B812" t="str">
            <v>Хилол</v>
          </cell>
          <cell r="C812" t="str">
            <v>ф/х</v>
          </cell>
          <cell r="D812" t="str">
            <v>Беруний</v>
          </cell>
          <cell r="E812" t="str">
            <v>Зафаробод</v>
          </cell>
          <cell r="F812">
            <v>74600</v>
          </cell>
          <cell r="J812">
            <v>13</v>
          </cell>
        </row>
        <row r="813">
          <cell r="A813">
            <v>36</v>
          </cell>
          <cell r="B813" t="str">
            <v>Хиссиёт</v>
          </cell>
          <cell r="C813" t="str">
            <v>ф/х</v>
          </cell>
          <cell r="D813" t="str">
            <v>Беруний</v>
          </cell>
          <cell r="E813" t="str">
            <v>Зафаробод</v>
          </cell>
          <cell r="F813">
            <v>10800</v>
          </cell>
          <cell r="J813">
            <v>5</v>
          </cell>
        </row>
        <row r="814">
          <cell r="A814">
            <v>37</v>
          </cell>
          <cell r="B814" t="str">
            <v>Хорун- Ар-Рашид</v>
          </cell>
          <cell r="C814" t="str">
            <v>ф/х</v>
          </cell>
          <cell r="D814" t="str">
            <v>Беруний</v>
          </cell>
          <cell r="E814" t="str">
            <v>Зафаробод</v>
          </cell>
          <cell r="F814">
            <v>9100</v>
          </cell>
          <cell r="J814">
            <v>5</v>
          </cell>
        </row>
        <row r="815">
          <cell r="A815">
            <v>38</v>
          </cell>
          <cell r="B815" t="str">
            <v>Хосилбек-Камол</v>
          </cell>
          <cell r="C815" t="str">
            <v>ф/х</v>
          </cell>
          <cell r="D815" t="str">
            <v>Беруний</v>
          </cell>
          <cell r="E815" t="str">
            <v>Зафаробод</v>
          </cell>
          <cell r="F815">
            <v>14400</v>
          </cell>
          <cell r="J815">
            <v>3</v>
          </cell>
        </row>
        <row r="816">
          <cell r="A816">
            <v>39</v>
          </cell>
          <cell r="B816" t="str">
            <v>Шерпанжа</v>
          </cell>
          <cell r="C816" t="str">
            <v>ф/х</v>
          </cell>
          <cell r="D816" t="str">
            <v>Беруний</v>
          </cell>
          <cell r="E816" t="str">
            <v>Зафаробод</v>
          </cell>
          <cell r="F816">
            <v>9400</v>
          </cell>
          <cell r="J816">
            <v>5</v>
          </cell>
        </row>
        <row r="817">
          <cell r="A817">
            <v>40</v>
          </cell>
          <cell r="B817" t="str">
            <v>Ширин-1</v>
          </cell>
          <cell r="C817" t="str">
            <v>ф/х</v>
          </cell>
          <cell r="D817" t="str">
            <v>Беруний</v>
          </cell>
          <cell r="E817" t="str">
            <v>Зафаробод</v>
          </cell>
          <cell r="F817">
            <v>16700</v>
          </cell>
          <cell r="J817">
            <v>7</v>
          </cell>
        </row>
        <row r="818">
          <cell r="A818">
            <v>41</v>
          </cell>
          <cell r="B818" t="str">
            <v>Шох Усмонлик-Элёр</v>
          </cell>
          <cell r="C818" t="str">
            <v>ф/х</v>
          </cell>
          <cell r="D818" t="str">
            <v>Беруний</v>
          </cell>
          <cell r="E818" t="str">
            <v>Зафаробод</v>
          </cell>
          <cell r="F818">
            <v>17400</v>
          </cell>
          <cell r="J818">
            <v>3</v>
          </cell>
        </row>
        <row r="819">
          <cell r="J819">
            <v>17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  <sheetName val="фориш_свод"/>
      <sheetName val="Фориш_2003"/>
      <sheetName val="Жиззах_янги_раз"/>
      <sheetName val="Зан-ть(р-ны)"/>
      <sheetName val="БД"/>
    </sheetNames>
    <sheetDataSet>
      <sheetData sheetId="0">
        <row r="4">
          <cell r="O4">
            <v>67.099999999999994</v>
          </cell>
        </row>
      </sheetData>
      <sheetData sheetId="1"/>
      <sheetData sheetId="2"/>
      <sheetData sheetId="3"/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/>
      <sheetData sheetId="9">
        <row r="4">
          <cell r="O4">
            <v>67.099999999999994</v>
          </cell>
        </row>
      </sheetData>
      <sheetData sheetId="10">
        <row r="4">
          <cell r="O4">
            <v>67.099999999999994</v>
          </cell>
        </row>
      </sheetData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URGDSPL"/>
      <sheetName val="Ер Ресурс"/>
      <sheetName val="оборот"/>
      <sheetName val="фориш_свод"/>
      <sheetName val="Фориш_2003"/>
      <sheetName val="Жиззах_янги_раз"/>
      <sheetName val="Ер_Ресурс"/>
      <sheetName val="База"/>
    </sheetNames>
    <sheetDataSet>
      <sheetData sheetId="0"/>
      <sheetData sheetId="1"/>
      <sheetData sheetId="2"/>
      <sheetData sheetId="3"/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>
        <row r="4">
          <cell r="O4">
            <v>67.099999999999994</v>
          </cell>
        </row>
      </sheetData>
      <sheetData sheetId="11">
        <row r="4">
          <cell r="O4">
            <v>67.099999999999994</v>
          </cell>
        </row>
      </sheetData>
      <sheetData sheetId="12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 учете"/>
      <sheetName val="Раб.места"/>
      <sheetName val="Перепод."/>
      <sheetName val="Общ.работ."/>
      <sheetName val="Зан-ть(р-ны)"/>
      <sheetName val="Фориш 2003"/>
      <sheetName val="Ер Ресурс"/>
      <sheetName val="На_учете"/>
      <sheetName val="Раб_места"/>
      <sheetName val="Перепод_"/>
      <sheetName val="Общ_работ_"/>
      <sheetName val="Фориш_2003"/>
      <sheetName val="Ер_Ресурс"/>
      <sheetName val="режа"/>
    </sheetNames>
    <sheetDataSet>
      <sheetData sheetId="0"/>
      <sheetData sheetId="1"/>
      <sheetData sheetId="2"/>
      <sheetData sheetId="3"/>
      <sheetData sheetId="4">
        <row r="5">
          <cell r="E5" t="str">
            <v>в том числе</v>
          </cell>
        </row>
      </sheetData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gjnht, rjhpbyf"/>
      <sheetName val="Варианты"/>
      <sheetName val="Фориш 2003"/>
      <sheetName val="URGDSPL"/>
      <sheetName val="Лист1"/>
      <sheetName val="효율계획(당월)"/>
      <sheetName val="gjnht,_rjhpbyf"/>
      <sheetName val="Фориш_2003"/>
      <sheetName val="Results"/>
      <sheetName val="Store"/>
      <sheetName val="Трест02-28факт "/>
      <sheetName val="Зан-ть(р-ны)"/>
      <sheetName val="Тахлил туловчи"/>
      <sheetName val="BESHKENT"/>
      <sheetName val="физ.тон"/>
      <sheetName val="режа"/>
      <sheetName val="????(??)"/>
      <sheetName val="Прогноз"/>
      <sheetName val="Ер Ресурс"/>
      <sheetName val="Массив"/>
      <sheetName val="Курс"/>
      <sheetName val="Топливо-энергия"/>
      <sheetName val="____(__)"/>
      <sheetName val="gjnht,_rjhpbyf1"/>
      <sheetName val="Фориш_20031"/>
      <sheetName val="Трест02-28факт_"/>
      <sheetName val="Тахлил_туловчи"/>
      <sheetName val="gjnht,_rjhpbyf2"/>
      <sheetName val="Фориш_20032"/>
      <sheetName val="Трест02-28факт_1"/>
      <sheetName val="Тахлил_туловчи1"/>
      <sheetName val="физ_тон"/>
      <sheetName val="Ер_Ресурс"/>
      <sheetName val="gjnht,_rjhpbyf4"/>
      <sheetName val="Фориш_20034"/>
      <sheetName val="Трест02-28факт_3"/>
      <sheetName val="Тахлил_туловчи3"/>
      <sheetName val="физ_тон2"/>
      <sheetName val="Ер_Ресурс2"/>
      <sheetName val="gjnht,_rjhpbyf3"/>
      <sheetName val="Фориш_20033"/>
      <sheetName val="Трест02-28факт_2"/>
      <sheetName val="Тахлил_туловчи2"/>
      <sheetName val="физ_тон1"/>
      <sheetName val="Ер_Ресурс1"/>
      <sheetName val="жиззах янги раз"/>
      <sheetName val="gjnht,_rjhpbyf5"/>
      <sheetName val="Фориш_20035"/>
      <sheetName val="Трест02-28факт_4"/>
      <sheetName val="Тахлил_туловчи4"/>
      <sheetName val="физ_тон3"/>
      <sheetName val="Ер_Ресурс3"/>
      <sheetName val="жиззах_янги_раз"/>
      <sheetName val="KAT2344"/>
      <sheetName val="ГТК_Минфин_факт"/>
      <sheetName val="База"/>
      <sheetName val="для ГАКа"/>
      <sheetName val="Data input"/>
      <sheetName val="gjnht,_rjhpbyf6"/>
      <sheetName val="Фориш_20036"/>
      <sheetName val="Трест02-28факт_5"/>
      <sheetName val="Тахлил_туловчи5"/>
      <sheetName val="физ_тон4"/>
      <sheetName val="Ер_Ресурс4"/>
      <sheetName val="жиззах_янги_раз1"/>
      <sheetName val="для_ГАКа1"/>
      <sheetName val="для_ГАКа"/>
      <sheetName val="gjnht,_rjhpbyf7"/>
      <sheetName val="Фориш_20037"/>
      <sheetName val="Трест02-28факт_6"/>
      <sheetName val="Тахлил_туловчи6"/>
      <sheetName val="физ_тон5"/>
      <sheetName val="Ер_Ресурс5"/>
      <sheetName val="оборот"/>
      <sheetName val="ВВО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Ёг рус"/>
      <sheetName val="АКЦИЗ рус"/>
      <sheetName val="АКЦИЗ"/>
      <sheetName val="янв"/>
      <sheetName val="фев"/>
      <sheetName val="март"/>
      <sheetName val="апр"/>
      <sheetName val="май"/>
      <sheetName val="июнь"/>
      <sheetName val="июль"/>
      <sheetName val="авг"/>
      <sheetName val="Сент"/>
      <sheetName val="Окт"/>
      <sheetName val="Ноя"/>
      <sheetName val="c"/>
      <sheetName val="оборот"/>
      <sheetName val="Зан-ть(р-ны)"/>
      <sheetName val="Фориш 2003"/>
      <sheetName val="Ёг_рус"/>
      <sheetName val="АКЦИЗ_рус"/>
      <sheetName val="Фориш_2003"/>
      <sheetName val="Prog. rost tarifov"/>
      <sheetName val="для ГАКа"/>
      <sheetName val="Results"/>
      <sheetName val="отчет_ЁГ_2003"/>
      <sheetName val="Доход 2008"/>
      <sheetName val="Варианты"/>
      <sheetName val="Лист1 (2)"/>
      <sheetName val="База 23.10.2020"/>
      <sheetName val="Алохида"/>
      <sheetName val="график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  <sheetName val="Тохирбек 2003-1"/>
      <sheetName val="Ер Ресурс"/>
      <sheetName val="МФО руйхат"/>
      <sheetName val="оборот"/>
      <sheetName val="Банклар"/>
      <sheetName val="c"/>
      <sheetName val="Зан-ть(р-ны)"/>
      <sheetName val="Results"/>
      <sheetName val="Tit"/>
      <sheetName val="январь ойи"/>
      <sheetName val="Analysis of Interest"/>
      <sheetName val="фев"/>
      <sheetName val="фориш_свод"/>
      <sheetName val="Фориш_2003"/>
      <sheetName val="Жиззах_янги_раз"/>
      <sheetName val="Тохирбек_2003-1"/>
      <sheetName val="Ер_Ресурс"/>
      <sheetName val="МФО_руйхат"/>
      <sheetName val="январь_ойи"/>
      <sheetName val="Analysis_of_Interest"/>
      <sheetName val="максади"/>
      <sheetName val="Худуд"/>
      <sheetName val="ПАСТДАРГОМ (2)"/>
      <sheetName val="PV6 3.5L LX5 GMX170"/>
      <sheetName val="фориш_свод1"/>
      <sheetName val="Фориш_20031"/>
      <sheetName val="Жиззах_янги_раз1"/>
      <sheetName val="Тохирбек_2003-11"/>
      <sheetName val="МФО_руйхат1"/>
      <sheetName val="Ер_Ресурс1"/>
      <sheetName val="январь_ойи1"/>
      <sheetName val="Analysis_of_Interest1"/>
      <sheetName val="ПАСТДАРГОМ_(2)"/>
      <sheetName val="Варианты"/>
      <sheetName val="BAL"/>
      <sheetName val="фориш_свод2"/>
      <sheetName val="Фориш_20032"/>
      <sheetName val="Жиззах_янги_раз2"/>
      <sheetName val="Тохирбек_2003-12"/>
      <sheetName val="МФО_руйхат2"/>
      <sheetName val="Ер_Ресурс2"/>
      <sheetName val="январь_ойи2"/>
      <sheetName val="Analysis_of_Interest2"/>
      <sheetName val="ПАСТДАРГОМ_(2)1"/>
      <sheetName val="PV6_3_5L_LX5_GMX170"/>
      <sheetName val="фориш_свод3"/>
      <sheetName val="Фориш_20033"/>
      <sheetName val="Жиззах_янги_раз3"/>
      <sheetName val="Тохирбек_2003-13"/>
      <sheetName val="Ер_Ресурс3"/>
      <sheetName val="МФО_руйхат3"/>
      <sheetName val="январь_ойи3"/>
      <sheetName val="Analysis_of_Interest3"/>
      <sheetName val="ПАСТДАРГОМ_(2)2"/>
      <sheetName val="PV6_3_5L_LX5_GMX1701"/>
      <sheetName val="фориш_свод4"/>
      <sheetName val="Фориш_20034"/>
      <sheetName val="Жиззах_янги_раз4"/>
      <sheetName val="Тохирбек_2003-14"/>
      <sheetName val="Ер_Ресурс4"/>
      <sheetName val="МФО_руйхат4"/>
      <sheetName val="январь_ойи4"/>
      <sheetName val="Analysis_of_Interest4"/>
      <sheetName val="ПАСТДАРГОМ_(2)3"/>
      <sheetName val="PV6_3_5L_LX5_GMX1702"/>
      <sheetName val="21 шакл"/>
      <sheetName val="курс"/>
      <sheetName val="инф"/>
      <sheetName val="#ССЫЛКА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4">
          <cell r="O4">
            <v>67.099999999999994</v>
          </cell>
        </row>
      </sheetData>
      <sheetData sheetId="21">
        <row r="4">
          <cell r="O4">
            <v>67.099999999999994</v>
          </cell>
        </row>
      </sheetData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>
        <row r="4">
          <cell r="O4">
            <v>67.099999999999994</v>
          </cell>
        </row>
      </sheetData>
      <sheetData sheetId="25">
        <row r="4">
          <cell r="O4">
            <v>67.099999999999994</v>
          </cell>
        </row>
      </sheetData>
      <sheetData sheetId="26">
        <row r="4">
          <cell r="O4">
            <v>67.099999999999994</v>
          </cell>
        </row>
      </sheetData>
      <sheetData sheetId="27">
        <row r="4">
          <cell r="O4">
            <v>67.099999999999994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O4">
            <v>67.099999999999994</v>
          </cell>
        </row>
      </sheetData>
      <sheetData sheetId="34">
        <row r="4">
          <cell r="O4">
            <v>67.099999999999994</v>
          </cell>
        </row>
      </sheetData>
      <sheetData sheetId="35">
        <row r="4">
          <cell r="O4">
            <v>67.099999999999994</v>
          </cell>
        </row>
      </sheetData>
      <sheetData sheetId="36">
        <row r="4">
          <cell r="O4">
            <v>67.099999999999994</v>
          </cell>
        </row>
      </sheetData>
      <sheetData sheetId="37">
        <row r="4">
          <cell r="O4">
            <v>67.099999999999994</v>
          </cell>
        </row>
      </sheetData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 refreshError="1"/>
      <sheetData sheetId="42" refreshError="1"/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>
        <row r="4">
          <cell r="O4">
            <v>67.099999999999994</v>
          </cell>
        </row>
      </sheetData>
      <sheetData sheetId="47">
        <row r="4">
          <cell r="O4">
            <v>67.099999999999994</v>
          </cell>
        </row>
      </sheetData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>
        <row r="4">
          <cell r="O4">
            <v>67.099999999999994</v>
          </cell>
        </row>
      </sheetData>
      <sheetData sheetId="53">
        <row r="4">
          <cell r="O4">
            <v>67.099999999999994</v>
          </cell>
        </row>
      </sheetData>
      <sheetData sheetId="54">
        <row r="4">
          <cell r="O4">
            <v>67.099999999999994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>
        <row r="4">
          <cell r="O4">
            <v>67.099999999999994</v>
          </cell>
        </row>
      </sheetData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>
        <row r="4">
          <cell r="O4">
            <v>67.099999999999994</v>
          </cell>
        </row>
      </sheetData>
      <sheetData sheetId="67">
        <row r="4">
          <cell r="O4">
            <v>67.099999999999994</v>
          </cell>
        </row>
      </sheetData>
      <sheetData sheetId="68">
        <row r="4">
          <cell r="O4">
            <v>67.099999999999994</v>
          </cell>
        </row>
      </sheetData>
      <sheetData sheetId="69">
        <row r="4">
          <cell r="O4">
            <v>67.099999999999994</v>
          </cell>
        </row>
      </sheetData>
      <sheetData sheetId="70">
        <row r="4">
          <cell r="O4">
            <v>67.099999999999994</v>
          </cell>
        </row>
      </sheetData>
      <sheetData sheetId="71">
        <row r="4">
          <cell r="O4">
            <v>67.099999999999994</v>
          </cell>
        </row>
      </sheetData>
      <sheetData sheetId="72">
        <row r="4">
          <cell r="O4">
            <v>67.099999999999994</v>
          </cell>
        </row>
      </sheetData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 учете"/>
      <sheetName val="Раб.места"/>
      <sheetName val="Перепод."/>
      <sheetName val="Общ.работ."/>
      <sheetName val="Зан-ть(р-ны)"/>
      <sheetName val="Фориш 2003"/>
      <sheetName val="фев"/>
      <sheetName val="KAT2344"/>
      <sheetName val="На_учете"/>
      <sheetName val="Раб_места"/>
      <sheetName val="Перепод_"/>
      <sheetName val="Общ_работ_"/>
      <sheetName val="Фориш_2003"/>
      <sheetName val="калий"/>
    </sheetNames>
    <sheetDataSet>
      <sheetData sheetId="0"/>
      <sheetData sheetId="1"/>
      <sheetData sheetId="2"/>
      <sheetData sheetId="3"/>
      <sheetData sheetId="4">
        <row r="5">
          <cell r="E5" t="str">
            <v>в том числе</v>
          </cell>
        </row>
      </sheetData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Уругликка"/>
      <sheetName val="копланмай"/>
      <sheetName val="фориш свод"/>
      <sheetName val="Фориш 2003"/>
      <sheetName val="Жиззах янги раз"/>
      <sheetName val="банк табл"/>
      <sheetName val="Лист2"/>
      <sheetName val="Ресстр2"/>
      <sheetName val="реестр3"/>
      <sheetName val="Реестр1"/>
      <sheetName val="Тохирбек 2003-1"/>
      <sheetName val="фориш_свод"/>
      <sheetName val="Фориш_2003"/>
      <sheetName val="Жиззах_янги_раз"/>
      <sheetName val="банк_табл"/>
      <sheetName val="Тохирбек_2003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"/>
      <sheetName val="Зан-ть(р-ны)"/>
      <sheetName val="Фориш 2003"/>
      <sheetName val="results"/>
      <sheetName val="Фориш_2003"/>
      <sheetName val="ГТК_Минфин_факт"/>
      <sheetName val="Прогноз"/>
      <sheetName val="c"/>
    </sheetNames>
    <sheetDataSet>
      <sheetData sheetId="0" refreshError="1">
        <row r="124">
          <cell r="Q124">
            <v>0.5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Массив"/>
      <sheetName val="свод_СвС"/>
      <sheetName val="меъёр2"/>
      <sheetName val="c"/>
      <sheetName val="режа"/>
      <sheetName val="s"/>
      <sheetName val="Зан-ть(р-ны)"/>
      <sheetName val="Форма №2а"/>
      <sheetName val="Мароканд"/>
      <sheetName val="Прогноз"/>
      <sheetName val="DNET"/>
      <sheetName val="Results"/>
      <sheetName val="МФО руйхат"/>
      <sheetName val="Macro1"/>
      <sheetName val="фориш_свод"/>
      <sheetName val="Фориш_2003"/>
      <sheetName val="Жиззах_янги_раз"/>
      <sheetName val="Тохирбек_2003-1"/>
      <sheetName val="Форма_№2а"/>
      <sheetName val="МФО_руйхат"/>
      <sheetName val="Лист2"/>
      <sheetName val="оборот"/>
      <sheetName val="BAL"/>
      <sheetName val="фориш_свод1"/>
      <sheetName val="Фориш_20031"/>
      <sheetName val="Жиззах_янги_раз1"/>
      <sheetName val="Тохирбек_2003-11"/>
      <sheetName val="Форма_№2а1"/>
      <sheetName val="МФО_руйхат1"/>
      <sheetName val="фориш_свод2"/>
      <sheetName val="Фориш_20032"/>
      <sheetName val="Жиззах_янги_раз2"/>
      <sheetName val="Тохирбек_2003-12"/>
      <sheetName val="Форма_№2а2"/>
      <sheetName val="МФО_руйхат2"/>
      <sheetName val="21 шакл"/>
      <sheetName val="фориш_свод3"/>
      <sheetName val="Фориш_20033"/>
      <sheetName val="Жиззах_янги_раз3"/>
      <sheetName val="Тохирбек_2003-13"/>
      <sheetName val="Форма_№2а3"/>
      <sheetName val="МФО_руйхат3"/>
      <sheetName val="21_шакл"/>
      <sheetName val="фориш_свод4"/>
      <sheetName val="Фориш_20034"/>
      <sheetName val="Жиззах_янги_раз4"/>
      <sheetName val="Тохирбек_2003-14"/>
      <sheetName val="Форма_№2а4"/>
      <sheetName val="МФО_руйхат4"/>
      <sheetName val="21_шакл1"/>
      <sheetName val="ࡳ"/>
      <sheetName val="кассак бюджет"/>
      <sheetName val="физ.тон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>
        <row r="4">
          <cell r="O4">
            <v>67.099999999999994</v>
          </cell>
        </row>
      </sheetData>
      <sheetData sheetId="25">
        <row r="4">
          <cell r="O4">
            <v>67.099999999999994</v>
          </cell>
        </row>
      </sheetData>
      <sheetData sheetId="26">
        <row r="4">
          <cell r="O4">
            <v>67.099999999999994</v>
          </cell>
        </row>
      </sheetData>
      <sheetData sheetId="27">
        <row r="4">
          <cell r="O4">
            <v>67.099999999999994</v>
          </cell>
        </row>
      </sheetData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>
        <row r="4">
          <cell r="O4">
            <v>67.099999999999994</v>
          </cell>
        </row>
      </sheetData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 refreshError="1"/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/>
      <sheetData sheetId="47"/>
      <sheetData sheetId="48"/>
      <sheetData sheetId="49"/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>
        <row r="4">
          <cell r="O4">
            <v>67.099999999999994</v>
          </cell>
        </row>
      </sheetData>
      <sheetData sheetId="53"/>
      <sheetData sheetId="54"/>
      <sheetData sheetId="55"/>
      <sheetData sheetId="56"/>
      <sheetData sheetId="57">
        <row r="4">
          <cell r="O4">
            <v>67.099999999999994</v>
          </cell>
        </row>
      </sheetData>
      <sheetData sheetId="58" refreshError="1"/>
      <sheetData sheetId="59" refreshError="1"/>
      <sheetData sheetId="6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сверка"/>
      <sheetName val="Ушланма"/>
      <sheetName val="форма"/>
      <sheetName val="режа"/>
      <sheetName val="Нарх"/>
      <sheetName val="программа"/>
      <sheetName val="маълумот"/>
      <sheetName val="ПК-17"/>
      <sheetName val="Пункт"/>
      <sheetName val="Куритиш нормаси"/>
      <sheetName val="теримпул"/>
      <sheetName val="Фориш 2003"/>
      <sheetName val="Массив"/>
      <sheetName val="Арн"/>
      <sheetName val="жиз"/>
      <sheetName val="Пах"/>
      <sheetName val="МФО руйхат"/>
      <sheetName val="s"/>
      <sheetName val="c"/>
      <sheetName val="Лист2"/>
      <sheetName val="DNET"/>
      <sheetName val="Ер Ресурс"/>
      <sheetName val="Results"/>
      <sheetName val="MIN-MAX"/>
      <sheetName val="Prog. rost tarifov"/>
      <sheetName val="акт_сверка"/>
      <sheetName val="Куритиш_нормаси"/>
      <sheetName val="Фориш_2003"/>
      <sheetName val="МФО_руйхат"/>
      <sheetName val="Ер_Ресурс"/>
      <sheetName val="21 шакл"/>
      <sheetName val="табли 4 местний совет"/>
      <sheetName val="акт_сверка1"/>
      <sheetName val="Куритиш_нормаси1"/>
      <sheetName val="Фориш_20031"/>
      <sheetName val="МФО_руйхат1"/>
      <sheetName val="Ер_Ресурс1"/>
      <sheetName val="Prog__rost_tarifov"/>
      <sheetName val="свод_СвС"/>
      <sheetName val="лист1"/>
      <sheetName val="Опс партия 2005-2этап"/>
      <sheetName val="для ГАКа"/>
      <sheetName val="20"/>
      <sheetName val="I-полугодие"/>
      <sheetName val="год (2)"/>
      <sheetName val="год"/>
      <sheetName val="II-полугодие"/>
      <sheetName val="4"/>
      <sheetName val="3"/>
      <sheetName val="1"/>
      <sheetName val="2"/>
      <sheetName val="МЛРД 3"/>
      <sheetName val="МЛРД 2"/>
      <sheetName val="МЛРД 1"/>
      <sheetName val="МЛРД"/>
      <sheetName val="12"/>
      <sheetName val="СВОД"/>
      <sheetName val="Карбамид"/>
      <sheetName val="АС"/>
      <sheetName val="ДАЦ"/>
      <sheetName val="ХМД"/>
      <sheetName val="акт_сверка2"/>
      <sheetName val="Куритиш_нормаси2"/>
      <sheetName val="Фориш_20032"/>
      <sheetName val="МФО_руйхат2"/>
      <sheetName val="Ер_Ресурс2"/>
      <sheetName val="Prog__rost_tarifov1"/>
      <sheetName val="21_шакл"/>
      <sheetName val="табли_4_местний_совет"/>
      <sheetName val="Опс_партия_2005-2этап"/>
      <sheetName val="для_ГАКа"/>
      <sheetName val="год_(2)"/>
      <sheetName val="МЛРД_3"/>
      <sheetName val="МЛРД_2"/>
      <sheetName val="МЛРД_1"/>
      <sheetName val="ОКДАРЁ (3)"/>
      <sheetName val="акт_сверка3"/>
      <sheetName val="Куритиш_нормаси3"/>
      <sheetName val="Фориш_20033"/>
      <sheetName val="МФО_руйхат3"/>
      <sheetName val="Ер_Ресурс3"/>
      <sheetName val="Prog__rost_tarifov2"/>
      <sheetName val="21_шакл1"/>
      <sheetName val="табли_4_местний_совет1"/>
      <sheetName val="для_ГАКа1"/>
      <sheetName val="год_(2)1"/>
      <sheetName val="МЛРД_31"/>
      <sheetName val="МЛРД_21"/>
      <sheetName val="МЛРД_11"/>
      <sheetName val="Опс_партия_2005-2этап1"/>
      <sheetName val="ОКДАРЁ_(3)"/>
      <sheetName val="фев"/>
      <sheetName val="акт_сверка4"/>
      <sheetName val="Куритиш_нормаси4"/>
      <sheetName val="Фориш_20034"/>
      <sheetName val="МФО_руйхат4"/>
      <sheetName val="Ер_Ресурс4"/>
      <sheetName val="Prog__rost_tarifov3"/>
      <sheetName val="21_шакл2"/>
      <sheetName val="табли_4_местний_совет2"/>
      <sheetName val="для_ГАКа2"/>
      <sheetName val="год_(2)2"/>
      <sheetName val="МЛРД_32"/>
      <sheetName val="МЛРД_22"/>
      <sheetName val="МЛРД_12"/>
      <sheetName val="Опс_партия_2005-2этап2"/>
      <sheetName val="ОКДАРЁ_(3)1"/>
      <sheetName val="уюшмага10,09 холатига"/>
      <sheetName val="Зан-ть(р-ны)"/>
    </sheetNames>
    <sheetDataSet>
      <sheetData sheetId="0">
        <row r="1">
          <cell r="A1" t="str">
            <v>ключ</v>
          </cell>
        </row>
      </sheetData>
      <sheetData sheetId="1">
        <row r="1">
          <cell r="A1" t="str">
            <v>Ракам</v>
          </cell>
        </row>
      </sheetData>
      <sheetData sheetId="2" refreshError="1"/>
      <sheetData sheetId="3">
        <row r="1">
          <cell r="A1" t="str">
            <v>Ракам</v>
          </cell>
        </row>
      </sheetData>
      <sheetData sheetId="4" refreshError="1">
        <row r="1">
          <cell r="A1" t="str">
            <v>ключ</v>
          </cell>
          <cell r="B1" t="str">
            <v>Нав</v>
          </cell>
          <cell r="C1" t="str">
            <v>Сорт</v>
          </cell>
          <cell r="D1" t="str">
            <v>Синф</v>
          </cell>
          <cell r="E1" t="str">
            <v>Нарх</v>
          </cell>
          <cell r="F1" t="str">
            <v>Тола</v>
          </cell>
          <cell r="G1" t="str">
            <v>Чигит</v>
          </cell>
          <cell r="H1" t="str">
            <v>Момик</v>
          </cell>
          <cell r="I1" t="str">
            <v>Улюксод</v>
          </cell>
          <cell r="J1" t="str">
            <v>Пухосод</v>
          </cell>
          <cell r="K1" t="str">
            <v>Угары</v>
          </cell>
          <cell r="L1" t="str">
            <v>Нам_нор</v>
          </cell>
          <cell r="M1" t="str">
            <v>Ифл_нор</v>
          </cell>
          <cell r="N1" t="str">
            <v>Нам_расч</v>
          </cell>
          <cell r="O1" t="str">
            <v>Ифл_расч</v>
          </cell>
          <cell r="P1" t="str">
            <v>кртзк</v>
          </cell>
        </row>
        <row r="2">
          <cell r="A2" t="str">
            <v>Бух-611</v>
          </cell>
          <cell r="B2" t="str">
            <v>Бух-6</v>
          </cell>
          <cell r="C2">
            <v>1</v>
          </cell>
          <cell r="D2">
            <v>1</v>
          </cell>
          <cell r="E2">
            <v>145740</v>
          </cell>
          <cell r="F2">
            <v>33.200000000000003</v>
          </cell>
          <cell r="G2">
            <v>55.7</v>
          </cell>
          <cell r="H2">
            <v>3.1</v>
          </cell>
          <cell r="I2">
            <v>0.7</v>
          </cell>
          <cell r="J2">
            <v>2.6</v>
          </cell>
          <cell r="K2">
            <v>4.7</v>
          </cell>
          <cell r="L2">
            <v>9</v>
          </cell>
          <cell r="M2">
            <v>3</v>
          </cell>
          <cell r="N2">
            <v>9</v>
          </cell>
          <cell r="O2">
            <v>2</v>
          </cell>
          <cell r="P2">
            <v>1.02</v>
          </cell>
        </row>
        <row r="3">
          <cell r="A3" t="str">
            <v>Бух-612</v>
          </cell>
          <cell r="B3" t="str">
            <v>Бух-6</v>
          </cell>
          <cell r="C3">
            <v>1</v>
          </cell>
          <cell r="D3">
            <v>2</v>
          </cell>
          <cell r="E3">
            <v>142010</v>
          </cell>
          <cell r="F3">
            <v>32.700000000000003</v>
          </cell>
          <cell r="G3">
            <v>55.4</v>
          </cell>
          <cell r="H3">
            <v>3.1</v>
          </cell>
          <cell r="I3">
            <v>0.7</v>
          </cell>
          <cell r="J3">
            <v>2.6</v>
          </cell>
          <cell r="K3">
            <v>5.5000000000000142</v>
          </cell>
          <cell r="L3">
            <v>12</v>
          </cell>
          <cell r="M3">
            <v>10</v>
          </cell>
          <cell r="N3">
            <v>9</v>
          </cell>
          <cell r="O3">
            <v>2</v>
          </cell>
          <cell r="P3">
            <v>1.02</v>
          </cell>
        </row>
        <row r="4">
          <cell r="A4" t="str">
            <v>Бух-613</v>
          </cell>
          <cell r="B4" t="str">
            <v>Бух-6</v>
          </cell>
          <cell r="C4">
            <v>1</v>
          </cell>
          <cell r="D4">
            <v>3</v>
          </cell>
          <cell r="E4">
            <v>113600</v>
          </cell>
          <cell r="F4">
            <v>32.5</v>
          </cell>
          <cell r="G4">
            <v>55.4</v>
          </cell>
          <cell r="H4">
            <v>3.1</v>
          </cell>
          <cell r="I4">
            <v>0.7</v>
          </cell>
          <cell r="J4">
            <v>2.6</v>
          </cell>
          <cell r="K4">
            <v>5.7</v>
          </cell>
          <cell r="L4">
            <v>14</v>
          </cell>
          <cell r="M4">
            <v>16</v>
          </cell>
          <cell r="N4">
            <v>9</v>
          </cell>
          <cell r="O4">
            <v>2</v>
          </cell>
          <cell r="P4">
            <v>1.02</v>
          </cell>
        </row>
        <row r="5">
          <cell r="A5" t="str">
            <v>Бух-621</v>
          </cell>
          <cell r="B5" t="str">
            <v>Бух-6</v>
          </cell>
          <cell r="C5">
            <v>2</v>
          </cell>
          <cell r="D5">
            <v>1</v>
          </cell>
          <cell r="E5">
            <v>126000</v>
          </cell>
          <cell r="F5">
            <v>31.8</v>
          </cell>
          <cell r="G5">
            <v>54</v>
          </cell>
          <cell r="H5">
            <v>3.3</v>
          </cell>
          <cell r="I5">
            <v>0.9</v>
          </cell>
          <cell r="J5">
            <v>3.3</v>
          </cell>
          <cell r="K5">
            <v>6.7</v>
          </cell>
          <cell r="L5">
            <v>10</v>
          </cell>
          <cell r="M5">
            <v>5</v>
          </cell>
          <cell r="N5">
            <v>9</v>
          </cell>
          <cell r="O5">
            <v>2</v>
          </cell>
          <cell r="P5">
            <v>1.02</v>
          </cell>
        </row>
        <row r="6">
          <cell r="A6" t="str">
            <v>Бух-622</v>
          </cell>
          <cell r="B6" t="str">
            <v>Бух-6</v>
          </cell>
          <cell r="C6">
            <v>2</v>
          </cell>
          <cell r="D6">
            <v>2</v>
          </cell>
          <cell r="E6">
            <v>122260</v>
          </cell>
          <cell r="F6">
            <v>31.1</v>
          </cell>
          <cell r="G6">
            <v>53.8</v>
          </cell>
          <cell r="H6">
            <v>3.3</v>
          </cell>
          <cell r="I6">
            <v>0.9</v>
          </cell>
          <cell r="J6">
            <v>3.3</v>
          </cell>
          <cell r="K6">
            <v>7.5999999999999943</v>
          </cell>
          <cell r="L6">
            <v>13</v>
          </cell>
          <cell r="M6">
            <v>10</v>
          </cell>
          <cell r="N6">
            <v>9</v>
          </cell>
          <cell r="O6">
            <v>2</v>
          </cell>
          <cell r="P6">
            <v>1.02</v>
          </cell>
        </row>
        <row r="7">
          <cell r="A7" t="str">
            <v>Бух-623</v>
          </cell>
          <cell r="B7" t="str">
            <v>Бух-6</v>
          </cell>
          <cell r="C7">
            <v>2</v>
          </cell>
          <cell r="D7">
            <v>3</v>
          </cell>
          <cell r="E7">
            <v>112400</v>
          </cell>
          <cell r="F7">
            <v>30.7</v>
          </cell>
          <cell r="G7">
            <v>53.8</v>
          </cell>
          <cell r="H7">
            <v>3.3</v>
          </cell>
          <cell r="I7">
            <v>0.9</v>
          </cell>
          <cell r="J7">
            <v>3.3</v>
          </cell>
          <cell r="K7">
            <v>8</v>
          </cell>
          <cell r="L7">
            <v>16</v>
          </cell>
          <cell r="M7">
            <v>16</v>
          </cell>
          <cell r="N7">
            <v>9</v>
          </cell>
          <cell r="O7">
            <v>2</v>
          </cell>
          <cell r="P7">
            <v>1.02</v>
          </cell>
        </row>
        <row r="8">
          <cell r="A8" t="str">
            <v>Бух-631</v>
          </cell>
          <cell r="B8" t="str">
            <v>Бух-6</v>
          </cell>
          <cell r="C8">
            <v>3</v>
          </cell>
          <cell r="D8">
            <v>1</v>
          </cell>
          <cell r="E8">
            <v>116670</v>
          </cell>
          <cell r="F8">
            <v>30.5</v>
          </cell>
          <cell r="G8">
            <v>51.1</v>
          </cell>
          <cell r="H8">
            <v>3.7</v>
          </cell>
          <cell r="I8">
            <v>1</v>
          </cell>
          <cell r="J8">
            <v>3.8</v>
          </cell>
          <cell r="K8">
            <v>9.9000000000000057</v>
          </cell>
          <cell r="L8">
            <v>11</v>
          </cell>
          <cell r="M8">
            <v>8</v>
          </cell>
          <cell r="N8">
            <v>9</v>
          </cell>
          <cell r="O8">
            <v>2</v>
          </cell>
          <cell r="P8">
            <v>1.02</v>
          </cell>
        </row>
        <row r="9">
          <cell r="A9" t="str">
            <v>Бух-632</v>
          </cell>
          <cell r="B9" t="str">
            <v>Бух-6</v>
          </cell>
          <cell r="C9">
            <v>3</v>
          </cell>
          <cell r="D9">
            <v>2</v>
          </cell>
          <cell r="E9">
            <v>103820</v>
          </cell>
          <cell r="F9">
            <v>28.9</v>
          </cell>
          <cell r="G9">
            <v>50.8</v>
          </cell>
          <cell r="H9">
            <v>3.7</v>
          </cell>
          <cell r="I9">
            <v>1</v>
          </cell>
          <cell r="J9">
            <v>3.8</v>
          </cell>
          <cell r="K9">
            <v>11.8</v>
          </cell>
          <cell r="L9">
            <v>15</v>
          </cell>
          <cell r="M9">
            <v>12</v>
          </cell>
          <cell r="N9">
            <v>9</v>
          </cell>
          <cell r="O9">
            <v>2</v>
          </cell>
          <cell r="P9">
            <v>1.02</v>
          </cell>
        </row>
        <row r="10">
          <cell r="A10" t="str">
            <v>Бух-633</v>
          </cell>
          <cell r="B10" t="str">
            <v>Бух-6</v>
          </cell>
          <cell r="C10">
            <v>3</v>
          </cell>
          <cell r="D10">
            <v>3</v>
          </cell>
          <cell r="E10">
            <v>73510</v>
          </cell>
          <cell r="F10">
            <v>28.7</v>
          </cell>
          <cell r="G10">
            <v>50.8</v>
          </cell>
          <cell r="H10">
            <v>3.7</v>
          </cell>
          <cell r="I10">
            <v>1</v>
          </cell>
          <cell r="J10">
            <v>3.8</v>
          </cell>
          <cell r="K10">
            <v>12</v>
          </cell>
          <cell r="L10">
            <v>18</v>
          </cell>
          <cell r="M10">
            <v>18</v>
          </cell>
          <cell r="N10">
            <v>9</v>
          </cell>
          <cell r="O10">
            <v>2</v>
          </cell>
          <cell r="P10">
            <v>1.02</v>
          </cell>
        </row>
        <row r="11">
          <cell r="A11" t="str">
            <v>Бух-641</v>
          </cell>
          <cell r="B11" t="str">
            <v>Бух-6</v>
          </cell>
          <cell r="C11">
            <v>4</v>
          </cell>
          <cell r="D11">
            <v>1</v>
          </cell>
          <cell r="E11">
            <v>86970</v>
          </cell>
          <cell r="F11">
            <v>28.1</v>
          </cell>
          <cell r="G11">
            <v>49.6</v>
          </cell>
          <cell r="H11">
            <v>4</v>
          </cell>
          <cell r="I11">
            <v>1.4</v>
          </cell>
          <cell r="J11">
            <v>3.9</v>
          </cell>
          <cell r="K11">
            <v>13</v>
          </cell>
          <cell r="L11">
            <v>13</v>
          </cell>
          <cell r="M11">
            <v>12</v>
          </cell>
          <cell r="N11">
            <v>9</v>
          </cell>
          <cell r="O11">
            <v>2</v>
          </cell>
          <cell r="P11">
            <v>1.02</v>
          </cell>
        </row>
        <row r="12">
          <cell r="A12" t="str">
            <v>Бух-642</v>
          </cell>
          <cell r="B12" t="str">
            <v>Бух-6</v>
          </cell>
          <cell r="C12">
            <v>4</v>
          </cell>
          <cell r="D12">
            <v>2</v>
          </cell>
          <cell r="E12">
            <v>67390</v>
          </cell>
          <cell r="F12">
            <v>27.6</v>
          </cell>
          <cell r="G12">
            <v>49.1</v>
          </cell>
          <cell r="H12">
            <v>4</v>
          </cell>
          <cell r="I12">
            <v>1.4</v>
          </cell>
          <cell r="J12">
            <v>3.9</v>
          </cell>
          <cell r="K12">
            <v>14</v>
          </cell>
          <cell r="L12">
            <v>17</v>
          </cell>
          <cell r="M12">
            <v>16</v>
          </cell>
          <cell r="N12">
            <v>9</v>
          </cell>
          <cell r="O12">
            <v>2</v>
          </cell>
          <cell r="P12">
            <v>1.02</v>
          </cell>
        </row>
        <row r="13">
          <cell r="A13" t="str">
            <v>Бух-643</v>
          </cell>
          <cell r="B13" t="str">
            <v>Бух-6</v>
          </cell>
          <cell r="C13">
            <v>4</v>
          </cell>
          <cell r="D13">
            <v>3</v>
          </cell>
          <cell r="E13">
            <v>51470</v>
          </cell>
          <cell r="F13">
            <v>27.3</v>
          </cell>
          <cell r="G13">
            <v>49.1</v>
          </cell>
          <cell r="H13">
            <v>4</v>
          </cell>
          <cell r="I13">
            <v>1.4</v>
          </cell>
          <cell r="J13">
            <v>3.9</v>
          </cell>
          <cell r="K13">
            <v>14.3</v>
          </cell>
          <cell r="L13">
            <v>20</v>
          </cell>
          <cell r="M13">
            <v>20</v>
          </cell>
          <cell r="N13">
            <v>9</v>
          </cell>
          <cell r="O13">
            <v>2</v>
          </cell>
          <cell r="P13">
            <v>1.02</v>
          </cell>
        </row>
        <row r="14">
          <cell r="A14" t="str">
            <v>Бух-653</v>
          </cell>
          <cell r="B14" t="str">
            <v>Бух-6</v>
          </cell>
          <cell r="C14">
            <v>5</v>
          </cell>
          <cell r="D14">
            <v>3</v>
          </cell>
          <cell r="E14">
            <v>36120</v>
          </cell>
          <cell r="F14">
            <v>26.3</v>
          </cell>
          <cell r="G14">
            <v>48.7</v>
          </cell>
          <cell r="H14">
            <v>5</v>
          </cell>
          <cell r="I14">
            <v>1.4</v>
          </cell>
          <cell r="J14">
            <v>3.9</v>
          </cell>
          <cell r="K14">
            <v>14.7</v>
          </cell>
          <cell r="L14">
            <v>22</v>
          </cell>
          <cell r="M14">
            <v>22</v>
          </cell>
          <cell r="N14">
            <v>9</v>
          </cell>
          <cell r="O14">
            <v>2</v>
          </cell>
          <cell r="P14">
            <v>1.02</v>
          </cell>
        </row>
        <row r="15">
          <cell r="A15" t="str">
            <v>С-652411</v>
          </cell>
          <cell r="B15" t="str">
            <v>С-6524</v>
          </cell>
          <cell r="C15">
            <v>1</v>
          </cell>
          <cell r="D15">
            <v>1</v>
          </cell>
          <cell r="E15">
            <v>154459.29999999999</v>
          </cell>
          <cell r="F15">
            <v>32.700000000000003</v>
          </cell>
          <cell r="G15">
            <v>55.5</v>
          </cell>
          <cell r="H15">
            <v>2.2000000000000002</v>
          </cell>
          <cell r="I15">
            <v>1.1000000000000001</v>
          </cell>
          <cell r="J15">
            <v>2.5</v>
          </cell>
          <cell r="K15">
            <v>6</v>
          </cell>
          <cell r="L15">
            <v>9</v>
          </cell>
          <cell r="M15">
            <v>3</v>
          </cell>
          <cell r="N15">
            <v>9</v>
          </cell>
          <cell r="O15">
            <v>2</v>
          </cell>
          <cell r="P15">
            <v>1</v>
          </cell>
        </row>
        <row r="16">
          <cell r="A16" t="str">
            <v>С-652412</v>
          </cell>
          <cell r="B16" t="str">
            <v>С-6524</v>
          </cell>
          <cell r="C16">
            <v>1</v>
          </cell>
          <cell r="D16">
            <v>2</v>
          </cell>
          <cell r="E16">
            <v>150570.79999999999</v>
          </cell>
          <cell r="F16">
            <v>32</v>
          </cell>
          <cell r="G16">
            <v>55</v>
          </cell>
          <cell r="H16">
            <v>2.2000000000000002</v>
          </cell>
          <cell r="I16">
            <v>1.1000000000000001</v>
          </cell>
          <cell r="J16">
            <v>2.5</v>
          </cell>
          <cell r="K16">
            <v>7.2</v>
          </cell>
          <cell r="L16">
            <v>12</v>
          </cell>
          <cell r="M16">
            <v>10</v>
          </cell>
          <cell r="N16">
            <v>9</v>
          </cell>
          <cell r="O16">
            <v>2</v>
          </cell>
          <cell r="P16">
            <v>1</v>
          </cell>
        </row>
        <row r="17">
          <cell r="A17" t="str">
            <v>С-652413</v>
          </cell>
          <cell r="B17" t="str">
            <v>С-6524</v>
          </cell>
          <cell r="C17">
            <v>1</v>
          </cell>
          <cell r="D17">
            <v>3</v>
          </cell>
          <cell r="E17">
            <v>120493</v>
          </cell>
          <cell r="F17">
            <v>31.6</v>
          </cell>
          <cell r="G17">
            <v>55</v>
          </cell>
          <cell r="H17">
            <v>2.2999999999999998</v>
          </cell>
          <cell r="I17">
            <v>1.1000000000000001</v>
          </cell>
          <cell r="J17">
            <v>2.5</v>
          </cell>
          <cell r="K17">
            <v>7.5000000000000142</v>
          </cell>
          <cell r="L17">
            <v>14</v>
          </cell>
          <cell r="M17">
            <v>16</v>
          </cell>
          <cell r="N17">
            <v>9</v>
          </cell>
          <cell r="O17">
            <v>2</v>
          </cell>
          <cell r="P17">
            <v>1</v>
          </cell>
        </row>
        <row r="18">
          <cell r="A18" t="str">
            <v>С-652421</v>
          </cell>
          <cell r="B18" t="str">
            <v>С-6524</v>
          </cell>
          <cell r="C18">
            <v>2</v>
          </cell>
          <cell r="D18">
            <v>1</v>
          </cell>
          <cell r="E18">
            <v>133602.79999999999</v>
          </cell>
          <cell r="F18">
            <v>31.5</v>
          </cell>
          <cell r="G18">
            <v>54.2</v>
          </cell>
          <cell r="H18">
            <v>2.5</v>
          </cell>
          <cell r="I18">
            <v>1.1000000000000001</v>
          </cell>
          <cell r="J18">
            <v>2.6</v>
          </cell>
          <cell r="K18">
            <v>8.1000000000000085</v>
          </cell>
          <cell r="L18">
            <v>10</v>
          </cell>
          <cell r="M18">
            <v>5</v>
          </cell>
          <cell r="N18">
            <v>9</v>
          </cell>
          <cell r="O18">
            <v>2</v>
          </cell>
          <cell r="P18">
            <v>1</v>
          </cell>
        </row>
        <row r="19">
          <cell r="A19" t="str">
            <v>С-652422</v>
          </cell>
          <cell r="B19" t="str">
            <v>С-6524</v>
          </cell>
          <cell r="C19">
            <v>2</v>
          </cell>
          <cell r="D19">
            <v>2</v>
          </cell>
          <cell r="E19">
            <v>129613.3</v>
          </cell>
          <cell r="F19">
            <v>30.3</v>
          </cell>
          <cell r="G19">
            <v>53.7</v>
          </cell>
          <cell r="H19">
            <v>2.5</v>
          </cell>
          <cell r="I19">
            <v>1.1000000000000001</v>
          </cell>
          <cell r="J19">
            <v>2.6</v>
          </cell>
          <cell r="K19">
            <v>9.8000000000000114</v>
          </cell>
          <cell r="L19">
            <v>13</v>
          </cell>
          <cell r="M19">
            <v>10</v>
          </cell>
          <cell r="N19">
            <v>9</v>
          </cell>
          <cell r="O19">
            <v>2</v>
          </cell>
          <cell r="P19">
            <v>1</v>
          </cell>
        </row>
        <row r="20">
          <cell r="A20" t="str">
            <v>С-652423</v>
          </cell>
          <cell r="B20" t="str">
            <v>С-6524</v>
          </cell>
          <cell r="C20">
            <v>2</v>
          </cell>
          <cell r="D20">
            <v>3</v>
          </cell>
          <cell r="E20">
            <v>119180</v>
          </cell>
          <cell r="F20">
            <v>30</v>
          </cell>
          <cell r="G20">
            <v>53.7</v>
          </cell>
          <cell r="H20">
            <v>2.5</v>
          </cell>
          <cell r="I20">
            <v>1.1000000000000001</v>
          </cell>
          <cell r="J20">
            <v>2.6</v>
          </cell>
          <cell r="K20">
            <v>10.1</v>
          </cell>
          <cell r="L20">
            <v>16</v>
          </cell>
          <cell r="M20">
            <v>16</v>
          </cell>
          <cell r="N20">
            <v>9</v>
          </cell>
          <cell r="O20">
            <v>2</v>
          </cell>
          <cell r="P20">
            <v>1</v>
          </cell>
        </row>
        <row r="21">
          <cell r="A21" t="str">
            <v>С-652431</v>
          </cell>
          <cell r="B21" t="str">
            <v>С-6524</v>
          </cell>
          <cell r="C21">
            <v>3</v>
          </cell>
          <cell r="D21">
            <v>1</v>
          </cell>
          <cell r="E21">
            <v>123785.60000000001</v>
          </cell>
          <cell r="F21">
            <v>29.4</v>
          </cell>
          <cell r="G21">
            <v>52.3</v>
          </cell>
          <cell r="H21">
            <v>2.9</v>
          </cell>
          <cell r="I21">
            <v>1.3</v>
          </cell>
          <cell r="J21">
            <v>3.6</v>
          </cell>
          <cell r="K21">
            <v>10.5</v>
          </cell>
          <cell r="L21">
            <v>11</v>
          </cell>
          <cell r="M21">
            <v>8</v>
          </cell>
          <cell r="N21">
            <v>9</v>
          </cell>
          <cell r="O21">
            <v>2</v>
          </cell>
          <cell r="P21">
            <v>1</v>
          </cell>
        </row>
        <row r="22">
          <cell r="A22" t="str">
            <v>С-652432</v>
          </cell>
          <cell r="B22" t="str">
            <v>С-6524</v>
          </cell>
          <cell r="C22">
            <v>3</v>
          </cell>
          <cell r="D22">
            <v>2</v>
          </cell>
          <cell r="E22">
            <v>110140.5</v>
          </cell>
          <cell r="F22">
            <v>28.6</v>
          </cell>
          <cell r="G22">
            <v>52</v>
          </cell>
          <cell r="H22">
            <v>2.9</v>
          </cell>
          <cell r="I22">
            <v>1.3</v>
          </cell>
          <cell r="J22">
            <v>3.6</v>
          </cell>
          <cell r="K22">
            <v>11.6</v>
          </cell>
          <cell r="L22">
            <v>15</v>
          </cell>
          <cell r="M22">
            <v>12</v>
          </cell>
          <cell r="N22">
            <v>9</v>
          </cell>
          <cell r="O22">
            <v>2</v>
          </cell>
          <cell r="P22">
            <v>1</v>
          </cell>
        </row>
        <row r="23">
          <cell r="A23" t="str">
            <v>С-652433</v>
          </cell>
          <cell r="B23" t="str">
            <v>С-6524</v>
          </cell>
          <cell r="C23">
            <v>3</v>
          </cell>
          <cell r="D23">
            <v>3</v>
          </cell>
          <cell r="E23">
            <v>77911.399999999994</v>
          </cell>
          <cell r="F23">
            <v>28.3</v>
          </cell>
          <cell r="G23">
            <v>52</v>
          </cell>
          <cell r="H23">
            <v>2.9</v>
          </cell>
          <cell r="I23">
            <v>1.3</v>
          </cell>
          <cell r="J23">
            <v>3.6</v>
          </cell>
          <cell r="K23">
            <v>11.9</v>
          </cell>
          <cell r="L23">
            <v>18</v>
          </cell>
          <cell r="M23">
            <v>18</v>
          </cell>
          <cell r="N23">
            <v>9</v>
          </cell>
          <cell r="O23">
            <v>2</v>
          </cell>
          <cell r="P23">
            <v>1</v>
          </cell>
        </row>
        <row r="24">
          <cell r="A24" t="str">
            <v>С-652441</v>
          </cell>
          <cell r="B24" t="str">
            <v>С-6524</v>
          </cell>
          <cell r="C24">
            <v>4</v>
          </cell>
          <cell r="D24">
            <v>1</v>
          </cell>
          <cell r="E24">
            <v>92263.5</v>
          </cell>
          <cell r="F24">
            <v>26.9</v>
          </cell>
          <cell r="G24">
            <v>51.2</v>
          </cell>
          <cell r="H24">
            <v>3.3</v>
          </cell>
          <cell r="I24">
            <v>1.6</v>
          </cell>
          <cell r="J24">
            <v>3.9</v>
          </cell>
          <cell r="K24">
            <v>13.1</v>
          </cell>
          <cell r="L24">
            <v>13</v>
          </cell>
          <cell r="M24">
            <v>12</v>
          </cell>
          <cell r="N24">
            <v>9</v>
          </cell>
          <cell r="O24">
            <v>2</v>
          </cell>
          <cell r="P24">
            <v>1</v>
          </cell>
        </row>
        <row r="25">
          <cell r="A25" t="str">
            <v>С-652442</v>
          </cell>
          <cell r="B25" t="str">
            <v>С-6524</v>
          </cell>
          <cell r="C25">
            <v>4</v>
          </cell>
          <cell r="D25">
            <v>2</v>
          </cell>
          <cell r="E25">
            <v>71447.399999999994</v>
          </cell>
          <cell r="F25">
            <v>26.5</v>
          </cell>
          <cell r="G25">
            <v>50.7</v>
          </cell>
          <cell r="H25">
            <v>3.3</v>
          </cell>
          <cell r="I25">
            <v>1.6</v>
          </cell>
          <cell r="J25">
            <v>3.9</v>
          </cell>
          <cell r="K25">
            <v>14</v>
          </cell>
          <cell r="L25">
            <v>17</v>
          </cell>
          <cell r="M25">
            <v>16</v>
          </cell>
          <cell r="N25">
            <v>9</v>
          </cell>
          <cell r="O25">
            <v>2</v>
          </cell>
          <cell r="P25">
            <v>1</v>
          </cell>
        </row>
        <row r="26">
          <cell r="A26" t="str">
            <v>С-652443</v>
          </cell>
          <cell r="B26" t="str">
            <v>С-6524</v>
          </cell>
          <cell r="C26">
            <v>4</v>
          </cell>
          <cell r="D26">
            <v>3</v>
          </cell>
          <cell r="E26">
            <v>54560.2</v>
          </cell>
          <cell r="F26">
            <v>26.1</v>
          </cell>
          <cell r="G26">
            <v>50.2</v>
          </cell>
          <cell r="H26">
            <v>3.3</v>
          </cell>
          <cell r="I26">
            <v>1.6</v>
          </cell>
          <cell r="J26">
            <v>3.9</v>
          </cell>
          <cell r="K26">
            <v>14.9</v>
          </cell>
          <cell r="L26">
            <v>20</v>
          </cell>
          <cell r="M26">
            <v>20</v>
          </cell>
          <cell r="N26">
            <v>9</v>
          </cell>
          <cell r="O26">
            <v>2</v>
          </cell>
          <cell r="P26">
            <v>1</v>
          </cell>
        </row>
        <row r="27">
          <cell r="A27" t="str">
            <v>С-652453</v>
          </cell>
          <cell r="B27" t="str">
            <v>С-6524</v>
          </cell>
          <cell r="C27">
            <v>5</v>
          </cell>
          <cell r="D27">
            <v>3</v>
          </cell>
          <cell r="E27">
            <v>38248.699999999997</v>
          </cell>
          <cell r="F27">
            <v>25.5</v>
          </cell>
          <cell r="G27">
            <v>50.1</v>
          </cell>
          <cell r="H27">
            <v>3.4</v>
          </cell>
          <cell r="I27">
            <v>1.8</v>
          </cell>
          <cell r="J27">
            <v>4</v>
          </cell>
          <cell r="K27">
            <v>15.2</v>
          </cell>
          <cell r="L27">
            <v>22</v>
          </cell>
          <cell r="M27">
            <v>22</v>
          </cell>
          <cell r="N27">
            <v>9</v>
          </cell>
          <cell r="O27">
            <v>2</v>
          </cell>
          <cell r="P27">
            <v>1</v>
          </cell>
        </row>
        <row r="28">
          <cell r="A28" t="str">
            <v>Окдарё611</v>
          </cell>
          <cell r="B28" t="str">
            <v>Окдарё6</v>
          </cell>
          <cell r="C28">
            <v>1</v>
          </cell>
          <cell r="D28">
            <v>1</v>
          </cell>
          <cell r="E28">
            <v>295040</v>
          </cell>
          <cell r="F28">
            <v>34.5</v>
          </cell>
          <cell r="G28">
            <v>55.5</v>
          </cell>
          <cell r="H28">
            <v>2</v>
          </cell>
          <cell r="I28">
            <v>0.8</v>
          </cell>
          <cell r="J28">
            <v>2.4</v>
          </cell>
          <cell r="K28">
            <v>4.8</v>
          </cell>
          <cell r="L28">
            <v>9</v>
          </cell>
          <cell r="M28">
            <v>3</v>
          </cell>
          <cell r="N28">
            <v>9</v>
          </cell>
          <cell r="O28">
            <v>2</v>
          </cell>
          <cell r="P28">
            <v>1</v>
          </cell>
        </row>
        <row r="29">
          <cell r="A29" t="str">
            <v>Окдарё612</v>
          </cell>
          <cell r="B29" t="str">
            <v>Окдарё6</v>
          </cell>
          <cell r="C29">
            <v>1</v>
          </cell>
          <cell r="D29">
            <v>2</v>
          </cell>
          <cell r="E29">
            <v>287380</v>
          </cell>
          <cell r="F29">
            <v>34.200000000000003</v>
          </cell>
          <cell r="G29">
            <v>55.2</v>
          </cell>
          <cell r="H29">
            <v>2</v>
          </cell>
          <cell r="I29">
            <v>0.8</v>
          </cell>
          <cell r="J29">
            <v>2.4</v>
          </cell>
          <cell r="K29">
            <v>5.3999999999999915</v>
          </cell>
          <cell r="L29">
            <v>12</v>
          </cell>
          <cell r="M29">
            <v>10</v>
          </cell>
          <cell r="N29">
            <v>9</v>
          </cell>
          <cell r="O29">
            <v>2</v>
          </cell>
          <cell r="P29">
            <v>1</v>
          </cell>
        </row>
        <row r="30">
          <cell r="A30" t="str">
            <v>Окдарё613</v>
          </cell>
          <cell r="B30" t="str">
            <v>Окдарё6</v>
          </cell>
          <cell r="C30">
            <v>1</v>
          </cell>
          <cell r="D30">
            <v>3</v>
          </cell>
          <cell r="E30">
            <v>230010</v>
          </cell>
          <cell r="F30">
            <v>33.700000000000003</v>
          </cell>
          <cell r="G30">
            <v>55.2</v>
          </cell>
          <cell r="H30">
            <v>2</v>
          </cell>
          <cell r="I30">
            <v>0.8</v>
          </cell>
          <cell r="J30">
            <v>2.4</v>
          </cell>
          <cell r="K30">
            <v>5.8999999999999915</v>
          </cell>
          <cell r="L30">
            <v>14</v>
          </cell>
          <cell r="M30">
            <v>16</v>
          </cell>
          <cell r="N30">
            <v>9</v>
          </cell>
          <cell r="O30">
            <v>2</v>
          </cell>
          <cell r="P30">
            <v>1</v>
          </cell>
        </row>
        <row r="31">
          <cell r="A31" t="str">
            <v>Окдарё621</v>
          </cell>
          <cell r="B31" t="str">
            <v>Окдарё6</v>
          </cell>
          <cell r="C31">
            <v>2</v>
          </cell>
          <cell r="D31">
            <v>1</v>
          </cell>
          <cell r="E31">
            <v>255000</v>
          </cell>
          <cell r="F31">
            <v>33.1</v>
          </cell>
          <cell r="G31">
            <v>54.6</v>
          </cell>
          <cell r="H31">
            <v>2.7</v>
          </cell>
          <cell r="I31">
            <v>1</v>
          </cell>
          <cell r="J31">
            <v>2.5</v>
          </cell>
          <cell r="K31">
            <v>6.0999999999999943</v>
          </cell>
          <cell r="L31">
            <v>10</v>
          </cell>
          <cell r="M31">
            <v>5</v>
          </cell>
          <cell r="N31">
            <v>9</v>
          </cell>
          <cell r="O31">
            <v>2</v>
          </cell>
          <cell r="P31">
            <v>1</v>
          </cell>
        </row>
        <row r="32">
          <cell r="A32" t="str">
            <v>Окдарё622</v>
          </cell>
          <cell r="B32" t="str">
            <v>Окдарё6</v>
          </cell>
          <cell r="C32">
            <v>2</v>
          </cell>
          <cell r="D32">
            <v>2</v>
          </cell>
          <cell r="E32">
            <v>247350</v>
          </cell>
          <cell r="F32">
            <v>32.5</v>
          </cell>
          <cell r="G32">
            <v>54.1</v>
          </cell>
          <cell r="H32">
            <v>2.7</v>
          </cell>
          <cell r="I32">
            <v>1</v>
          </cell>
          <cell r="J32">
            <v>2.5</v>
          </cell>
          <cell r="K32">
            <v>7.2</v>
          </cell>
          <cell r="L32">
            <v>13</v>
          </cell>
          <cell r="M32">
            <v>10</v>
          </cell>
          <cell r="N32">
            <v>9</v>
          </cell>
          <cell r="O32">
            <v>2</v>
          </cell>
          <cell r="P32">
            <v>1</v>
          </cell>
        </row>
        <row r="33">
          <cell r="A33" t="str">
            <v>Окдарё623</v>
          </cell>
          <cell r="B33" t="str">
            <v>Окдарё6</v>
          </cell>
          <cell r="C33">
            <v>2</v>
          </cell>
          <cell r="D33">
            <v>3</v>
          </cell>
          <cell r="E33">
            <v>227460</v>
          </cell>
          <cell r="F33">
            <v>31.8</v>
          </cell>
          <cell r="G33">
            <v>54.1</v>
          </cell>
          <cell r="H33">
            <v>2.7</v>
          </cell>
          <cell r="I33">
            <v>1</v>
          </cell>
          <cell r="J33">
            <v>2.5</v>
          </cell>
          <cell r="K33">
            <v>7.8999999999999915</v>
          </cell>
          <cell r="L33">
            <v>16</v>
          </cell>
          <cell r="M33">
            <v>16</v>
          </cell>
          <cell r="N33">
            <v>9</v>
          </cell>
          <cell r="O33">
            <v>2</v>
          </cell>
          <cell r="P33">
            <v>1</v>
          </cell>
        </row>
        <row r="34">
          <cell r="A34" t="str">
            <v>Окдарё631</v>
          </cell>
          <cell r="B34" t="str">
            <v>Окдарё6</v>
          </cell>
          <cell r="C34">
            <v>3</v>
          </cell>
          <cell r="D34">
            <v>1</v>
          </cell>
          <cell r="E34">
            <v>236130</v>
          </cell>
          <cell r="F34">
            <v>31.5</v>
          </cell>
          <cell r="G34">
            <v>52</v>
          </cell>
          <cell r="H34">
            <v>3.1</v>
          </cell>
          <cell r="I34">
            <v>1.2</v>
          </cell>
          <cell r="J34">
            <v>3.2</v>
          </cell>
          <cell r="K34">
            <v>9</v>
          </cell>
          <cell r="L34">
            <v>11</v>
          </cell>
          <cell r="M34">
            <v>8</v>
          </cell>
          <cell r="N34">
            <v>9</v>
          </cell>
          <cell r="O34">
            <v>2</v>
          </cell>
          <cell r="P34">
            <v>1</v>
          </cell>
        </row>
        <row r="35">
          <cell r="A35" t="str">
            <v>Окдарё632</v>
          </cell>
          <cell r="B35" t="str">
            <v>Окдарё6</v>
          </cell>
          <cell r="C35">
            <v>3</v>
          </cell>
          <cell r="D35">
            <v>2</v>
          </cell>
          <cell r="E35">
            <v>210120</v>
          </cell>
          <cell r="F35">
            <v>30.4</v>
          </cell>
          <cell r="G35">
            <v>51.7</v>
          </cell>
          <cell r="H35">
            <v>3.1</v>
          </cell>
          <cell r="I35">
            <v>1.2</v>
          </cell>
          <cell r="J35">
            <v>3.2</v>
          </cell>
          <cell r="K35">
            <v>10.4</v>
          </cell>
          <cell r="L35">
            <v>15</v>
          </cell>
          <cell r="M35">
            <v>12</v>
          </cell>
          <cell r="N35">
            <v>9</v>
          </cell>
          <cell r="O35">
            <v>2</v>
          </cell>
          <cell r="P35">
            <v>1</v>
          </cell>
        </row>
        <row r="36">
          <cell r="A36" t="str">
            <v>Окдарё633</v>
          </cell>
          <cell r="B36" t="str">
            <v>Окдарё6</v>
          </cell>
          <cell r="C36">
            <v>3</v>
          </cell>
          <cell r="D36">
            <v>3</v>
          </cell>
          <cell r="E36">
            <v>148660</v>
          </cell>
          <cell r="F36">
            <v>29.9</v>
          </cell>
          <cell r="G36">
            <v>51.7</v>
          </cell>
          <cell r="H36">
            <v>3.1</v>
          </cell>
          <cell r="I36">
            <v>1.2</v>
          </cell>
          <cell r="J36">
            <v>3.2</v>
          </cell>
          <cell r="K36">
            <v>10.9</v>
          </cell>
          <cell r="L36">
            <v>18</v>
          </cell>
          <cell r="M36">
            <v>18</v>
          </cell>
          <cell r="N36">
            <v>9</v>
          </cell>
          <cell r="O36">
            <v>2</v>
          </cell>
          <cell r="P36">
            <v>1</v>
          </cell>
        </row>
        <row r="37">
          <cell r="A37" t="str">
            <v>Окдарё641</v>
          </cell>
          <cell r="B37" t="str">
            <v>Окдарё6</v>
          </cell>
          <cell r="C37">
            <v>4</v>
          </cell>
          <cell r="D37">
            <v>1</v>
          </cell>
          <cell r="E37">
            <v>175950</v>
          </cell>
          <cell r="F37">
            <v>29.1</v>
          </cell>
          <cell r="G37">
            <v>50.2</v>
          </cell>
          <cell r="H37">
            <v>4.2</v>
          </cell>
          <cell r="I37">
            <v>1.2</v>
          </cell>
          <cell r="J37">
            <v>3.4</v>
          </cell>
          <cell r="K37">
            <v>11.9</v>
          </cell>
          <cell r="L37">
            <v>13</v>
          </cell>
          <cell r="M37">
            <v>12</v>
          </cell>
          <cell r="N37">
            <v>9</v>
          </cell>
          <cell r="O37">
            <v>2</v>
          </cell>
          <cell r="P37">
            <v>1</v>
          </cell>
        </row>
        <row r="38">
          <cell r="A38" t="str">
            <v>Окдарё642</v>
          </cell>
          <cell r="B38" t="str">
            <v>Окдарё6</v>
          </cell>
          <cell r="C38">
            <v>4</v>
          </cell>
          <cell r="D38">
            <v>2</v>
          </cell>
          <cell r="E38">
            <v>136420</v>
          </cell>
          <cell r="F38">
            <v>28.8</v>
          </cell>
          <cell r="G38">
            <v>49.8</v>
          </cell>
          <cell r="H38">
            <v>4.2</v>
          </cell>
          <cell r="I38">
            <v>1.2</v>
          </cell>
          <cell r="J38">
            <v>3.4</v>
          </cell>
          <cell r="K38">
            <v>12.6</v>
          </cell>
          <cell r="L38">
            <v>17</v>
          </cell>
          <cell r="M38">
            <v>16</v>
          </cell>
          <cell r="N38">
            <v>9</v>
          </cell>
          <cell r="O38">
            <v>2</v>
          </cell>
          <cell r="P38">
            <v>1</v>
          </cell>
        </row>
        <row r="39">
          <cell r="A39" t="str">
            <v>Окдарё643</v>
          </cell>
          <cell r="B39" t="str">
            <v>Окдарё6</v>
          </cell>
          <cell r="C39">
            <v>4</v>
          </cell>
          <cell r="D39">
            <v>3</v>
          </cell>
          <cell r="E39">
            <v>104300</v>
          </cell>
          <cell r="F39">
            <v>28.3</v>
          </cell>
          <cell r="G39">
            <v>49.3</v>
          </cell>
          <cell r="H39">
            <v>4.2</v>
          </cell>
          <cell r="I39">
            <v>1.2</v>
          </cell>
          <cell r="J39">
            <v>3.4</v>
          </cell>
          <cell r="K39">
            <v>13.6</v>
          </cell>
          <cell r="L39">
            <v>20</v>
          </cell>
          <cell r="M39">
            <v>20</v>
          </cell>
          <cell r="N39">
            <v>9</v>
          </cell>
          <cell r="O39">
            <v>2</v>
          </cell>
          <cell r="P39">
            <v>1</v>
          </cell>
        </row>
        <row r="40">
          <cell r="A40" t="str">
            <v>Окдарё653</v>
          </cell>
          <cell r="B40" t="str">
            <v>Окдарё6</v>
          </cell>
          <cell r="C40">
            <v>5</v>
          </cell>
          <cell r="D40">
            <v>3</v>
          </cell>
          <cell r="E40">
            <v>73180</v>
          </cell>
          <cell r="F40">
            <v>27.4</v>
          </cell>
          <cell r="G40">
            <v>48.8</v>
          </cell>
          <cell r="H40">
            <v>4.7</v>
          </cell>
          <cell r="I40">
            <v>1.3</v>
          </cell>
          <cell r="J40">
            <v>3.5</v>
          </cell>
          <cell r="K40">
            <v>14.3</v>
          </cell>
          <cell r="L40">
            <v>22</v>
          </cell>
          <cell r="M40">
            <v>22</v>
          </cell>
          <cell r="N40">
            <v>9</v>
          </cell>
          <cell r="O40">
            <v>2</v>
          </cell>
          <cell r="P40">
            <v>1</v>
          </cell>
        </row>
        <row r="41">
          <cell r="A41" t="str">
            <v>С-907011</v>
          </cell>
          <cell r="B41" t="str">
            <v>С-9070</v>
          </cell>
          <cell r="C41">
            <v>1</v>
          </cell>
          <cell r="D41">
            <v>1</v>
          </cell>
          <cell r="E41">
            <v>145740</v>
          </cell>
          <cell r="F41">
            <v>31.5</v>
          </cell>
          <cell r="G41">
            <v>55.6</v>
          </cell>
          <cell r="H41">
            <v>4.3</v>
          </cell>
          <cell r="I41">
            <v>1.6</v>
          </cell>
          <cell r="J41">
            <v>2</v>
          </cell>
          <cell r="K41">
            <v>5.0000000000000142</v>
          </cell>
          <cell r="L41">
            <v>9</v>
          </cell>
          <cell r="M41">
            <v>3</v>
          </cell>
          <cell r="N41">
            <v>9</v>
          </cell>
          <cell r="O41">
            <v>2</v>
          </cell>
          <cell r="P41">
            <v>1</v>
          </cell>
        </row>
        <row r="42">
          <cell r="A42" t="str">
            <v>С-907012</v>
          </cell>
          <cell r="B42" t="str">
            <v>С-9070</v>
          </cell>
          <cell r="C42">
            <v>1</v>
          </cell>
          <cell r="D42">
            <v>2</v>
          </cell>
          <cell r="E42">
            <v>142010</v>
          </cell>
          <cell r="F42">
            <v>31.3</v>
          </cell>
          <cell r="G42">
            <v>54.8</v>
          </cell>
          <cell r="H42">
            <v>4.3</v>
          </cell>
          <cell r="I42">
            <v>1.6</v>
          </cell>
          <cell r="J42">
            <v>2</v>
          </cell>
          <cell r="K42">
            <v>6.0000000000000142</v>
          </cell>
          <cell r="L42">
            <v>12</v>
          </cell>
          <cell r="M42">
            <v>10</v>
          </cell>
          <cell r="N42">
            <v>9</v>
          </cell>
          <cell r="O42">
            <v>2</v>
          </cell>
          <cell r="P42">
            <v>1</v>
          </cell>
        </row>
        <row r="43">
          <cell r="A43" t="str">
            <v>С-907013</v>
          </cell>
          <cell r="B43" t="str">
            <v>С-9070</v>
          </cell>
          <cell r="C43">
            <v>1</v>
          </cell>
          <cell r="D43">
            <v>3</v>
          </cell>
          <cell r="E43">
            <v>113600</v>
          </cell>
          <cell r="F43">
            <v>31.1</v>
          </cell>
          <cell r="G43">
            <v>54.6</v>
          </cell>
          <cell r="H43">
            <v>4.3</v>
          </cell>
          <cell r="I43">
            <v>1.6</v>
          </cell>
          <cell r="J43">
            <v>2</v>
          </cell>
          <cell r="K43">
            <v>6.4000000000000057</v>
          </cell>
          <cell r="L43">
            <v>14</v>
          </cell>
          <cell r="M43">
            <v>16</v>
          </cell>
          <cell r="N43">
            <v>9</v>
          </cell>
          <cell r="O43">
            <v>2</v>
          </cell>
          <cell r="P43">
            <v>1</v>
          </cell>
        </row>
        <row r="44">
          <cell r="A44" t="str">
            <v>С-907021</v>
          </cell>
          <cell r="B44" t="str">
            <v>С-9070</v>
          </cell>
          <cell r="C44">
            <v>2</v>
          </cell>
          <cell r="D44">
            <v>1</v>
          </cell>
          <cell r="E44">
            <v>126000</v>
          </cell>
          <cell r="F44">
            <v>30.6</v>
          </cell>
          <cell r="G44">
            <v>54</v>
          </cell>
          <cell r="H44">
            <v>4.3</v>
          </cell>
          <cell r="I44">
            <v>1.8</v>
          </cell>
          <cell r="J44">
            <v>2.1</v>
          </cell>
          <cell r="K44">
            <v>7.2000000000000171</v>
          </cell>
          <cell r="L44">
            <v>10</v>
          </cell>
          <cell r="M44">
            <v>5</v>
          </cell>
          <cell r="N44">
            <v>9</v>
          </cell>
          <cell r="O44">
            <v>2</v>
          </cell>
          <cell r="P44">
            <v>1</v>
          </cell>
        </row>
        <row r="45">
          <cell r="A45" t="str">
            <v>С-907022</v>
          </cell>
          <cell r="B45" t="str">
            <v>С-9070</v>
          </cell>
          <cell r="C45">
            <v>2</v>
          </cell>
          <cell r="D45">
            <v>2</v>
          </cell>
          <cell r="E45">
            <v>122260</v>
          </cell>
          <cell r="F45">
            <v>30.1</v>
          </cell>
          <cell r="G45">
            <v>53</v>
          </cell>
          <cell r="H45">
            <v>4.3</v>
          </cell>
          <cell r="I45">
            <v>1.8</v>
          </cell>
          <cell r="J45">
            <v>2.1</v>
          </cell>
          <cell r="K45">
            <v>8.7000000000000171</v>
          </cell>
          <cell r="L45">
            <v>13</v>
          </cell>
          <cell r="M45">
            <v>10</v>
          </cell>
          <cell r="N45">
            <v>9</v>
          </cell>
          <cell r="O45">
            <v>2</v>
          </cell>
          <cell r="P45">
            <v>1</v>
          </cell>
        </row>
        <row r="46">
          <cell r="A46" t="str">
            <v>С-907023</v>
          </cell>
          <cell r="B46" t="str">
            <v>С-9070</v>
          </cell>
          <cell r="C46">
            <v>2</v>
          </cell>
          <cell r="D46">
            <v>3</v>
          </cell>
          <cell r="E46">
            <v>112400</v>
          </cell>
          <cell r="F46">
            <v>29.8</v>
          </cell>
          <cell r="G46">
            <v>52.3</v>
          </cell>
          <cell r="H46">
            <v>4.3</v>
          </cell>
          <cell r="I46">
            <v>1.8</v>
          </cell>
          <cell r="J46">
            <v>2.1</v>
          </cell>
          <cell r="K46">
            <v>9.7000000000000171</v>
          </cell>
          <cell r="L46">
            <v>16</v>
          </cell>
          <cell r="M46">
            <v>16</v>
          </cell>
          <cell r="N46">
            <v>9</v>
          </cell>
          <cell r="O46">
            <v>2</v>
          </cell>
          <cell r="P46">
            <v>1</v>
          </cell>
        </row>
        <row r="47">
          <cell r="A47" t="str">
            <v>С-907031</v>
          </cell>
          <cell r="B47" t="str">
            <v>С-9070</v>
          </cell>
          <cell r="C47">
            <v>3</v>
          </cell>
          <cell r="D47">
            <v>1</v>
          </cell>
          <cell r="E47">
            <v>116670</v>
          </cell>
          <cell r="F47">
            <v>29.2</v>
          </cell>
          <cell r="G47">
            <v>51.1</v>
          </cell>
          <cell r="H47">
            <v>4.5</v>
          </cell>
          <cell r="I47">
            <v>2.2000000000000002</v>
          </cell>
          <cell r="J47">
            <v>2.8</v>
          </cell>
          <cell r="K47">
            <v>10.199999999999999</v>
          </cell>
          <cell r="L47">
            <v>11</v>
          </cell>
          <cell r="M47">
            <v>8</v>
          </cell>
          <cell r="N47">
            <v>9</v>
          </cell>
          <cell r="O47">
            <v>2</v>
          </cell>
          <cell r="P47">
            <v>1</v>
          </cell>
        </row>
        <row r="48">
          <cell r="A48" t="str">
            <v>С-907032</v>
          </cell>
          <cell r="B48" t="str">
            <v>С-9070</v>
          </cell>
          <cell r="C48">
            <v>3</v>
          </cell>
          <cell r="D48">
            <v>2</v>
          </cell>
          <cell r="E48">
            <v>103820</v>
          </cell>
          <cell r="F48">
            <v>28.5</v>
          </cell>
          <cell r="G48">
            <v>50.7</v>
          </cell>
          <cell r="H48">
            <v>4.5</v>
          </cell>
          <cell r="I48">
            <v>2.2000000000000002</v>
          </cell>
          <cell r="J48">
            <v>2.8</v>
          </cell>
          <cell r="K48">
            <v>11.3</v>
          </cell>
          <cell r="L48">
            <v>15</v>
          </cell>
          <cell r="M48">
            <v>12</v>
          </cell>
          <cell r="N48">
            <v>9</v>
          </cell>
          <cell r="O48">
            <v>2</v>
          </cell>
          <cell r="P48">
            <v>1</v>
          </cell>
        </row>
        <row r="49">
          <cell r="A49" t="str">
            <v>С-907033</v>
          </cell>
          <cell r="B49" t="str">
            <v>С-9070</v>
          </cell>
          <cell r="C49">
            <v>3</v>
          </cell>
          <cell r="D49">
            <v>3</v>
          </cell>
          <cell r="E49">
            <v>73510</v>
          </cell>
          <cell r="F49">
            <v>28.2</v>
          </cell>
          <cell r="G49">
            <v>50.7</v>
          </cell>
          <cell r="H49">
            <v>4.5</v>
          </cell>
          <cell r="I49">
            <v>2.2000000000000002</v>
          </cell>
          <cell r="J49">
            <v>2.8</v>
          </cell>
          <cell r="K49">
            <v>11.6</v>
          </cell>
          <cell r="L49">
            <v>18</v>
          </cell>
          <cell r="M49">
            <v>18</v>
          </cell>
          <cell r="N49">
            <v>9</v>
          </cell>
          <cell r="O49">
            <v>2</v>
          </cell>
          <cell r="P49">
            <v>1</v>
          </cell>
        </row>
        <row r="50">
          <cell r="A50" t="str">
            <v>С-907041</v>
          </cell>
          <cell r="B50" t="str">
            <v>С-9070</v>
          </cell>
          <cell r="C50">
            <v>4</v>
          </cell>
          <cell r="D50">
            <v>1</v>
          </cell>
          <cell r="E50">
            <v>86970</v>
          </cell>
          <cell r="F50">
            <v>26.6</v>
          </cell>
          <cell r="G50">
            <v>50.5</v>
          </cell>
          <cell r="H50">
            <v>4.8</v>
          </cell>
          <cell r="I50">
            <v>2.2999999999999998</v>
          </cell>
          <cell r="J50">
            <v>3</v>
          </cell>
          <cell r="K50">
            <v>12.8</v>
          </cell>
          <cell r="L50">
            <v>13</v>
          </cell>
          <cell r="M50">
            <v>12</v>
          </cell>
          <cell r="N50">
            <v>9</v>
          </cell>
          <cell r="O50">
            <v>2</v>
          </cell>
          <cell r="P50">
            <v>1</v>
          </cell>
        </row>
        <row r="51">
          <cell r="A51" t="str">
            <v>С-907042</v>
          </cell>
          <cell r="B51" t="str">
            <v>С-9070</v>
          </cell>
          <cell r="C51">
            <v>4</v>
          </cell>
          <cell r="D51">
            <v>2</v>
          </cell>
          <cell r="E51">
            <v>67390</v>
          </cell>
          <cell r="F51">
            <v>25.6</v>
          </cell>
          <cell r="G51">
            <v>50.5</v>
          </cell>
          <cell r="H51">
            <v>4.8</v>
          </cell>
          <cell r="I51">
            <v>2.2999999999999998</v>
          </cell>
          <cell r="J51">
            <v>3</v>
          </cell>
          <cell r="K51">
            <v>13.8</v>
          </cell>
          <cell r="L51">
            <v>17</v>
          </cell>
          <cell r="M51">
            <v>16</v>
          </cell>
          <cell r="N51">
            <v>9</v>
          </cell>
          <cell r="O51">
            <v>2</v>
          </cell>
          <cell r="P51">
            <v>1</v>
          </cell>
        </row>
        <row r="52">
          <cell r="A52" t="str">
            <v>С-907043</v>
          </cell>
          <cell r="B52" t="str">
            <v>С-9070</v>
          </cell>
          <cell r="C52">
            <v>4</v>
          </cell>
          <cell r="D52">
            <v>3</v>
          </cell>
          <cell r="E52">
            <v>51470</v>
          </cell>
          <cell r="F52">
            <v>25.3</v>
          </cell>
          <cell r="G52">
            <v>50.5</v>
          </cell>
          <cell r="H52">
            <v>4.8</v>
          </cell>
          <cell r="I52">
            <v>2.2999999999999998</v>
          </cell>
          <cell r="J52">
            <v>3</v>
          </cell>
          <cell r="K52">
            <v>14.1</v>
          </cell>
          <cell r="L52">
            <v>20</v>
          </cell>
          <cell r="M52">
            <v>20</v>
          </cell>
          <cell r="N52">
            <v>9</v>
          </cell>
          <cell r="O52">
            <v>2</v>
          </cell>
          <cell r="P52">
            <v>1</v>
          </cell>
        </row>
        <row r="53">
          <cell r="A53" t="str">
            <v>С-907053</v>
          </cell>
          <cell r="B53" t="str">
            <v>С-9070</v>
          </cell>
          <cell r="C53">
            <v>5</v>
          </cell>
          <cell r="D53">
            <v>3</v>
          </cell>
          <cell r="E53">
            <v>36120</v>
          </cell>
          <cell r="F53">
            <v>25.1</v>
          </cell>
          <cell r="G53">
            <v>50</v>
          </cell>
          <cell r="H53">
            <v>4.8</v>
          </cell>
          <cell r="I53">
            <v>2.2999999999999998</v>
          </cell>
          <cell r="J53">
            <v>3</v>
          </cell>
          <cell r="K53">
            <v>14.8</v>
          </cell>
          <cell r="L53">
            <v>22</v>
          </cell>
          <cell r="M53">
            <v>22</v>
          </cell>
          <cell r="N53">
            <v>9</v>
          </cell>
          <cell r="O53">
            <v>2</v>
          </cell>
          <cell r="P53">
            <v>1</v>
          </cell>
        </row>
        <row r="54">
          <cell r="A54" t="str">
            <v>С-911</v>
          </cell>
          <cell r="B54" t="str">
            <v>С-9</v>
          </cell>
          <cell r="C54">
            <v>1</v>
          </cell>
          <cell r="D54">
            <v>1</v>
          </cell>
          <cell r="E54">
            <v>111720</v>
          </cell>
          <cell r="N54">
            <v>9</v>
          </cell>
          <cell r="O54">
            <v>2</v>
          </cell>
          <cell r="P54">
            <v>1</v>
          </cell>
        </row>
        <row r="55">
          <cell r="A55" t="str">
            <v>С-912</v>
          </cell>
          <cell r="B55" t="str">
            <v>С-9</v>
          </cell>
          <cell r="C55">
            <v>1</v>
          </cell>
          <cell r="D55">
            <v>2</v>
          </cell>
          <cell r="E55">
            <v>108920</v>
          </cell>
          <cell r="N55">
            <v>9</v>
          </cell>
          <cell r="O55">
            <v>2</v>
          </cell>
          <cell r="P55">
            <v>1</v>
          </cell>
        </row>
        <row r="56">
          <cell r="A56" t="str">
            <v>С-913</v>
          </cell>
          <cell r="B56" t="str">
            <v>С-9</v>
          </cell>
          <cell r="C56">
            <v>1</v>
          </cell>
          <cell r="D56">
            <v>3</v>
          </cell>
          <cell r="E56">
            <v>87110</v>
          </cell>
          <cell r="N56">
            <v>9</v>
          </cell>
          <cell r="O56">
            <v>2</v>
          </cell>
          <cell r="P56">
            <v>1</v>
          </cell>
        </row>
        <row r="57">
          <cell r="A57" t="str">
            <v>С-921</v>
          </cell>
          <cell r="B57" t="str">
            <v>С-9</v>
          </cell>
          <cell r="C57">
            <v>2</v>
          </cell>
          <cell r="D57">
            <v>1</v>
          </cell>
          <cell r="E57">
            <v>96590</v>
          </cell>
          <cell r="N57">
            <v>9</v>
          </cell>
          <cell r="O57">
            <v>2</v>
          </cell>
          <cell r="P57">
            <v>1</v>
          </cell>
        </row>
        <row r="58">
          <cell r="A58" t="str">
            <v>С-922</v>
          </cell>
          <cell r="B58" t="str">
            <v>С-9</v>
          </cell>
          <cell r="C58">
            <v>2</v>
          </cell>
          <cell r="D58">
            <v>2</v>
          </cell>
          <cell r="E58">
            <v>93720</v>
          </cell>
          <cell r="N58">
            <v>9</v>
          </cell>
          <cell r="O58">
            <v>2</v>
          </cell>
          <cell r="P58">
            <v>1</v>
          </cell>
        </row>
        <row r="59">
          <cell r="A59" t="str">
            <v>С-923</v>
          </cell>
          <cell r="B59" t="str">
            <v>С-9</v>
          </cell>
          <cell r="C59">
            <v>2</v>
          </cell>
          <cell r="D59">
            <v>3</v>
          </cell>
          <cell r="E59">
            <v>86190</v>
          </cell>
          <cell r="N59">
            <v>9</v>
          </cell>
          <cell r="O59">
            <v>2</v>
          </cell>
          <cell r="P59">
            <v>1</v>
          </cell>
        </row>
        <row r="60">
          <cell r="A60" t="str">
            <v>С-931</v>
          </cell>
          <cell r="B60" t="str">
            <v>С-9</v>
          </cell>
          <cell r="C60">
            <v>3</v>
          </cell>
          <cell r="D60">
            <v>1</v>
          </cell>
          <cell r="E60">
            <v>89490</v>
          </cell>
          <cell r="N60">
            <v>9</v>
          </cell>
          <cell r="O60">
            <v>2</v>
          </cell>
          <cell r="P60">
            <v>1</v>
          </cell>
        </row>
        <row r="61">
          <cell r="A61" t="str">
            <v>С-932</v>
          </cell>
          <cell r="B61" t="str">
            <v>С-9</v>
          </cell>
          <cell r="C61">
            <v>3</v>
          </cell>
          <cell r="D61">
            <v>2</v>
          </cell>
          <cell r="E61">
            <v>79620</v>
          </cell>
          <cell r="N61">
            <v>9</v>
          </cell>
          <cell r="O61">
            <v>2</v>
          </cell>
          <cell r="P61">
            <v>1</v>
          </cell>
        </row>
        <row r="62">
          <cell r="A62" t="str">
            <v>С-933</v>
          </cell>
          <cell r="B62" t="str">
            <v>С-9</v>
          </cell>
          <cell r="C62">
            <v>3</v>
          </cell>
          <cell r="D62">
            <v>3</v>
          </cell>
          <cell r="E62">
            <v>56340</v>
          </cell>
          <cell r="N62">
            <v>9</v>
          </cell>
          <cell r="O62">
            <v>2</v>
          </cell>
          <cell r="P62">
            <v>1</v>
          </cell>
        </row>
        <row r="63">
          <cell r="A63" t="str">
            <v>С-941</v>
          </cell>
          <cell r="B63" t="str">
            <v>С-9</v>
          </cell>
          <cell r="C63">
            <v>4</v>
          </cell>
          <cell r="D63">
            <v>1</v>
          </cell>
          <cell r="E63">
            <v>66690</v>
          </cell>
          <cell r="N63">
            <v>9</v>
          </cell>
          <cell r="O63">
            <v>2</v>
          </cell>
          <cell r="P63">
            <v>1</v>
          </cell>
        </row>
        <row r="64">
          <cell r="A64" t="str">
            <v>С-942</v>
          </cell>
          <cell r="B64" t="str">
            <v>С-9</v>
          </cell>
          <cell r="C64">
            <v>4</v>
          </cell>
          <cell r="D64">
            <v>2</v>
          </cell>
          <cell r="E64">
            <v>51660</v>
          </cell>
          <cell r="N64">
            <v>9</v>
          </cell>
          <cell r="O64">
            <v>2</v>
          </cell>
          <cell r="P64">
            <v>1</v>
          </cell>
        </row>
        <row r="65">
          <cell r="A65" t="str">
            <v>С-943</v>
          </cell>
          <cell r="B65" t="str">
            <v>С-9</v>
          </cell>
          <cell r="C65">
            <v>4</v>
          </cell>
          <cell r="D65">
            <v>3</v>
          </cell>
          <cell r="E65">
            <v>39450</v>
          </cell>
          <cell r="N65">
            <v>9</v>
          </cell>
          <cell r="O65">
            <v>2</v>
          </cell>
          <cell r="P65">
            <v>1</v>
          </cell>
        </row>
        <row r="66">
          <cell r="A66" t="str">
            <v>С-953</v>
          </cell>
          <cell r="B66" t="str">
            <v>С-9</v>
          </cell>
          <cell r="C66">
            <v>5</v>
          </cell>
          <cell r="D66">
            <v>3</v>
          </cell>
          <cell r="E66">
            <v>27680</v>
          </cell>
          <cell r="N66">
            <v>9</v>
          </cell>
          <cell r="O66">
            <v>2</v>
          </cell>
          <cell r="P66">
            <v>1</v>
          </cell>
        </row>
        <row r="67">
          <cell r="A67" t="str">
            <v>С-1011</v>
          </cell>
          <cell r="B67" t="str">
            <v>С-10</v>
          </cell>
          <cell r="C67">
            <v>1</v>
          </cell>
          <cell r="D67">
            <v>1</v>
          </cell>
          <cell r="E67">
            <v>111720</v>
          </cell>
          <cell r="N67">
            <v>9</v>
          </cell>
          <cell r="O67">
            <v>2</v>
          </cell>
          <cell r="P67">
            <v>1</v>
          </cell>
        </row>
        <row r="68">
          <cell r="A68" t="str">
            <v>С-1012</v>
          </cell>
          <cell r="B68" t="str">
            <v>С-10</v>
          </cell>
          <cell r="C68">
            <v>1</v>
          </cell>
          <cell r="D68">
            <v>2</v>
          </cell>
          <cell r="E68">
            <v>108920</v>
          </cell>
          <cell r="N68">
            <v>9</v>
          </cell>
          <cell r="O68">
            <v>2</v>
          </cell>
          <cell r="P68">
            <v>1</v>
          </cell>
        </row>
        <row r="69">
          <cell r="A69" t="str">
            <v>С-1013</v>
          </cell>
          <cell r="B69" t="str">
            <v>С-10</v>
          </cell>
          <cell r="C69">
            <v>1</v>
          </cell>
          <cell r="D69">
            <v>3</v>
          </cell>
          <cell r="E69">
            <v>87110</v>
          </cell>
          <cell r="N69">
            <v>9</v>
          </cell>
          <cell r="O69">
            <v>2</v>
          </cell>
          <cell r="P69">
            <v>1</v>
          </cell>
        </row>
        <row r="70">
          <cell r="A70" t="str">
            <v>С-1021</v>
          </cell>
          <cell r="B70" t="str">
            <v>С-10</v>
          </cell>
          <cell r="C70">
            <v>2</v>
          </cell>
          <cell r="D70">
            <v>1</v>
          </cell>
          <cell r="E70">
            <v>96590</v>
          </cell>
          <cell r="N70">
            <v>9</v>
          </cell>
          <cell r="O70">
            <v>2</v>
          </cell>
          <cell r="P70">
            <v>1</v>
          </cell>
        </row>
        <row r="71">
          <cell r="A71" t="str">
            <v>С-1022</v>
          </cell>
          <cell r="B71" t="str">
            <v>С-10</v>
          </cell>
          <cell r="C71">
            <v>2</v>
          </cell>
          <cell r="D71">
            <v>2</v>
          </cell>
          <cell r="E71">
            <v>93720</v>
          </cell>
          <cell r="N71">
            <v>9</v>
          </cell>
          <cell r="O71">
            <v>2</v>
          </cell>
          <cell r="P71">
            <v>1</v>
          </cell>
        </row>
        <row r="72">
          <cell r="A72" t="str">
            <v>С-1023</v>
          </cell>
          <cell r="B72" t="str">
            <v>С-10</v>
          </cell>
          <cell r="C72">
            <v>2</v>
          </cell>
          <cell r="D72">
            <v>3</v>
          </cell>
          <cell r="E72">
            <v>86190</v>
          </cell>
          <cell r="N72">
            <v>9</v>
          </cell>
          <cell r="O72">
            <v>2</v>
          </cell>
          <cell r="P72">
            <v>1</v>
          </cell>
        </row>
        <row r="73">
          <cell r="A73" t="str">
            <v>С-1031</v>
          </cell>
          <cell r="B73" t="str">
            <v>С-10</v>
          </cell>
          <cell r="C73">
            <v>3</v>
          </cell>
          <cell r="D73">
            <v>1</v>
          </cell>
          <cell r="E73">
            <v>89490</v>
          </cell>
          <cell r="N73">
            <v>9</v>
          </cell>
          <cell r="O73">
            <v>2</v>
          </cell>
          <cell r="P73">
            <v>1</v>
          </cell>
        </row>
        <row r="74">
          <cell r="A74" t="str">
            <v>С-1032</v>
          </cell>
          <cell r="B74" t="str">
            <v>С-10</v>
          </cell>
          <cell r="C74">
            <v>3</v>
          </cell>
          <cell r="D74">
            <v>2</v>
          </cell>
          <cell r="E74">
            <v>79620</v>
          </cell>
          <cell r="N74">
            <v>9</v>
          </cell>
          <cell r="O74">
            <v>2</v>
          </cell>
          <cell r="P74">
            <v>1</v>
          </cell>
        </row>
        <row r="75">
          <cell r="A75" t="str">
            <v>С-1033</v>
          </cell>
          <cell r="B75" t="str">
            <v>С-10</v>
          </cell>
          <cell r="C75">
            <v>3</v>
          </cell>
          <cell r="D75">
            <v>3</v>
          </cell>
          <cell r="E75">
            <v>56340</v>
          </cell>
          <cell r="N75">
            <v>9</v>
          </cell>
          <cell r="O75">
            <v>2</v>
          </cell>
          <cell r="P75">
            <v>1</v>
          </cell>
        </row>
        <row r="76">
          <cell r="A76" t="str">
            <v>С-1041</v>
          </cell>
          <cell r="B76" t="str">
            <v>С-10</v>
          </cell>
          <cell r="C76">
            <v>4</v>
          </cell>
          <cell r="D76">
            <v>1</v>
          </cell>
          <cell r="E76">
            <v>66690</v>
          </cell>
          <cell r="N76">
            <v>9</v>
          </cell>
          <cell r="O76">
            <v>2</v>
          </cell>
          <cell r="P76">
            <v>1</v>
          </cell>
        </row>
        <row r="77">
          <cell r="A77" t="str">
            <v>С-1042</v>
          </cell>
          <cell r="B77" t="str">
            <v>С-10</v>
          </cell>
          <cell r="C77">
            <v>4</v>
          </cell>
          <cell r="D77">
            <v>2</v>
          </cell>
          <cell r="E77">
            <v>51660</v>
          </cell>
          <cell r="N77">
            <v>9</v>
          </cell>
          <cell r="O77">
            <v>2</v>
          </cell>
          <cell r="P77">
            <v>1</v>
          </cell>
        </row>
        <row r="78">
          <cell r="A78" t="str">
            <v>С-1043</v>
          </cell>
          <cell r="B78" t="str">
            <v>С-10</v>
          </cell>
          <cell r="C78">
            <v>4</v>
          </cell>
          <cell r="D78">
            <v>3</v>
          </cell>
          <cell r="E78">
            <v>39450</v>
          </cell>
          <cell r="N78">
            <v>9</v>
          </cell>
          <cell r="O78">
            <v>2</v>
          </cell>
          <cell r="P78">
            <v>1</v>
          </cell>
        </row>
        <row r="79">
          <cell r="A79" t="str">
            <v>С-1053</v>
          </cell>
          <cell r="B79" t="str">
            <v>С-10</v>
          </cell>
          <cell r="C79">
            <v>5</v>
          </cell>
          <cell r="D79">
            <v>3</v>
          </cell>
          <cell r="E79">
            <v>27680</v>
          </cell>
          <cell r="N79">
            <v>9</v>
          </cell>
          <cell r="O79">
            <v>2</v>
          </cell>
          <cell r="P79">
            <v>1</v>
          </cell>
        </row>
        <row r="80">
          <cell r="A80" t="str">
            <v>Т-611</v>
          </cell>
          <cell r="B80" t="str">
            <v>Т-6</v>
          </cell>
          <cell r="C80">
            <v>1</v>
          </cell>
          <cell r="D80">
            <v>1</v>
          </cell>
          <cell r="E80">
            <v>225620</v>
          </cell>
          <cell r="N80">
            <v>9</v>
          </cell>
          <cell r="O80">
            <v>2</v>
          </cell>
          <cell r="P80">
            <v>1</v>
          </cell>
        </row>
        <row r="81">
          <cell r="A81" t="str">
            <v>Т-612</v>
          </cell>
          <cell r="B81" t="str">
            <v>Т-6</v>
          </cell>
          <cell r="C81">
            <v>1</v>
          </cell>
          <cell r="D81">
            <v>2</v>
          </cell>
          <cell r="E81">
            <v>219760</v>
          </cell>
          <cell r="N81">
            <v>9</v>
          </cell>
          <cell r="O81">
            <v>2</v>
          </cell>
          <cell r="P81">
            <v>1</v>
          </cell>
        </row>
        <row r="82">
          <cell r="A82" t="str">
            <v>Т-613</v>
          </cell>
          <cell r="B82" t="str">
            <v>Т-6</v>
          </cell>
          <cell r="C82">
            <v>1</v>
          </cell>
          <cell r="D82">
            <v>3</v>
          </cell>
          <cell r="E82">
            <v>175890</v>
          </cell>
          <cell r="N82">
            <v>9</v>
          </cell>
          <cell r="O82">
            <v>2</v>
          </cell>
          <cell r="P82">
            <v>1</v>
          </cell>
        </row>
        <row r="83">
          <cell r="A83" t="str">
            <v>Т-621</v>
          </cell>
          <cell r="B83" t="str">
            <v>Т-6</v>
          </cell>
          <cell r="C83">
            <v>2</v>
          </cell>
          <cell r="D83">
            <v>1</v>
          </cell>
          <cell r="E83">
            <v>195000</v>
          </cell>
          <cell r="N83">
            <v>9</v>
          </cell>
          <cell r="O83">
            <v>2</v>
          </cell>
          <cell r="P83">
            <v>1</v>
          </cell>
        </row>
        <row r="84">
          <cell r="A84" t="str">
            <v>Т-622</v>
          </cell>
          <cell r="B84" t="str">
            <v>Т-6</v>
          </cell>
          <cell r="C84">
            <v>2</v>
          </cell>
          <cell r="D84">
            <v>2</v>
          </cell>
          <cell r="E84">
            <v>189150</v>
          </cell>
          <cell r="N84">
            <v>9</v>
          </cell>
          <cell r="O84">
            <v>2</v>
          </cell>
          <cell r="P84">
            <v>1</v>
          </cell>
        </row>
        <row r="85">
          <cell r="A85" t="str">
            <v>Т-623</v>
          </cell>
          <cell r="B85" t="str">
            <v>Т-6</v>
          </cell>
          <cell r="C85">
            <v>2</v>
          </cell>
          <cell r="D85">
            <v>3</v>
          </cell>
          <cell r="E85">
            <v>173940</v>
          </cell>
          <cell r="N85">
            <v>9</v>
          </cell>
          <cell r="O85">
            <v>2</v>
          </cell>
          <cell r="P85">
            <v>1</v>
          </cell>
        </row>
        <row r="86">
          <cell r="A86" t="str">
            <v>Т-631</v>
          </cell>
          <cell r="B86" t="str">
            <v>Т-6</v>
          </cell>
          <cell r="C86">
            <v>3</v>
          </cell>
          <cell r="D86">
            <v>1</v>
          </cell>
          <cell r="E86">
            <v>180570</v>
          </cell>
          <cell r="N86">
            <v>9</v>
          </cell>
          <cell r="O86">
            <v>2</v>
          </cell>
          <cell r="P86">
            <v>1</v>
          </cell>
        </row>
        <row r="87">
          <cell r="A87" t="str">
            <v>Т-632</v>
          </cell>
          <cell r="B87" t="str">
            <v>Т-6</v>
          </cell>
          <cell r="C87">
            <v>3</v>
          </cell>
          <cell r="D87">
            <v>2</v>
          </cell>
          <cell r="E87">
            <v>160680</v>
          </cell>
          <cell r="N87">
            <v>9</v>
          </cell>
          <cell r="O87">
            <v>2</v>
          </cell>
          <cell r="P87">
            <v>1</v>
          </cell>
        </row>
        <row r="88">
          <cell r="A88" t="str">
            <v>Т-633</v>
          </cell>
          <cell r="B88" t="str">
            <v>Т-6</v>
          </cell>
          <cell r="C88">
            <v>3</v>
          </cell>
          <cell r="D88">
            <v>3</v>
          </cell>
          <cell r="E88">
            <v>113680</v>
          </cell>
          <cell r="N88">
            <v>9</v>
          </cell>
          <cell r="O88">
            <v>2</v>
          </cell>
          <cell r="P88">
            <v>1</v>
          </cell>
        </row>
        <row r="89">
          <cell r="A89" t="str">
            <v>Т-641</v>
          </cell>
          <cell r="B89" t="str">
            <v>Т-6</v>
          </cell>
          <cell r="C89">
            <v>4</v>
          </cell>
          <cell r="D89">
            <v>1</v>
          </cell>
          <cell r="E89">
            <v>134550</v>
          </cell>
          <cell r="N89">
            <v>9</v>
          </cell>
          <cell r="O89">
            <v>2</v>
          </cell>
          <cell r="P89">
            <v>1</v>
          </cell>
        </row>
        <row r="90">
          <cell r="A90" t="str">
            <v>Т-642</v>
          </cell>
          <cell r="B90" t="str">
            <v>Т-6</v>
          </cell>
          <cell r="C90">
            <v>4</v>
          </cell>
          <cell r="D90">
            <v>2</v>
          </cell>
          <cell r="E90">
            <v>104320</v>
          </cell>
          <cell r="N90">
            <v>9</v>
          </cell>
          <cell r="O90">
            <v>2</v>
          </cell>
          <cell r="P90">
            <v>1</v>
          </cell>
        </row>
        <row r="91">
          <cell r="A91" t="str">
            <v>Т-643</v>
          </cell>
          <cell r="B91" t="str">
            <v>Т-6</v>
          </cell>
          <cell r="C91">
            <v>4</v>
          </cell>
          <cell r="D91">
            <v>3</v>
          </cell>
          <cell r="E91">
            <v>79760</v>
          </cell>
          <cell r="N91">
            <v>9</v>
          </cell>
          <cell r="O91">
            <v>2</v>
          </cell>
          <cell r="P91">
            <v>1</v>
          </cell>
        </row>
        <row r="92">
          <cell r="A92" t="str">
            <v>Т-653</v>
          </cell>
          <cell r="B92" t="str">
            <v>Т-6</v>
          </cell>
          <cell r="C92">
            <v>5</v>
          </cell>
          <cell r="D92">
            <v>3</v>
          </cell>
          <cell r="E92">
            <v>55960</v>
          </cell>
          <cell r="N92">
            <v>9</v>
          </cell>
          <cell r="O92">
            <v>2</v>
          </cell>
          <cell r="P92">
            <v>1</v>
          </cell>
        </row>
        <row r="93">
          <cell r="A93" t="str">
            <v>Ок-н211</v>
          </cell>
          <cell r="B93" t="str">
            <v>Ок-н2</v>
          </cell>
          <cell r="C93">
            <v>1</v>
          </cell>
          <cell r="D93">
            <v>1</v>
          </cell>
          <cell r="E93">
            <v>295040</v>
          </cell>
          <cell r="N93">
            <v>9</v>
          </cell>
          <cell r="O93">
            <v>2</v>
          </cell>
          <cell r="P93">
            <v>1</v>
          </cell>
        </row>
        <row r="94">
          <cell r="A94" t="str">
            <v>Ок-н212</v>
          </cell>
          <cell r="B94" t="str">
            <v>Ок-н2</v>
          </cell>
          <cell r="C94">
            <v>1</v>
          </cell>
          <cell r="D94">
            <v>2</v>
          </cell>
          <cell r="E94">
            <v>287380</v>
          </cell>
          <cell r="N94">
            <v>9</v>
          </cell>
          <cell r="O94">
            <v>2</v>
          </cell>
          <cell r="P94">
            <v>1</v>
          </cell>
        </row>
        <row r="95">
          <cell r="A95" t="str">
            <v>Ок-н213</v>
          </cell>
          <cell r="B95" t="str">
            <v>Ок-н2</v>
          </cell>
          <cell r="C95">
            <v>1</v>
          </cell>
          <cell r="D95">
            <v>3</v>
          </cell>
          <cell r="E95">
            <v>230010</v>
          </cell>
          <cell r="N95">
            <v>9</v>
          </cell>
          <cell r="O95">
            <v>2</v>
          </cell>
          <cell r="P95">
            <v>1</v>
          </cell>
        </row>
        <row r="96">
          <cell r="A96" t="str">
            <v>Ок-н221</v>
          </cell>
          <cell r="B96" t="str">
            <v>Ок-н2</v>
          </cell>
          <cell r="C96">
            <v>2</v>
          </cell>
          <cell r="D96">
            <v>1</v>
          </cell>
          <cell r="E96">
            <v>255000</v>
          </cell>
          <cell r="N96">
            <v>9</v>
          </cell>
          <cell r="O96">
            <v>2</v>
          </cell>
          <cell r="P96">
            <v>1</v>
          </cell>
        </row>
        <row r="97">
          <cell r="A97" t="str">
            <v>Ок-н222</v>
          </cell>
          <cell r="B97" t="str">
            <v>Ок-н2</v>
          </cell>
          <cell r="C97">
            <v>2</v>
          </cell>
          <cell r="D97">
            <v>2</v>
          </cell>
          <cell r="E97">
            <v>247350</v>
          </cell>
          <cell r="N97">
            <v>9</v>
          </cell>
          <cell r="O97">
            <v>2</v>
          </cell>
          <cell r="P97">
            <v>1</v>
          </cell>
        </row>
        <row r="98">
          <cell r="A98" t="str">
            <v>Ок-н223</v>
          </cell>
          <cell r="B98" t="str">
            <v>Ок-н2</v>
          </cell>
          <cell r="C98">
            <v>2</v>
          </cell>
          <cell r="D98">
            <v>3</v>
          </cell>
          <cell r="E98">
            <v>227460</v>
          </cell>
          <cell r="N98">
            <v>9</v>
          </cell>
          <cell r="O98">
            <v>2</v>
          </cell>
          <cell r="P98">
            <v>1</v>
          </cell>
        </row>
        <row r="99">
          <cell r="A99" t="str">
            <v>Ок-н231</v>
          </cell>
          <cell r="B99" t="str">
            <v>Ок-н2</v>
          </cell>
          <cell r="C99">
            <v>3</v>
          </cell>
          <cell r="D99">
            <v>1</v>
          </cell>
          <cell r="E99">
            <v>236130</v>
          </cell>
          <cell r="N99">
            <v>9</v>
          </cell>
          <cell r="O99">
            <v>2</v>
          </cell>
          <cell r="P99">
            <v>1</v>
          </cell>
        </row>
        <row r="100">
          <cell r="A100" t="str">
            <v>Ок-н232</v>
          </cell>
          <cell r="B100" t="str">
            <v>Ок-н2</v>
          </cell>
          <cell r="C100">
            <v>3</v>
          </cell>
          <cell r="D100">
            <v>2</v>
          </cell>
          <cell r="E100">
            <v>210120</v>
          </cell>
          <cell r="N100">
            <v>9</v>
          </cell>
          <cell r="O100">
            <v>2</v>
          </cell>
          <cell r="P100">
            <v>1</v>
          </cell>
        </row>
        <row r="101">
          <cell r="A101" t="str">
            <v>Ок-н233</v>
          </cell>
          <cell r="B101" t="str">
            <v>Ок-н2</v>
          </cell>
          <cell r="C101">
            <v>3</v>
          </cell>
          <cell r="D101">
            <v>3</v>
          </cell>
          <cell r="E101">
            <v>148660</v>
          </cell>
          <cell r="N101">
            <v>9</v>
          </cell>
          <cell r="O101">
            <v>2</v>
          </cell>
          <cell r="P101">
            <v>1</v>
          </cell>
        </row>
        <row r="102">
          <cell r="A102" t="str">
            <v>Ок-н241</v>
          </cell>
          <cell r="B102" t="str">
            <v>Ок-н2</v>
          </cell>
          <cell r="C102">
            <v>4</v>
          </cell>
          <cell r="D102">
            <v>1</v>
          </cell>
          <cell r="E102">
            <v>175950</v>
          </cell>
          <cell r="N102">
            <v>9</v>
          </cell>
          <cell r="O102">
            <v>2</v>
          </cell>
          <cell r="P102">
            <v>1</v>
          </cell>
        </row>
        <row r="103">
          <cell r="A103" t="str">
            <v>Ок-н242</v>
          </cell>
          <cell r="B103" t="str">
            <v>Ок-н2</v>
          </cell>
          <cell r="C103">
            <v>4</v>
          </cell>
          <cell r="D103">
            <v>2</v>
          </cell>
          <cell r="E103">
            <v>136420</v>
          </cell>
          <cell r="N103">
            <v>9</v>
          </cell>
          <cell r="O103">
            <v>2</v>
          </cell>
          <cell r="P103">
            <v>1</v>
          </cell>
        </row>
        <row r="104">
          <cell r="A104" t="str">
            <v>Ок-н243</v>
          </cell>
          <cell r="B104" t="str">
            <v>Ок-н2</v>
          </cell>
          <cell r="C104">
            <v>4</v>
          </cell>
          <cell r="D104">
            <v>3</v>
          </cell>
          <cell r="E104">
            <v>104300</v>
          </cell>
          <cell r="N104">
            <v>9</v>
          </cell>
          <cell r="O104">
            <v>2</v>
          </cell>
          <cell r="P104">
            <v>1</v>
          </cell>
        </row>
        <row r="105">
          <cell r="A105" t="str">
            <v>Ок-н253</v>
          </cell>
          <cell r="B105" t="str">
            <v>Ок-н2</v>
          </cell>
          <cell r="C105">
            <v>5</v>
          </cell>
          <cell r="D105">
            <v>3</v>
          </cell>
          <cell r="E105">
            <v>73180</v>
          </cell>
          <cell r="N105">
            <v>9</v>
          </cell>
          <cell r="O105">
            <v>2</v>
          </cell>
          <cell r="P105">
            <v>1</v>
          </cell>
        </row>
        <row r="106">
          <cell r="A106" t="str">
            <v>С-1211</v>
          </cell>
          <cell r="B106" t="str">
            <v>С-12</v>
          </cell>
          <cell r="C106">
            <v>1</v>
          </cell>
          <cell r="D106">
            <v>1</v>
          </cell>
          <cell r="E106">
            <v>111720</v>
          </cell>
          <cell r="N106">
            <v>9</v>
          </cell>
          <cell r="O106">
            <v>2</v>
          </cell>
          <cell r="P106">
            <v>1</v>
          </cell>
        </row>
        <row r="107">
          <cell r="A107" t="str">
            <v>С-1212</v>
          </cell>
          <cell r="B107" t="str">
            <v>С-12</v>
          </cell>
          <cell r="C107">
            <v>1</v>
          </cell>
          <cell r="D107">
            <v>2</v>
          </cell>
          <cell r="E107">
            <v>108920</v>
          </cell>
          <cell r="N107">
            <v>9</v>
          </cell>
          <cell r="O107">
            <v>2</v>
          </cell>
          <cell r="P107">
            <v>1</v>
          </cell>
        </row>
        <row r="108">
          <cell r="A108" t="str">
            <v>С-1213</v>
          </cell>
          <cell r="B108" t="str">
            <v>С-12</v>
          </cell>
          <cell r="C108">
            <v>1</v>
          </cell>
          <cell r="D108">
            <v>3</v>
          </cell>
          <cell r="E108">
            <v>87110</v>
          </cell>
          <cell r="N108">
            <v>9</v>
          </cell>
          <cell r="O108">
            <v>2</v>
          </cell>
          <cell r="P108">
            <v>1</v>
          </cell>
        </row>
        <row r="109">
          <cell r="A109" t="str">
            <v>С-1221</v>
          </cell>
          <cell r="B109" t="str">
            <v>С-12</v>
          </cell>
          <cell r="C109">
            <v>2</v>
          </cell>
          <cell r="D109">
            <v>1</v>
          </cell>
          <cell r="E109">
            <v>96590</v>
          </cell>
          <cell r="N109">
            <v>9</v>
          </cell>
          <cell r="O109">
            <v>2</v>
          </cell>
          <cell r="P109">
            <v>1</v>
          </cell>
        </row>
        <row r="110">
          <cell r="A110" t="str">
            <v>С-1222</v>
          </cell>
          <cell r="B110" t="str">
            <v>С-12</v>
          </cell>
          <cell r="C110">
            <v>2</v>
          </cell>
          <cell r="D110">
            <v>2</v>
          </cell>
          <cell r="E110">
            <v>93720</v>
          </cell>
          <cell r="N110">
            <v>9</v>
          </cell>
          <cell r="O110">
            <v>2</v>
          </cell>
          <cell r="P110">
            <v>1</v>
          </cell>
        </row>
        <row r="111">
          <cell r="A111" t="str">
            <v>С-1223</v>
          </cell>
          <cell r="B111" t="str">
            <v>С-12</v>
          </cell>
          <cell r="C111">
            <v>2</v>
          </cell>
          <cell r="D111">
            <v>3</v>
          </cell>
          <cell r="E111">
            <v>86190</v>
          </cell>
          <cell r="N111">
            <v>9</v>
          </cell>
          <cell r="O111">
            <v>2</v>
          </cell>
          <cell r="P111">
            <v>1</v>
          </cell>
        </row>
        <row r="112">
          <cell r="A112" t="str">
            <v>С-1231</v>
          </cell>
          <cell r="B112" t="str">
            <v>С-12</v>
          </cell>
          <cell r="C112">
            <v>3</v>
          </cell>
          <cell r="D112">
            <v>1</v>
          </cell>
          <cell r="E112">
            <v>89490</v>
          </cell>
          <cell r="N112">
            <v>9</v>
          </cell>
          <cell r="O112">
            <v>2</v>
          </cell>
          <cell r="P112">
            <v>1</v>
          </cell>
        </row>
        <row r="113">
          <cell r="A113" t="str">
            <v>С-1232</v>
          </cell>
          <cell r="B113" t="str">
            <v>С-12</v>
          </cell>
          <cell r="C113">
            <v>3</v>
          </cell>
          <cell r="D113">
            <v>2</v>
          </cell>
          <cell r="E113">
            <v>79620</v>
          </cell>
          <cell r="N113">
            <v>9</v>
          </cell>
          <cell r="O113">
            <v>2</v>
          </cell>
          <cell r="P113">
            <v>1</v>
          </cell>
        </row>
        <row r="114">
          <cell r="A114" t="str">
            <v>С-1233</v>
          </cell>
          <cell r="B114" t="str">
            <v>С-12</v>
          </cell>
          <cell r="C114">
            <v>3</v>
          </cell>
          <cell r="D114">
            <v>3</v>
          </cell>
          <cell r="E114">
            <v>56340</v>
          </cell>
          <cell r="N114">
            <v>9</v>
          </cell>
          <cell r="O114">
            <v>2</v>
          </cell>
          <cell r="P114">
            <v>1</v>
          </cell>
        </row>
        <row r="115">
          <cell r="A115" t="str">
            <v>С-1241</v>
          </cell>
          <cell r="B115" t="str">
            <v>С-12</v>
          </cell>
          <cell r="C115">
            <v>4</v>
          </cell>
          <cell r="D115">
            <v>1</v>
          </cell>
          <cell r="E115">
            <v>66690</v>
          </cell>
          <cell r="N115">
            <v>9</v>
          </cell>
          <cell r="O115">
            <v>2</v>
          </cell>
          <cell r="P115">
            <v>1</v>
          </cell>
        </row>
        <row r="116">
          <cell r="A116" t="str">
            <v>С-1242</v>
          </cell>
          <cell r="B116" t="str">
            <v>С-12</v>
          </cell>
          <cell r="C116">
            <v>4</v>
          </cell>
          <cell r="D116">
            <v>2</v>
          </cell>
          <cell r="E116">
            <v>51660</v>
          </cell>
          <cell r="N116">
            <v>9</v>
          </cell>
          <cell r="O116">
            <v>2</v>
          </cell>
          <cell r="P116">
            <v>1</v>
          </cell>
        </row>
        <row r="117">
          <cell r="A117" t="str">
            <v>С-1243</v>
          </cell>
          <cell r="B117" t="str">
            <v>С-12</v>
          </cell>
          <cell r="C117">
            <v>4</v>
          </cell>
          <cell r="D117">
            <v>3</v>
          </cell>
          <cell r="E117">
            <v>39450</v>
          </cell>
          <cell r="N117">
            <v>9</v>
          </cell>
          <cell r="O117">
            <v>2</v>
          </cell>
          <cell r="P117">
            <v>1</v>
          </cell>
        </row>
        <row r="118">
          <cell r="A118" t="str">
            <v>С-1253</v>
          </cell>
          <cell r="B118" t="str">
            <v>С-12</v>
          </cell>
          <cell r="C118">
            <v>5</v>
          </cell>
          <cell r="D118">
            <v>3</v>
          </cell>
          <cell r="E118">
            <v>27680</v>
          </cell>
          <cell r="N118">
            <v>9</v>
          </cell>
          <cell r="O118">
            <v>2</v>
          </cell>
          <cell r="P118">
            <v>1</v>
          </cell>
        </row>
        <row r="119">
          <cell r="A119" t="str">
            <v>АНБ-211</v>
          </cell>
          <cell r="B119" t="str">
            <v>АНБ-2</v>
          </cell>
          <cell r="C119">
            <v>1</v>
          </cell>
          <cell r="D119">
            <v>1</v>
          </cell>
          <cell r="E119">
            <v>295040</v>
          </cell>
          <cell r="F119">
            <v>34.5</v>
          </cell>
          <cell r="G119">
            <v>55.5</v>
          </cell>
          <cell r="H119">
            <v>2</v>
          </cell>
          <cell r="I119">
            <v>0.8</v>
          </cell>
          <cell r="J119">
            <v>2.4</v>
          </cell>
          <cell r="K119">
            <v>4.8</v>
          </cell>
          <cell r="L119">
            <v>9</v>
          </cell>
          <cell r="M119">
            <v>3</v>
          </cell>
          <cell r="N119">
            <v>9</v>
          </cell>
          <cell r="O119">
            <v>2</v>
          </cell>
          <cell r="P119">
            <v>1</v>
          </cell>
        </row>
        <row r="120">
          <cell r="A120" t="str">
            <v>АНБ-212</v>
          </cell>
          <cell r="B120" t="str">
            <v>АНБ-2</v>
          </cell>
          <cell r="C120">
            <v>1</v>
          </cell>
          <cell r="D120">
            <v>2</v>
          </cell>
          <cell r="E120">
            <v>287380</v>
          </cell>
          <cell r="F120">
            <v>34.200000000000003</v>
          </cell>
          <cell r="G120">
            <v>55.2</v>
          </cell>
          <cell r="H120">
            <v>2</v>
          </cell>
          <cell r="I120">
            <v>0.8</v>
          </cell>
          <cell r="J120">
            <v>2.4</v>
          </cell>
          <cell r="K120">
            <v>5.3999999999999915</v>
          </cell>
          <cell r="L120">
            <v>12</v>
          </cell>
          <cell r="M120">
            <v>10</v>
          </cell>
          <cell r="N120">
            <v>9</v>
          </cell>
          <cell r="O120">
            <v>2</v>
          </cell>
          <cell r="P120">
            <v>1</v>
          </cell>
        </row>
        <row r="121">
          <cell r="A121" t="str">
            <v>АНБ-213</v>
          </cell>
          <cell r="B121" t="str">
            <v>АНБ-2</v>
          </cell>
          <cell r="C121">
            <v>1</v>
          </cell>
          <cell r="D121">
            <v>3</v>
          </cell>
          <cell r="E121">
            <v>230010</v>
          </cell>
          <cell r="F121">
            <v>33.700000000000003</v>
          </cell>
          <cell r="G121">
            <v>55.2</v>
          </cell>
          <cell r="H121">
            <v>2</v>
          </cell>
          <cell r="I121">
            <v>0.8</v>
          </cell>
          <cell r="J121">
            <v>2.4</v>
          </cell>
          <cell r="K121">
            <v>5.8999999999999915</v>
          </cell>
          <cell r="L121">
            <v>14</v>
          </cell>
          <cell r="M121">
            <v>16</v>
          </cell>
          <cell r="N121">
            <v>9</v>
          </cell>
          <cell r="O121">
            <v>2</v>
          </cell>
          <cell r="P121">
            <v>1</v>
          </cell>
        </row>
        <row r="122">
          <cell r="A122" t="str">
            <v>АНБ-221</v>
          </cell>
          <cell r="B122" t="str">
            <v>АНБ-2</v>
          </cell>
          <cell r="C122">
            <v>2</v>
          </cell>
          <cell r="D122">
            <v>1</v>
          </cell>
          <cell r="E122">
            <v>255000</v>
          </cell>
          <cell r="F122">
            <v>33.1</v>
          </cell>
          <cell r="G122">
            <v>54.6</v>
          </cell>
          <cell r="H122">
            <v>2.7</v>
          </cell>
          <cell r="I122">
            <v>1</v>
          </cell>
          <cell r="J122">
            <v>2.5</v>
          </cell>
          <cell r="K122">
            <v>6.0999999999999943</v>
          </cell>
          <cell r="L122">
            <v>10</v>
          </cell>
          <cell r="M122">
            <v>5</v>
          </cell>
          <cell r="N122">
            <v>9</v>
          </cell>
          <cell r="O122">
            <v>2</v>
          </cell>
          <cell r="P122">
            <v>1</v>
          </cell>
        </row>
        <row r="123">
          <cell r="A123" t="str">
            <v>АНБ-222</v>
          </cell>
          <cell r="B123" t="str">
            <v>АНБ-2</v>
          </cell>
          <cell r="C123">
            <v>2</v>
          </cell>
          <cell r="D123">
            <v>2</v>
          </cell>
          <cell r="E123">
            <v>247350</v>
          </cell>
          <cell r="F123">
            <v>32.5</v>
          </cell>
          <cell r="G123">
            <v>54.1</v>
          </cell>
          <cell r="H123">
            <v>2.7</v>
          </cell>
          <cell r="I123">
            <v>1</v>
          </cell>
          <cell r="J123">
            <v>2.5</v>
          </cell>
          <cell r="K123">
            <v>7.2</v>
          </cell>
          <cell r="L123">
            <v>13</v>
          </cell>
          <cell r="M123">
            <v>10</v>
          </cell>
          <cell r="N123">
            <v>9</v>
          </cell>
          <cell r="O123">
            <v>2</v>
          </cell>
          <cell r="P123">
            <v>1</v>
          </cell>
        </row>
        <row r="124">
          <cell r="A124" t="str">
            <v>АНБ-223</v>
          </cell>
          <cell r="B124" t="str">
            <v>АНБ-2</v>
          </cell>
          <cell r="C124">
            <v>2</v>
          </cell>
          <cell r="D124">
            <v>3</v>
          </cell>
          <cell r="E124">
            <v>227460</v>
          </cell>
          <cell r="F124">
            <v>31.8</v>
          </cell>
          <cell r="G124">
            <v>54.1</v>
          </cell>
          <cell r="H124">
            <v>2.7</v>
          </cell>
          <cell r="I124">
            <v>1</v>
          </cell>
          <cell r="J124">
            <v>2.5</v>
          </cell>
          <cell r="K124">
            <v>7.8999999999999915</v>
          </cell>
          <cell r="L124">
            <v>16</v>
          </cell>
          <cell r="M124">
            <v>16</v>
          </cell>
          <cell r="N124">
            <v>9</v>
          </cell>
          <cell r="O124">
            <v>2</v>
          </cell>
          <cell r="P124">
            <v>1</v>
          </cell>
        </row>
        <row r="125">
          <cell r="A125" t="str">
            <v>АНБ-231</v>
          </cell>
          <cell r="B125" t="str">
            <v>АНБ-2</v>
          </cell>
          <cell r="C125">
            <v>3</v>
          </cell>
          <cell r="D125">
            <v>1</v>
          </cell>
          <cell r="E125">
            <v>236130</v>
          </cell>
          <cell r="F125">
            <v>31.5</v>
          </cell>
          <cell r="G125">
            <v>52</v>
          </cell>
          <cell r="H125">
            <v>3.1</v>
          </cell>
          <cell r="I125">
            <v>1.2</v>
          </cell>
          <cell r="J125">
            <v>3.2</v>
          </cell>
          <cell r="K125">
            <v>9</v>
          </cell>
          <cell r="L125">
            <v>11</v>
          </cell>
          <cell r="M125">
            <v>8</v>
          </cell>
          <cell r="N125">
            <v>9</v>
          </cell>
          <cell r="O125">
            <v>2</v>
          </cell>
          <cell r="P125">
            <v>1</v>
          </cell>
        </row>
        <row r="126">
          <cell r="A126" t="str">
            <v>АНБ-232</v>
          </cell>
          <cell r="B126" t="str">
            <v>АНБ-2</v>
          </cell>
          <cell r="C126">
            <v>3</v>
          </cell>
          <cell r="D126">
            <v>2</v>
          </cell>
          <cell r="E126">
            <v>210120</v>
          </cell>
          <cell r="F126">
            <v>30.4</v>
          </cell>
          <cell r="G126">
            <v>51.7</v>
          </cell>
          <cell r="H126">
            <v>3.1</v>
          </cell>
          <cell r="I126">
            <v>1.2</v>
          </cell>
          <cell r="J126">
            <v>3.2</v>
          </cell>
          <cell r="K126">
            <v>10.4</v>
          </cell>
          <cell r="L126">
            <v>15</v>
          </cell>
          <cell r="M126">
            <v>12</v>
          </cell>
          <cell r="N126">
            <v>9</v>
          </cell>
          <cell r="O126">
            <v>2</v>
          </cell>
          <cell r="P126">
            <v>1</v>
          </cell>
        </row>
        <row r="127">
          <cell r="A127" t="str">
            <v>АНБ-233</v>
          </cell>
          <cell r="B127" t="str">
            <v>АНБ-2</v>
          </cell>
          <cell r="C127">
            <v>3</v>
          </cell>
          <cell r="D127">
            <v>3</v>
          </cell>
          <cell r="E127">
            <v>148660</v>
          </cell>
          <cell r="F127">
            <v>29.9</v>
          </cell>
          <cell r="G127">
            <v>51.7</v>
          </cell>
          <cell r="H127">
            <v>3.1</v>
          </cell>
          <cell r="I127">
            <v>1.2</v>
          </cell>
          <cell r="J127">
            <v>3.2</v>
          </cell>
          <cell r="K127">
            <v>10.9</v>
          </cell>
          <cell r="L127">
            <v>18</v>
          </cell>
          <cell r="M127">
            <v>18</v>
          </cell>
          <cell r="N127">
            <v>9</v>
          </cell>
          <cell r="O127">
            <v>2</v>
          </cell>
          <cell r="P127">
            <v>1</v>
          </cell>
        </row>
        <row r="128">
          <cell r="A128" t="str">
            <v>АНБ-241</v>
          </cell>
          <cell r="B128" t="str">
            <v>АНБ-2</v>
          </cell>
          <cell r="C128">
            <v>4</v>
          </cell>
          <cell r="D128">
            <v>1</v>
          </cell>
          <cell r="E128">
            <v>175950</v>
          </cell>
          <cell r="F128">
            <v>29.1</v>
          </cell>
          <cell r="G128">
            <v>50.2</v>
          </cell>
          <cell r="H128">
            <v>4.2</v>
          </cell>
          <cell r="I128">
            <v>1.2</v>
          </cell>
          <cell r="J128">
            <v>3.4</v>
          </cell>
          <cell r="K128">
            <v>11.9</v>
          </cell>
          <cell r="L128">
            <v>13</v>
          </cell>
          <cell r="M128">
            <v>12</v>
          </cell>
          <cell r="N128">
            <v>9</v>
          </cell>
          <cell r="O128">
            <v>2</v>
          </cell>
          <cell r="P128">
            <v>1</v>
          </cell>
        </row>
        <row r="129">
          <cell r="A129" t="str">
            <v>АНБ-242</v>
          </cell>
          <cell r="B129" t="str">
            <v>АНБ-2</v>
          </cell>
          <cell r="C129">
            <v>4</v>
          </cell>
          <cell r="D129">
            <v>2</v>
          </cell>
          <cell r="E129">
            <v>136420</v>
          </cell>
          <cell r="F129">
            <v>28.8</v>
          </cell>
          <cell r="G129">
            <v>49.8</v>
          </cell>
          <cell r="H129">
            <v>4.2</v>
          </cell>
          <cell r="I129">
            <v>1.2</v>
          </cell>
          <cell r="J129">
            <v>3.4</v>
          </cell>
          <cell r="K129">
            <v>12.6</v>
          </cell>
          <cell r="L129">
            <v>17</v>
          </cell>
          <cell r="M129">
            <v>16</v>
          </cell>
          <cell r="N129">
            <v>9</v>
          </cell>
          <cell r="O129">
            <v>2</v>
          </cell>
          <cell r="P129">
            <v>1</v>
          </cell>
        </row>
        <row r="130">
          <cell r="A130" t="str">
            <v>АНБ-243</v>
          </cell>
          <cell r="B130" t="str">
            <v>АНБ-2</v>
          </cell>
          <cell r="C130">
            <v>4</v>
          </cell>
          <cell r="D130">
            <v>3</v>
          </cell>
          <cell r="E130">
            <v>104300</v>
          </cell>
          <cell r="F130">
            <v>28.3</v>
          </cell>
          <cell r="G130">
            <v>49.3</v>
          </cell>
          <cell r="H130">
            <v>4.2</v>
          </cell>
          <cell r="I130">
            <v>1.2</v>
          </cell>
          <cell r="J130">
            <v>3.4</v>
          </cell>
          <cell r="K130">
            <v>13.6</v>
          </cell>
          <cell r="L130">
            <v>20</v>
          </cell>
          <cell r="M130">
            <v>20</v>
          </cell>
          <cell r="N130">
            <v>9</v>
          </cell>
          <cell r="O130">
            <v>2</v>
          </cell>
          <cell r="P130">
            <v>1</v>
          </cell>
        </row>
        <row r="131">
          <cell r="A131" t="str">
            <v>АНБ-253</v>
          </cell>
          <cell r="B131" t="str">
            <v>АНБ-2</v>
          </cell>
          <cell r="C131">
            <v>5</v>
          </cell>
          <cell r="D131">
            <v>3</v>
          </cell>
          <cell r="E131">
            <v>73180</v>
          </cell>
          <cell r="F131">
            <v>27.4</v>
          </cell>
          <cell r="G131">
            <v>48.8</v>
          </cell>
          <cell r="H131">
            <v>4.7</v>
          </cell>
          <cell r="I131">
            <v>1.3</v>
          </cell>
          <cell r="J131">
            <v>3.5</v>
          </cell>
          <cell r="K131">
            <v>14.3</v>
          </cell>
          <cell r="L131">
            <v>22</v>
          </cell>
          <cell r="M131">
            <v>22</v>
          </cell>
          <cell r="N131">
            <v>9</v>
          </cell>
          <cell r="O131">
            <v>2</v>
          </cell>
          <cell r="P131">
            <v>1</v>
          </cell>
        </row>
        <row r="132">
          <cell r="A132" t="str">
            <v>Денов11</v>
          </cell>
          <cell r="B132" t="str">
            <v>Денов</v>
          </cell>
          <cell r="C132">
            <v>1</v>
          </cell>
          <cell r="D132">
            <v>1</v>
          </cell>
          <cell r="E132">
            <v>93120</v>
          </cell>
          <cell r="N132">
            <v>9</v>
          </cell>
          <cell r="O132">
            <v>2</v>
          </cell>
          <cell r="P132">
            <v>1</v>
          </cell>
        </row>
        <row r="133">
          <cell r="A133" t="str">
            <v>Денов12</v>
          </cell>
          <cell r="B133" t="str">
            <v>Денов</v>
          </cell>
          <cell r="C133">
            <v>1</v>
          </cell>
          <cell r="D133">
            <v>2</v>
          </cell>
          <cell r="E133">
            <v>90740</v>
          </cell>
          <cell r="N133">
            <v>9</v>
          </cell>
          <cell r="O133">
            <v>2</v>
          </cell>
          <cell r="P133">
            <v>1</v>
          </cell>
        </row>
        <row r="134">
          <cell r="A134" t="str">
            <v>Денов13</v>
          </cell>
          <cell r="B134" t="str">
            <v>Денов</v>
          </cell>
          <cell r="C134">
            <v>1</v>
          </cell>
          <cell r="D134">
            <v>3</v>
          </cell>
          <cell r="E134">
            <v>72590</v>
          </cell>
          <cell r="N134">
            <v>9</v>
          </cell>
          <cell r="O134">
            <v>2</v>
          </cell>
          <cell r="P134">
            <v>1</v>
          </cell>
        </row>
        <row r="135">
          <cell r="A135" t="str">
            <v>Денов21</v>
          </cell>
          <cell r="B135" t="str">
            <v>Денов</v>
          </cell>
          <cell r="C135">
            <v>2</v>
          </cell>
          <cell r="D135">
            <v>1</v>
          </cell>
          <cell r="E135">
            <v>80510</v>
          </cell>
          <cell r="N135">
            <v>9</v>
          </cell>
          <cell r="O135">
            <v>2</v>
          </cell>
          <cell r="P135">
            <v>1</v>
          </cell>
        </row>
        <row r="136">
          <cell r="A136" t="str">
            <v>Денов22</v>
          </cell>
          <cell r="B136" t="str">
            <v>Денов</v>
          </cell>
          <cell r="C136">
            <v>2</v>
          </cell>
          <cell r="D136">
            <v>2</v>
          </cell>
          <cell r="E136">
            <v>78120</v>
          </cell>
          <cell r="N136">
            <v>9</v>
          </cell>
          <cell r="O136">
            <v>2</v>
          </cell>
          <cell r="P136">
            <v>1</v>
          </cell>
        </row>
        <row r="137">
          <cell r="A137" t="str">
            <v>Денов23</v>
          </cell>
          <cell r="B137" t="str">
            <v>Денов</v>
          </cell>
          <cell r="C137">
            <v>2</v>
          </cell>
          <cell r="D137">
            <v>3</v>
          </cell>
          <cell r="E137">
            <v>71820</v>
          </cell>
          <cell r="N137">
            <v>9</v>
          </cell>
          <cell r="O137">
            <v>2</v>
          </cell>
          <cell r="P137">
            <v>1</v>
          </cell>
        </row>
        <row r="138">
          <cell r="A138" t="str">
            <v>Денов31</v>
          </cell>
          <cell r="B138" t="str">
            <v>Денов</v>
          </cell>
          <cell r="C138">
            <v>3</v>
          </cell>
          <cell r="D138">
            <v>1</v>
          </cell>
          <cell r="E138">
            <v>74550</v>
          </cell>
          <cell r="N138">
            <v>9</v>
          </cell>
          <cell r="O138">
            <v>2</v>
          </cell>
          <cell r="P138">
            <v>1</v>
          </cell>
        </row>
        <row r="139">
          <cell r="A139" t="str">
            <v>Денов32</v>
          </cell>
          <cell r="B139" t="str">
            <v>Денов</v>
          </cell>
          <cell r="C139">
            <v>3</v>
          </cell>
          <cell r="D139">
            <v>2</v>
          </cell>
          <cell r="E139">
            <v>66340</v>
          </cell>
          <cell r="N139">
            <v>9</v>
          </cell>
          <cell r="O139">
            <v>2</v>
          </cell>
          <cell r="P139">
            <v>1</v>
          </cell>
        </row>
        <row r="140">
          <cell r="A140" t="str">
            <v>Денов33</v>
          </cell>
          <cell r="B140" t="str">
            <v>Денов</v>
          </cell>
          <cell r="C140">
            <v>3</v>
          </cell>
          <cell r="D140">
            <v>3</v>
          </cell>
          <cell r="E140">
            <v>46970</v>
          </cell>
          <cell r="N140">
            <v>9</v>
          </cell>
          <cell r="O140">
            <v>2</v>
          </cell>
          <cell r="P140">
            <v>1</v>
          </cell>
        </row>
        <row r="141">
          <cell r="A141" t="str">
            <v>Денов41</v>
          </cell>
          <cell r="B141" t="str">
            <v>Денов</v>
          </cell>
          <cell r="C141">
            <v>4</v>
          </cell>
          <cell r="D141">
            <v>1</v>
          </cell>
          <cell r="E141">
            <v>55570</v>
          </cell>
          <cell r="N141">
            <v>9</v>
          </cell>
          <cell r="O141">
            <v>2</v>
          </cell>
          <cell r="P141">
            <v>1</v>
          </cell>
        </row>
        <row r="142">
          <cell r="A142" t="str">
            <v>Денов42</v>
          </cell>
          <cell r="B142" t="str">
            <v>Денов</v>
          </cell>
          <cell r="C142">
            <v>4</v>
          </cell>
          <cell r="D142">
            <v>2</v>
          </cell>
          <cell r="E142">
            <v>43060</v>
          </cell>
          <cell r="N142">
            <v>9</v>
          </cell>
          <cell r="O142">
            <v>2</v>
          </cell>
          <cell r="P142">
            <v>1</v>
          </cell>
        </row>
        <row r="143">
          <cell r="A143" t="str">
            <v>Денов43</v>
          </cell>
          <cell r="B143" t="str">
            <v>Денов</v>
          </cell>
          <cell r="C143">
            <v>4</v>
          </cell>
          <cell r="D143">
            <v>3</v>
          </cell>
          <cell r="E143">
            <v>32890</v>
          </cell>
          <cell r="N143">
            <v>9</v>
          </cell>
          <cell r="O143">
            <v>2</v>
          </cell>
          <cell r="P143">
            <v>1</v>
          </cell>
        </row>
        <row r="144">
          <cell r="A144" t="str">
            <v>Денов53</v>
          </cell>
          <cell r="B144" t="str">
            <v>Денов</v>
          </cell>
          <cell r="C144">
            <v>5</v>
          </cell>
          <cell r="D144">
            <v>3</v>
          </cell>
          <cell r="E144">
            <v>23080</v>
          </cell>
          <cell r="N144">
            <v>9</v>
          </cell>
          <cell r="O144">
            <v>2</v>
          </cell>
          <cell r="P144">
            <v>1</v>
          </cell>
        </row>
        <row r="145">
          <cell r="A145" t="str">
            <v>Н-7711</v>
          </cell>
          <cell r="B145" t="str">
            <v>Н-77</v>
          </cell>
          <cell r="C145">
            <v>1</v>
          </cell>
          <cell r="D145">
            <v>1</v>
          </cell>
          <cell r="E145">
            <v>227876</v>
          </cell>
          <cell r="F145">
            <v>34.4</v>
          </cell>
          <cell r="G145">
            <v>56.3</v>
          </cell>
          <cell r="H145">
            <v>1.7</v>
          </cell>
          <cell r="I145">
            <v>1.5</v>
          </cell>
          <cell r="J145">
            <v>1.6</v>
          </cell>
          <cell r="K145">
            <v>4.5</v>
          </cell>
          <cell r="N145">
            <v>9</v>
          </cell>
          <cell r="O145">
            <v>2</v>
          </cell>
          <cell r="P145">
            <v>1</v>
          </cell>
        </row>
        <row r="146">
          <cell r="A146" t="str">
            <v>Н-7712</v>
          </cell>
          <cell r="B146" t="str">
            <v>Н-77</v>
          </cell>
          <cell r="C146">
            <v>1</v>
          </cell>
          <cell r="D146">
            <v>2</v>
          </cell>
          <cell r="E146">
            <v>221958</v>
          </cell>
          <cell r="F146">
            <v>33.9</v>
          </cell>
          <cell r="G146">
            <v>55.9</v>
          </cell>
          <cell r="H146">
            <v>1.7</v>
          </cell>
          <cell r="I146">
            <v>1.5</v>
          </cell>
          <cell r="J146">
            <v>1.6</v>
          </cell>
          <cell r="K146">
            <v>5.4</v>
          </cell>
          <cell r="N146">
            <v>9</v>
          </cell>
          <cell r="O146">
            <v>2</v>
          </cell>
          <cell r="P146">
            <v>1</v>
          </cell>
        </row>
        <row r="147">
          <cell r="A147" t="str">
            <v>Н-7713</v>
          </cell>
          <cell r="B147" t="str">
            <v>Н-77</v>
          </cell>
          <cell r="C147">
            <v>1</v>
          </cell>
          <cell r="D147">
            <v>3</v>
          </cell>
          <cell r="E147">
            <v>177649</v>
          </cell>
          <cell r="F147">
            <v>33.700000000000003</v>
          </cell>
          <cell r="G147">
            <v>55.8</v>
          </cell>
          <cell r="H147">
            <v>1.7</v>
          </cell>
          <cell r="I147">
            <v>1.5</v>
          </cell>
          <cell r="J147">
            <v>1.6</v>
          </cell>
          <cell r="K147">
            <v>5.7</v>
          </cell>
          <cell r="N147">
            <v>9</v>
          </cell>
          <cell r="O147">
            <v>2</v>
          </cell>
          <cell r="P147">
            <v>1</v>
          </cell>
        </row>
        <row r="148">
          <cell r="A148" t="str">
            <v>Н-7721</v>
          </cell>
          <cell r="B148" t="str">
            <v>Н-77</v>
          </cell>
          <cell r="C148">
            <v>2</v>
          </cell>
          <cell r="D148">
            <v>1</v>
          </cell>
          <cell r="E148">
            <v>196950</v>
          </cell>
          <cell r="F148">
            <v>33.5</v>
          </cell>
          <cell r="G148">
            <v>54.6</v>
          </cell>
          <cell r="H148">
            <v>1.9</v>
          </cell>
          <cell r="I148">
            <v>1.7</v>
          </cell>
          <cell r="J148">
            <v>1.8</v>
          </cell>
          <cell r="K148">
            <v>6.5</v>
          </cell>
          <cell r="N148">
            <v>9</v>
          </cell>
          <cell r="O148">
            <v>2</v>
          </cell>
          <cell r="P148">
            <v>1</v>
          </cell>
        </row>
        <row r="149">
          <cell r="A149" t="str">
            <v>Н-7722</v>
          </cell>
          <cell r="B149" t="str">
            <v>Н-77</v>
          </cell>
          <cell r="C149">
            <v>2</v>
          </cell>
          <cell r="D149">
            <v>2</v>
          </cell>
          <cell r="E149">
            <v>191042</v>
          </cell>
          <cell r="F149">
            <v>33.1</v>
          </cell>
          <cell r="G149">
            <v>54.3</v>
          </cell>
          <cell r="H149">
            <v>1.9</v>
          </cell>
          <cell r="I149">
            <v>1.7</v>
          </cell>
          <cell r="J149">
            <v>1.8</v>
          </cell>
          <cell r="K149">
            <v>7.2</v>
          </cell>
          <cell r="N149">
            <v>9</v>
          </cell>
          <cell r="O149">
            <v>2</v>
          </cell>
          <cell r="P149">
            <v>1</v>
          </cell>
        </row>
        <row r="150">
          <cell r="A150" t="str">
            <v>Н-7723</v>
          </cell>
          <cell r="B150" t="str">
            <v>Н-77</v>
          </cell>
          <cell r="C150">
            <v>2</v>
          </cell>
          <cell r="D150">
            <v>3</v>
          </cell>
          <cell r="E150">
            <v>175679</v>
          </cell>
          <cell r="F150">
            <v>32.6</v>
          </cell>
          <cell r="G150">
            <v>54.3</v>
          </cell>
          <cell r="H150">
            <v>1.9</v>
          </cell>
          <cell r="I150">
            <v>1.7</v>
          </cell>
          <cell r="J150">
            <v>1.8</v>
          </cell>
          <cell r="K150">
            <v>7.7</v>
          </cell>
          <cell r="N150">
            <v>9</v>
          </cell>
          <cell r="O150">
            <v>2</v>
          </cell>
          <cell r="P150">
            <v>1</v>
          </cell>
        </row>
        <row r="151">
          <cell r="A151" t="str">
            <v>Н-7731</v>
          </cell>
          <cell r="B151" t="str">
            <v>Н-77</v>
          </cell>
          <cell r="C151">
            <v>3</v>
          </cell>
          <cell r="D151">
            <v>1</v>
          </cell>
          <cell r="E151">
            <v>182376</v>
          </cell>
          <cell r="F151">
            <v>31.9</v>
          </cell>
          <cell r="G151">
            <v>53.1</v>
          </cell>
          <cell r="H151">
            <v>2.2999999999999998</v>
          </cell>
          <cell r="I151">
            <v>2</v>
          </cell>
          <cell r="J151">
            <v>2</v>
          </cell>
          <cell r="K151">
            <v>8.6999999999999993</v>
          </cell>
          <cell r="N151">
            <v>9</v>
          </cell>
          <cell r="O151">
            <v>2</v>
          </cell>
          <cell r="P151">
            <v>1</v>
          </cell>
        </row>
        <row r="152">
          <cell r="A152" t="str">
            <v>Н-7732</v>
          </cell>
          <cell r="B152" t="str">
            <v>Н-77</v>
          </cell>
          <cell r="C152">
            <v>3</v>
          </cell>
          <cell r="D152">
            <v>2</v>
          </cell>
          <cell r="E152">
            <v>162287</v>
          </cell>
          <cell r="F152">
            <v>31.2</v>
          </cell>
          <cell r="G152">
            <v>53.1</v>
          </cell>
          <cell r="H152">
            <v>2.2999999999999998</v>
          </cell>
          <cell r="I152">
            <v>2</v>
          </cell>
          <cell r="J152">
            <v>2</v>
          </cell>
          <cell r="K152">
            <v>9.4</v>
          </cell>
          <cell r="N152">
            <v>9</v>
          </cell>
          <cell r="O152">
            <v>2</v>
          </cell>
          <cell r="P152">
            <v>1</v>
          </cell>
        </row>
        <row r="153">
          <cell r="A153" t="str">
            <v>Н-7733</v>
          </cell>
          <cell r="B153" t="str">
            <v>Н-77</v>
          </cell>
          <cell r="C153">
            <v>3</v>
          </cell>
          <cell r="D153">
            <v>3</v>
          </cell>
          <cell r="E153">
            <v>114817</v>
          </cell>
          <cell r="F153">
            <v>30.1</v>
          </cell>
          <cell r="G153">
            <v>53.1</v>
          </cell>
          <cell r="H153">
            <v>2.2999999999999998</v>
          </cell>
          <cell r="I153">
            <v>2</v>
          </cell>
          <cell r="J153">
            <v>2</v>
          </cell>
          <cell r="K153">
            <v>10.5</v>
          </cell>
          <cell r="N153">
            <v>9</v>
          </cell>
          <cell r="O153">
            <v>2</v>
          </cell>
          <cell r="P153">
            <v>1</v>
          </cell>
        </row>
        <row r="154">
          <cell r="A154" t="str">
            <v>Н-7741</v>
          </cell>
          <cell r="B154" t="str">
            <v>Н-77</v>
          </cell>
          <cell r="C154">
            <v>4</v>
          </cell>
          <cell r="D154">
            <v>1</v>
          </cell>
          <cell r="E154">
            <v>135896</v>
          </cell>
          <cell r="F154">
            <v>28.6</v>
          </cell>
          <cell r="G154">
            <v>52.7</v>
          </cell>
          <cell r="H154">
            <v>2.8</v>
          </cell>
          <cell r="I154">
            <v>2</v>
          </cell>
          <cell r="J154">
            <v>2</v>
          </cell>
          <cell r="K154">
            <v>11.9</v>
          </cell>
          <cell r="N154">
            <v>9</v>
          </cell>
          <cell r="O154">
            <v>2</v>
          </cell>
          <cell r="P154">
            <v>1</v>
          </cell>
        </row>
        <row r="155">
          <cell r="A155" t="str">
            <v>Н-7742</v>
          </cell>
          <cell r="B155" t="str">
            <v>Н-77</v>
          </cell>
          <cell r="C155">
            <v>4</v>
          </cell>
          <cell r="D155">
            <v>2</v>
          </cell>
          <cell r="E155">
            <v>105363</v>
          </cell>
          <cell r="F155">
            <v>28.2</v>
          </cell>
          <cell r="G155">
            <v>52.5</v>
          </cell>
          <cell r="H155">
            <v>2.8</v>
          </cell>
          <cell r="I155">
            <v>2</v>
          </cell>
          <cell r="J155">
            <v>2</v>
          </cell>
          <cell r="K155">
            <v>12.5</v>
          </cell>
          <cell r="N155">
            <v>9</v>
          </cell>
          <cell r="O155">
            <v>2</v>
          </cell>
          <cell r="P155">
            <v>1</v>
          </cell>
        </row>
        <row r="156">
          <cell r="A156" t="str">
            <v>Н-7743</v>
          </cell>
          <cell r="B156" t="str">
            <v>Н-77</v>
          </cell>
          <cell r="C156">
            <v>4</v>
          </cell>
          <cell r="D156">
            <v>3</v>
          </cell>
          <cell r="E156">
            <v>80558</v>
          </cell>
          <cell r="F156">
            <v>27.7</v>
          </cell>
          <cell r="G156">
            <v>52</v>
          </cell>
          <cell r="H156">
            <v>2.8</v>
          </cell>
          <cell r="I156">
            <v>2</v>
          </cell>
          <cell r="J156">
            <v>2</v>
          </cell>
          <cell r="K156">
            <v>13.5</v>
          </cell>
          <cell r="N156">
            <v>9</v>
          </cell>
          <cell r="O156">
            <v>2</v>
          </cell>
          <cell r="P156">
            <v>1</v>
          </cell>
        </row>
        <row r="157">
          <cell r="A157" t="str">
            <v>Н-7753</v>
          </cell>
          <cell r="B157" t="str">
            <v>Н-77</v>
          </cell>
          <cell r="C157">
            <v>5</v>
          </cell>
          <cell r="D157">
            <v>3</v>
          </cell>
          <cell r="E157">
            <v>56520</v>
          </cell>
          <cell r="F157">
            <v>27.2</v>
          </cell>
          <cell r="G157">
            <v>51.5</v>
          </cell>
          <cell r="H157">
            <v>2.8</v>
          </cell>
          <cell r="I157">
            <v>2</v>
          </cell>
          <cell r="J157">
            <v>2</v>
          </cell>
          <cell r="K157">
            <v>14.5</v>
          </cell>
          <cell r="N157">
            <v>9</v>
          </cell>
          <cell r="O157">
            <v>2</v>
          </cell>
          <cell r="P157">
            <v>1</v>
          </cell>
        </row>
        <row r="158">
          <cell r="A158" t="str">
            <v>Юл-з11</v>
          </cell>
          <cell r="B158" t="str">
            <v>Юл-з</v>
          </cell>
          <cell r="C158">
            <v>1</v>
          </cell>
          <cell r="D158">
            <v>1</v>
          </cell>
          <cell r="E158">
            <v>93120</v>
          </cell>
          <cell r="F158">
            <v>35.1</v>
          </cell>
          <cell r="G158">
            <v>55.9</v>
          </cell>
          <cell r="H158">
            <v>2.9</v>
          </cell>
          <cell r="I158">
            <v>0.7</v>
          </cell>
          <cell r="J158">
            <v>1.1000000000000001</v>
          </cell>
          <cell r="K158">
            <v>4.3</v>
          </cell>
          <cell r="N158">
            <v>9</v>
          </cell>
          <cell r="O158">
            <v>2</v>
          </cell>
          <cell r="P158">
            <v>1</v>
          </cell>
        </row>
        <row r="159">
          <cell r="A159" t="str">
            <v>Юл-з12</v>
          </cell>
          <cell r="B159" t="str">
            <v>Юл-з</v>
          </cell>
          <cell r="C159">
            <v>1</v>
          </cell>
          <cell r="D159">
            <v>2</v>
          </cell>
          <cell r="E159">
            <v>90740</v>
          </cell>
          <cell r="F159">
            <v>34.700000000000003</v>
          </cell>
          <cell r="G159">
            <v>55.6</v>
          </cell>
          <cell r="H159">
            <v>2.9</v>
          </cell>
          <cell r="I159">
            <v>0.7</v>
          </cell>
          <cell r="J159">
            <v>1.1000000000000001</v>
          </cell>
          <cell r="K159">
            <v>5</v>
          </cell>
          <cell r="N159">
            <v>9</v>
          </cell>
          <cell r="O159">
            <v>2</v>
          </cell>
          <cell r="P159">
            <v>1</v>
          </cell>
        </row>
        <row r="160">
          <cell r="A160" t="str">
            <v>Юл-з13</v>
          </cell>
          <cell r="B160" t="str">
            <v>Юл-з</v>
          </cell>
          <cell r="C160">
            <v>1</v>
          </cell>
          <cell r="D160">
            <v>3</v>
          </cell>
          <cell r="E160">
            <v>72590</v>
          </cell>
          <cell r="F160">
            <v>34.5</v>
          </cell>
          <cell r="G160">
            <v>55.3</v>
          </cell>
          <cell r="H160">
            <v>2.9</v>
          </cell>
          <cell r="I160">
            <v>0.7</v>
          </cell>
          <cell r="J160">
            <v>1.1000000000000001</v>
          </cell>
          <cell r="K160">
            <v>5.5</v>
          </cell>
          <cell r="N160">
            <v>9</v>
          </cell>
          <cell r="O160">
            <v>2</v>
          </cell>
          <cell r="P160">
            <v>1</v>
          </cell>
        </row>
        <row r="161">
          <cell r="A161" t="str">
            <v>Юл-з21</v>
          </cell>
          <cell r="B161" t="str">
            <v>Юл-з</v>
          </cell>
          <cell r="C161">
            <v>2</v>
          </cell>
          <cell r="D161">
            <v>1</v>
          </cell>
          <cell r="E161">
            <v>80510</v>
          </cell>
          <cell r="F161">
            <v>33.799999999999997</v>
          </cell>
          <cell r="G161">
            <v>55</v>
          </cell>
          <cell r="H161">
            <v>2.9</v>
          </cell>
          <cell r="I161">
            <v>0.8</v>
          </cell>
          <cell r="J161">
            <v>1.2</v>
          </cell>
          <cell r="K161">
            <v>6.3</v>
          </cell>
          <cell r="N161">
            <v>9</v>
          </cell>
          <cell r="O161">
            <v>2</v>
          </cell>
          <cell r="P161">
            <v>1</v>
          </cell>
        </row>
        <row r="162">
          <cell r="A162" t="str">
            <v>Юл-з22</v>
          </cell>
          <cell r="B162" t="str">
            <v>Юл-з</v>
          </cell>
          <cell r="C162">
            <v>2</v>
          </cell>
          <cell r="D162">
            <v>2</v>
          </cell>
          <cell r="E162">
            <v>78120</v>
          </cell>
          <cell r="F162">
            <v>33.299999999999997</v>
          </cell>
          <cell r="G162">
            <v>54.2</v>
          </cell>
          <cell r="H162">
            <v>2.9</v>
          </cell>
          <cell r="I162">
            <v>0.8</v>
          </cell>
          <cell r="J162">
            <v>1.2</v>
          </cell>
          <cell r="K162">
            <v>7.6</v>
          </cell>
          <cell r="N162">
            <v>9</v>
          </cell>
          <cell r="O162">
            <v>2</v>
          </cell>
          <cell r="P162">
            <v>1</v>
          </cell>
        </row>
        <row r="163">
          <cell r="A163" t="str">
            <v>Юл-з23</v>
          </cell>
          <cell r="B163" t="str">
            <v>Юл-з</v>
          </cell>
          <cell r="C163">
            <v>2</v>
          </cell>
          <cell r="D163">
            <v>3</v>
          </cell>
          <cell r="E163">
            <v>71820</v>
          </cell>
          <cell r="F163">
            <v>32.9</v>
          </cell>
          <cell r="G163">
            <v>54.1</v>
          </cell>
          <cell r="H163">
            <v>2.9</v>
          </cell>
          <cell r="I163">
            <v>0.8</v>
          </cell>
          <cell r="J163">
            <v>1.2</v>
          </cell>
          <cell r="K163">
            <v>8.1</v>
          </cell>
          <cell r="N163">
            <v>9</v>
          </cell>
          <cell r="O163">
            <v>2</v>
          </cell>
          <cell r="P163">
            <v>1</v>
          </cell>
        </row>
        <row r="164">
          <cell r="A164" t="str">
            <v>Юл-з31</v>
          </cell>
          <cell r="B164" t="str">
            <v>Юл-з</v>
          </cell>
          <cell r="C164">
            <v>3</v>
          </cell>
          <cell r="D164">
            <v>1</v>
          </cell>
          <cell r="E164">
            <v>74550</v>
          </cell>
          <cell r="F164">
            <v>32.6</v>
          </cell>
          <cell r="G164">
            <v>52.4</v>
          </cell>
          <cell r="H164">
            <v>3.6</v>
          </cell>
          <cell r="I164">
            <v>0.9</v>
          </cell>
          <cell r="J164">
            <v>1.3</v>
          </cell>
          <cell r="K164">
            <v>9.1999999999999993</v>
          </cell>
          <cell r="N164">
            <v>9</v>
          </cell>
          <cell r="O164">
            <v>2</v>
          </cell>
          <cell r="P164">
            <v>1</v>
          </cell>
        </row>
        <row r="165">
          <cell r="A165" t="str">
            <v>Юл-з32</v>
          </cell>
          <cell r="B165" t="str">
            <v>Юл-з</v>
          </cell>
          <cell r="C165">
            <v>3</v>
          </cell>
          <cell r="D165">
            <v>2</v>
          </cell>
          <cell r="E165">
            <v>66340</v>
          </cell>
          <cell r="F165">
            <v>32.200000000000003</v>
          </cell>
          <cell r="G165">
            <v>51.8</v>
          </cell>
          <cell r="H165">
            <v>3.6</v>
          </cell>
          <cell r="I165">
            <v>0.9</v>
          </cell>
          <cell r="J165">
            <v>1.3</v>
          </cell>
          <cell r="K165">
            <v>10.199999999999999</v>
          </cell>
          <cell r="N165">
            <v>9</v>
          </cell>
          <cell r="O165">
            <v>2</v>
          </cell>
          <cell r="P165">
            <v>1</v>
          </cell>
        </row>
        <row r="166">
          <cell r="A166" t="str">
            <v>Юл-з33</v>
          </cell>
          <cell r="B166" t="str">
            <v>Юл-з</v>
          </cell>
          <cell r="C166">
            <v>3</v>
          </cell>
          <cell r="D166">
            <v>3</v>
          </cell>
          <cell r="E166">
            <v>46970</v>
          </cell>
          <cell r="F166">
            <v>31.7</v>
          </cell>
          <cell r="G166">
            <v>51.8</v>
          </cell>
          <cell r="H166">
            <v>3.6</v>
          </cell>
          <cell r="I166">
            <v>0.9</v>
          </cell>
          <cell r="J166">
            <v>1.3</v>
          </cell>
          <cell r="K166">
            <v>10.7</v>
          </cell>
          <cell r="N166">
            <v>9</v>
          </cell>
          <cell r="O166">
            <v>2</v>
          </cell>
          <cell r="P166">
            <v>1</v>
          </cell>
        </row>
        <row r="167">
          <cell r="A167" t="str">
            <v>Юл-з41</v>
          </cell>
          <cell r="B167" t="str">
            <v>Юл-з</v>
          </cell>
          <cell r="C167">
            <v>4</v>
          </cell>
          <cell r="D167">
            <v>1</v>
          </cell>
          <cell r="E167">
            <v>55570</v>
          </cell>
          <cell r="F167">
            <v>30.2</v>
          </cell>
          <cell r="G167">
            <v>51.4</v>
          </cell>
          <cell r="H167">
            <v>3.7</v>
          </cell>
          <cell r="I167">
            <v>1</v>
          </cell>
          <cell r="J167">
            <v>1.4</v>
          </cell>
          <cell r="K167">
            <v>12.3</v>
          </cell>
          <cell r="N167">
            <v>9</v>
          </cell>
          <cell r="O167">
            <v>2</v>
          </cell>
          <cell r="P167">
            <v>1</v>
          </cell>
        </row>
        <row r="168">
          <cell r="A168" t="str">
            <v>Юл-з42</v>
          </cell>
          <cell r="B168" t="str">
            <v>Юл-з</v>
          </cell>
          <cell r="C168">
            <v>4</v>
          </cell>
          <cell r="D168">
            <v>2</v>
          </cell>
          <cell r="E168">
            <v>43060</v>
          </cell>
          <cell r="F168">
            <v>29.6</v>
          </cell>
          <cell r="G168">
            <v>50.9</v>
          </cell>
          <cell r="H168">
            <v>3.7</v>
          </cell>
          <cell r="I168">
            <v>1</v>
          </cell>
          <cell r="J168">
            <v>1.4</v>
          </cell>
          <cell r="K168">
            <v>13.4</v>
          </cell>
          <cell r="N168">
            <v>9</v>
          </cell>
          <cell r="O168">
            <v>2</v>
          </cell>
          <cell r="P168">
            <v>1</v>
          </cell>
        </row>
        <row r="169">
          <cell r="A169" t="str">
            <v>Юл-з43</v>
          </cell>
          <cell r="B169" t="str">
            <v>Юл-з</v>
          </cell>
          <cell r="C169">
            <v>4</v>
          </cell>
          <cell r="D169">
            <v>3</v>
          </cell>
          <cell r="E169">
            <v>32890</v>
          </cell>
          <cell r="F169">
            <v>29.1</v>
          </cell>
          <cell r="G169">
            <v>50.7</v>
          </cell>
          <cell r="H169">
            <v>3.7</v>
          </cell>
          <cell r="I169">
            <v>1</v>
          </cell>
          <cell r="J169">
            <v>1.4</v>
          </cell>
          <cell r="K169">
            <v>14.1</v>
          </cell>
          <cell r="N169">
            <v>9</v>
          </cell>
          <cell r="O169">
            <v>2</v>
          </cell>
          <cell r="P169">
            <v>1</v>
          </cell>
        </row>
        <row r="170">
          <cell r="A170" t="str">
            <v>Юл-з53</v>
          </cell>
          <cell r="B170" t="str">
            <v>Юл-з</v>
          </cell>
          <cell r="C170">
            <v>5</v>
          </cell>
          <cell r="D170">
            <v>3</v>
          </cell>
          <cell r="E170">
            <v>23080</v>
          </cell>
          <cell r="F170">
            <v>28.2</v>
          </cell>
          <cell r="G170">
            <v>50.7</v>
          </cell>
          <cell r="H170">
            <v>4</v>
          </cell>
          <cell r="I170">
            <v>1</v>
          </cell>
          <cell r="J170">
            <v>1.4</v>
          </cell>
          <cell r="K170">
            <v>14.7</v>
          </cell>
          <cell r="N170">
            <v>9</v>
          </cell>
          <cell r="O170">
            <v>2</v>
          </cell>
          <cell r="P170">
            <v>1</v>
          </cell>
        </row>
        <row r="171">
          <cell r="A171" t="str">
            <v>Т 3111</v>
          </cell>
          <cell r="B171" t="str">
            <v>Т 31</v>
          </cell>
          <cell r="C171">
            <v>1</v>
          </cell>
          <cell r="D171">
            <v>1</v>
          </cell>
          <cell r="E171">
            <v>93120</v>
          </cell>
          <cell r="N171">
            <v>9</v>
          </cell>
          <cell r="O171">
            <v>2</v>
          </cell>
          <cell r="P171">
            <v>1</v>
          </cell>
        </row>
        <row r="172">
          <cell r="A172" t="str">
            <v>Т 3112</v>
          </cell>
          <cell r="B172" t="str">
            <v>Т 31</v>
          </cell>
          <cell r="C172">
            <v>1</v>
          </cell>
          <cell r="D172">
            <v>2</v>
          </cell>
          <cell r="E172">
            <v>90740</v>
          </cell>
          <cell r="N172">
            <v>9</v>
          </cell>
          <cell r="O172">
            <v>2</v>
          </cell>
          <cell r="P172">
            <v>1</v>
          </cell>
        </row>
        <row r="173">
          <cell r="A173" t="str">
            <v>Т 3113</v>
          </cell>
          <cell r="B173" t="str">
            <v>Т 31</v>
          </cell>
          <cell r="C173">
            <v>1</v>
          </cell>
          <cell r="D173">
            <v>3</v>
          </cell>
          <cell r="E173">
            <v>72590</v>
          </cell>
          <cell r="N173">
            <v>9</v>
          </cell>
          <cell r="O173">
            <v>2</v>
          </cell>
          <cell r="P173">
            <v>1</v>
          </cell>
        </row>
        <row r="174">
          <cell r="A174" t="str">
            <v>Т 3121</v>
          </cell>
          <cell r="B174" t="str">
            <v>Т 31</v>
          </cell>
          <cell r="C174">
            <v>2</v>
          </cell>
          <cell r="D174">
            <v>1</v>
          </cell>
          <cell r="E174">
            <v>80510</v>
          </cell>
          <cell r="N174">
            <v>9</v>
          </cell>
          <cell r="O174">
            <v>2</v>
          </cell>
          <cell r="P174">
            <v>1</v>
          </cell>
        </row>
        <row r="175">
          <cell r="A175" t="str">
            <v>Т 3122</v>
          </cell>
          <cell r="B175" t="str">
            <v>Т 31</v>
          </cell>
          <cell r="C175">
            <v>2</v>
          </cell>
          <cell r="D175">
            <v>2</v>
          </cell>
          <cell r="E175">
            <v>78120</v>
          </cell>
          <cell r="N175">
            <v>9</v>
          </cell>
          <cell r="O175">
            <v>2</v>
          </cell>
          <cell r="P175">
            <v>1</v>
          </cell>
        </row>
        <row r="176">
          <cell r="A176" t="str">
            <v>Т 3123</v>
          </cell>
          <cell r="B176" t="str">
            <v>Т 31</v>
          </cell>
          <cell r="C176">
            <v>2</v>
          </cell>
          <cell r="D176">
            <v>3</v>
          </cell>
          <cell r="E176">
            <v>71820</v>
          </cell>
          <cell r="N176">
            <v>9</v>
          </cell>
          <cell r="O176">
            <v>2</v>
          </cell>
          <cell r="P176">
            <v>1</v>
          </cell>
        </row>
        <row r="177">
          <cell r="A177" t="str">
            <v>Т 3131</v>
          </cell>
          <cell r="B177" t="str">
            <v>Т 31</v>
          </cell>
          <cell r="C177">
            <v>3</v>
          </cell>
          <cell r="D177">
            <v>1</v>
          </cell>
          <cell r="E177">
            <v>74550</v>
          </cell>
          <cell r="N177">
            <v>9</v>
          </cell>
          <cell r="O177">
            <v>2</v>
          </cell>
          <cell r="P177">
            <v>1</v>
          </cell>
        </row>
        <row r="178">
          <cell r="A178" t="str">
            <v>Т 3132</v>
          </cell>
          <cell r="B178" t="str">
            <v>Т 31</v>
          </cell>
          <cell r="C178">
            <v>3</v>
          </cell>
          <cell r="D178">
            <v>2</v>
          </cell>
          <cell r="E178">
            <v>66340</v>
          </cell>
          <cell r="N178">
            <v>9</v>
          </cell>
          <cell r="O178">
            <v>2</v>
          </cell>
          <cell r="P178">
            <v>1</v>
          </cell>
        </row>
        <row r="179">
          <cell r="A179" t="str">
            <v>Т 3133</v>
          </cell>
          <cell r="B179" t="str">
            <v>Т 31</v>
          </cell>
          <cell r="C179">
            <v>3</v>
          </cell>
          <cell r="D179">
            <v>3</v>
          </cell>
          <cell r="E179">
            <v>46970</v>
          </cell>
          <cell r="N179">
            <v>9</v>
          </cell>
          <cell r="O179">
            <v>2</v>
          </cell>
          <cell r="P179">
            <v>1</v>
          </cell>
        </row>
        <row r="180">
          <cell r="A180" t="str">
            <v>Т 3141</v>
          </cell>
          <cell r="B180" t="str">
            <v>Т 31</v>
          </cell>
          <cell r="C180">
            <v>4</v>
          </cell>
          <cell r="D180">
            <v>1</v>
          </cell>
          <cell r="E180">
            <v>55570</v>
          </cell>
          <cell r="N180">
            <v>9</v>
          </cell>
          <cell r="O180">
            <v>2</v>
          </cell>
          <cell r="P180">
            <v>1</v>
          </cell>
        </row>
        <row r="181">
          <cell r="A181" t="str">
            <v>Т 3142</v>
          </cell>
          <cell r="B181" t="str">
            <v>Т 31</v>
          </cell>
          <cell r="C181">
            <v>4</v>
          </cell>
          <cell r="D181">
            <v>2</v>
          </cell>
          <cell r="E181">
            <v>43060</v>
          </cell>
          <cell r="N181">
            <v>9</v>
          </cell>
          <cell r="O181">
            <v>2</v>
          </cell>
          <cell r="P181">
            <v>1</v>
          </cell>
        </row>
        <row r="182">
          <cell r="A182" t="str">
            <v>Т 3143</v>
          </cell>
          <cell r="B182" t="str">
            <v>Т 31</v>
          </cell>
          <cell r="C182">
            <v>4</v>
          </cell>
          <cell r="D182">
            <v>3</v>
          </cell>
          <cell r="E182">
            <v>32890</v>
          </cell>
          <cell r="N182">
            <v>9</v>
          </cell>
          <cell r="O182">
            <v>2</v>
          </cell>
          <cell r="P182">
            <v>1</v>
          </cell>
        </row>
        <row r="183">
          <cell r="A183" t="str">
            <v>Т 3153</v>
          </cell>
          <cell r="B183" t="str">
            <v>Т 31</v>
          </cell>
          <cell r="C183">
            <v>5</v>
          </cell>
          <cell r="D183">
            <v>3</v>
          </cell>
          <cell r="E183">
            <v>23080</v>
          </cell>
          <cell r="N183">
            <v>9</v>
          </cell>
          <cell r="O183">
            <v>2</v>
          </cell>
          <cell r="P183">
            <v>1</v>
          </cell>
        </row>
        <row r="184">
          <cell r="A184" t="str">
            <v>С-211</v>
          </cell>
          <cell r="B184" t="str">
            <v>С-2</v>
          </cell>
          <cell r="C184">
            <v>1</v>
          </cell>
          <cell r="D184">
            <v>1</v>
          </cell>
          <cell r="E184">
            <v>93120</v>
          </cell>
          <cell r="N184">
            <v>9</v>
          </cell>
          <cell r="O184">
            <v>2</v>
          </cell>
          <cell r="P184">
            <v>1</v>
          </cell>
        </row>
        <row r="185">
          <cell r="A185" t="str">
            <v>С-212</v>
          </cell>
          <cell r="B185" t="str">
            <v>С-2</v>
          </cell>
          <cell r="C185">
            <v>1</v>
          </cell>
          <cell r="D185">
            <v>2</v>
          </cell>
          <cell r="E185">
            <v>90740</v>
          </cell>
          <cell r="N185">
            <v>9</v>
          </cell>
          <cell r="O185">
            <v>2</v>
          </cell>
          <cell r="P185">
            <v>1</v>
          </cell>
        </row>
        <row r="186">
          <cell r="A186" t="str">
            <v>С-213</v>
          </cell>
          <cell r="B186" t="str">
            <v>С-2</v>
          </cell>
          <cell r="C186">
            <v>1</v>
          </cell>
          <cell r="D186">
            <v>3</v>
          </cell>
          <cell r="E186">
            <v>72590</v>
          </cell>
          <cell r="N186">
            <v>9</v>
          </cell>
          <cell r="O186">
            <v>2</v>
          </cell>
          <cell r="P186">
            <v>1</v>
          </cell>
        </row>
        <row r="187">
          <cell r="A187" t="str">
            <v>С-221</v>
          </cell>
          <cell r="B187" t="str">
            <v>С-2</v>
          </cell>
          <cell r="C187">
            <v>2</v>
          </cell>
          <cell r="D187">
            <v>1</v>
          </cell>
          <cell r="E187">
            <v>80510</v>
          </cell>
          <cell r="N187">
            <v>9</v>
          </cell>
          <cell r="O187">
            <v>2</v>
          </cell>
          <cell r="P187">
            <v>1</v>
          </cell>
        </row>
        <row r="188">
          <cell r="A188" t="str">
            <v>С-222</v>
          </cell>
          <cell r="B188" t="str">
            <v>С-2</v>
          </cell>
          <cell r="C188">
            <v>2</v>
          </cell>
          <cell r="D188">
            <v>2</v>
          </cell>
          <cell r="E188">
            <v>78120</v>
          </cell>
          <cell r="N188">
            <v>9</v>
          </cell>
          <cell r="O188">
            <v>2</v>
          </cell>
          <cell r="P188">
            <v>1</v>
          </cell>
        </row>
        <row r="189">
          <cell r="A189" t="str">
            <v>С-223</v>
          </cell>
          <cell r="B189" t="str">
            <v>С-2</v>
          </cell>
          <cell r="C189">
            <v>2</v>
          </cell>
          <cell r="D189">
            <v>3</v>
          </cell>
          <cell r="E189">
            <v>71820</v>
          </cell>
          <cell r="N189">
            <v>9</v>
          </cell>
          <cell r="O189">
            <v>2</v>
          </cell>
          <cell r="P189">
            <v>1</v>
          </cell>
        </row>
        <row r="190">
          <cell r="A190" t="str">
            <v>С-231</v>
          </cell>
          <cell r="B190" t="str">
            <v>С-2</v>
          </cell>
          <cell r="C190">
            <v>3</v>
          </cell>
          <cell r="D190">
            <v>1</v>
          </cell>
          <cell r="E190">
            <v>74550</v>
          </cell>
          <cell r="N190">
            <v>9</v>
          </cell>
          <cell r="O190">
            <v>2</v>
          </cell>
          <cell r="P190">
            <v>1</v>
          </cell>
        </row>
        <row r="191">
          <cell r="A191" t="str">
            <v>С-232</v>
          </cell>
          <cell r="B191" t="str">
            <v>С-2</v>
          </cell>
          <cell r="C191">
            <v>3</v>
          </cell>
          <cell r="D191">
            <v>2</v>
          </cell>
          <cell r="E191">
            <v>66340</v>
          </cell>
          <cell r="N191">
            <v>9</v>
          </cell>
          <cell r="O191">
            <v>2</v>
          </cell>
          <cell r="P191">
            <v>1</v>
          </cell>
        </row>
        <row r="192">
          <cell r="A192" t="str">
            <v>С-233</v>
          </cell>
          <cell r="B192" t="str">
            <v>С-2</v>
          </cell>
          <cell r="C192">
            <v>3</v>
          </cell>
          <cell r="D192">
            <v>3</v>
          </cell>
          <cell r="E192">
            <v>46970</v>
          </cell>
          <cell r="N192">
            <v>9</v>
          </cell>
          <cell r="O192">
            <v>2</v>
          </cell>
          <cell r="P192">
            <v>1</v>
          </cell>
        </row>
        <row r="193">
          <cell r="A193" t="str">
            <v>С-241</v>
          </cell>
          <cell r="B193" t="str">
            <v>С-2</v>
          </cell>
          <cell r="C193">
            <v>4</v>
          </cell>
          <cell r="D193">
            <v>1</v>
          </cell>
          <cell r="E193">
            <v>55570</v>
          </cell>
          <cell r="N193">
            <v>9</v>
          </cell>
          <cell r="O193">
            <v>2</v>
          </cell>
          <cell r="P193">
            <v>1</v>
          </cell>
        </row>
        <row r="194">
          <cell r="A194" t="str">
            <v>С-242</v>
          </cell>
          <cell r="B194" t="str">
            <v>С-2</v>
          </cell>
          <cell r="C194">
            <v>4</v>
          </cell>
          <cell r="D194">
            <v>2</v>
          </cell>
          <cell r="E194">
            <v>43060</v>
          </cell>
          <cell r="N194">
            <v>9</v>
          </cell>
          <cell r="O194">
            <v>2</v>
          </cell>
          <cell r="P194">
            <v>1</v>
          </cell>
        </row>
        <row r="195">
          <cell r="A195" t="str">
            <v>С-243</v>
          </cell>
          <cell r="B195" t="str">
            <v>С-2</v>
          </cell>
          <cell r="C195">
            <v>4</v>
          </cell>
          <cell r="D195">
            <v>3</v>
          </cell>
          <cell r="E195">
            <v>32890</v>
          </cell>
          <cell r="N195">
            <v>9</v>
          </cell>
          <cell r="O195">
            <v>2</v>
          </cell>
          <cell r="P195">
            <v>1</v>
          </cell>
        </row>
        <row r="196">
          <cell r="A196" t="str">
            <v>С-253</v>
          </cell>
          <cell r="B196" t="str">
            <v>С-2</v>
          </cell>
          <cell r="C196">
            <v>5</v>
          </cell>
          <cell r="D196">
            <v>3</v>
          </cell>
          <cell r="E196">
            <v>23080</v>
          </cell>
          <cell r="N196">
            <v>9</v>
          </cell>
          <cell r="O196">
            <v>2</v>
          </cell>
          <cell r="P196">
            <v>1</v>
          </cell>
        </row>
        <row r="197">
          <cell r="A197" t="str">
            <v>НБ11</v>
          </cell>
          <cell r="B197" t="str">
            <v>НБ</v>
          </cell>
          <cell r="C197">
            <v>1</v>
          </cell>
          <cell r="D197">
            <v>1</v>
          </cell>
          <cell r="E197">
            <v>93120</v>
          </cell>
          <cell r="N197">
            <v>9</v>
          </cell>
          <cell r="O197">
            <v>2</v>
          </cell>
          <cell r="P197">
            <v>1</v>
          </cell>
        </row>
        <row r="198">
          <cell r="A198" t="str">
            <v>НБ12</v>
          </cell>
          <cell r="B198" t="str">
            <v>НБ</v>
          </cell>
          <cell r="C198">
            <v>1</v>
          </cell>
          <cell r="D198">
            <v>2</v>
          </cell>
          <cell r="E198">
            <v>90740</v>
          </cell>
          <cell r="N198">
            <v>9</v>
          </cell>
          <cell r="O198">
            <v>2</v>
          </cell>
          <cell r="P198">
            <v>1</v>
          </cell>
        </row>
        <row r="199">
          <cell r="A199" t="str">
            <v>НБ13</v>
          </cell>
          <cell r="B199" t="str">
            <v>НБ</v>
          </cell>
          <cell r="C199">
            <v>1</v>
          </cell>
          <cell r="D199">
            <v>3</v>
          </cell>
          <cell r="E199">
            <v>72590</v>
          </cell>
          <cell r="N199">
            <v>9</v>
          </cell>
          <cell r="O199">
            <v>2</v>
          </cell>
          <cell r="P199">
            <v>1</v>
          </cell>
        </row>
        <row r="200">
          <cell r="A200" t="str">
            <v>НБ21</v>
          </cell>
          <cell r="B200" t="str">
            <v>НБ</v>
          </cell>
          <cell r="C200">
            <v>2</v>
          </cell>
          <cell r="D200">
            <v>1</v>
          </cell>
          <cell r="E200">
            <v>80510</v>
          </cell>
          <cell r="N200">
            <v>9</v>
          </cell>
          <cell r="O200">
            <v>2</v>
          </cell>
          <cell r="P200">
            <v>1</v>
          </cell>
        </row>
        <row r="201">
          <cell r="A201" t="str">
            <v>НБ22</v>
          </cell>
          <cell r="B201" t="str">
            <v>НБ</v>
          </cell>
          <cell r="C201">
            <v>2</v>
          </cell>
          <cell r="D201">
            <v>2</v>
          </cell>
          <cell r="E201">
            <v>78120</v>
          </cell>
          <cell r="N201">
            <v>9</v>
          </cell>
          <cell r="O201">
            <v>2</v>
          </cell>
          <cell r="P201">
            <v>1</v>
          </cell>
        </row>
        <row r="202">
          <cell r="A202" t="str">
            <v>НБ23</v>
          </cell>
          <cell r="B202" t="str">
            <v>НБ</v>
          </cell>
          <cell r="C202">
            <v>2</v>
          </cell>
          <cell r="D202">
            <v>3</v>
          </cell>
          <cell r="E202">
            <v>71820</v>
          </cell>
          <cell r="N202">
            <v>9</v>
          </cell>
          <cell r="O202">
            <v>2</v>
          </cell>
          <cell r="P202">
            <v>1</v>
          </cell>
        </row>
        <row r="203">
          <cell r="A203" t="str">
            <v>НБ31</v>
          </cell>
          <cell r="B203" t="str">
            <v>НБ</v>
          </cell>
          <cell r="C203">
            <v>3</v>
          </cell>
          <cell r="D203">
            <v>1</v>
          </cell>
          <cell r="E203">
            <v>74550</v>
          </cell>
          <cell r="N203">
            <v>9</v>
          </cell>
          <cell r="O203">
            <v>2</v>
          </cell>
          <cell r="P203">
            <v>1</v>
          </cell>
        </row>
        <row r="204">
          <cell r="A204" t="str">
            <v>НБ32</v>
          </cell>
          <cell r="B204" t="str">
            <v>НБ</v>
          </cell>
          <cell r="C204">
            <v>3</v>
          </cell>
          <cell r="D204">
            <v>2</v>
          </cell>
          <cell r="E204">
            <v>66340</v>
          </cell>
          <cell r="N204">
            <v>9</v>
          </cell>
          <cell r="O204">
            <v>2</v>
          </cell>
          <cell r="P204">
            <v>1</v>
          </cell>
        </row>
        <row r="205">
          <cell r="A205" t="str">
            <v>НБ33</v>
          </cell>
          <cell r="B205" t="str">
            <v>НБ</v>
          </cell>
          <cell r="C205">
            <v>3</v>
          </cell>
          <cell r="D205">
            <v>3</v>
          </cell>
          <cell r="E205">
            <v>46970</v>
          </cell>
          <cell r="N205">
            <v>9</v>
          </cell>
          <cell r="O205">
            <v>2</v>
          </cell>
          <cell r="P205">
            <v>1</v>
          </cell>
        </row>
        <row r="206">
          <cell r="A206" t="str">
            <v>НБ41</v>
          </cell>
          <cell r="B206" t="str">
            <v>НБ</v>
          </cell>
          <cell r="C206">
            <v>4</v>
          </cell>
          <cell r="D206">
            <v>1</v>
          </cell>
          <cell r="E206">
            <v>55570</v>
          </cell>
          <cell r="N206">
            <v>9</v>
          </cell>
          <cell r="O206">
            <v>2</v>
          </cell>
          <cell r="P206">
            <v>1</v>
          </cell>
        </row>
        <row r="207">
          <cell r="A207" t="str">
            <v>НБ42</v>
          </cell>
          <cell r="B207" t="str">
            <v>НБ</v>
          </cell>
          <cell r="C207">
            <v>4</v>
          </cell>
          <cell r="D207">
            <v>2</v>
          </cell>
          <cell r="E207">
            <v>43060</v>
          </cell>
          <cell r="N207">
            <v>9</v>
          </cell>
          <cell r="O207">
            <v>2</v>
          </cell>
          <cell r="P207">
            <v>1</v>
          </cell>
        </row>
        <row r="208">
          <cell r="A208" t="str">
            <v>НБ43</v>
          </cell>
          <cell r="B208" t="str">
            <v>НБ</v>
          </cell>
          <cell r="C208">
            <v>4</v>
          </cell>
          <cell r="D208">
            <v>3</v>
          </cell>
          <cell r="E208">
            <v>32890</v>
          </cell>
          <cell r="N208">
            <v>9</v>
          </cell>
          <cell r="O208">
            <v>2</v>
          </cell>
          <cell r="P208">
            <v>1</v>
          </cell>
        </row>
        <row r="209">
          <cell r="A209" t="str">
            <v>НБ53</v>
          </cell>
          <cell r="B209" t="str">
            <v>НБ</v>
          </cell>
          <cell r="C209">
            <v>5</v>
          </cell>
          <cell r="D209">
            <v>3</v>
          </cell>
          <cell r="E209">
            <v>23080</v>
          </cell>
          <cell r="N209">
            <v>9</v>
          </cell>
          <cell r="O209">
            <v>2</v>
          </cell>
          <cell r="P209">
            <v>1</v>
          </cell>
        </row>
        <row r="210">
          <cell r="A210" t="str">
            <v>ДГ11</v>
          </cell>
          <cell r="B210" t="str">
            <v>ДГ</v>
          </cell>
          <cell r="C210">
            <v>1</v>
          </cell>
          <cell r="D210">
            <v>1</v>
          </cell>
          <cell r="E210">
            <v>93120</v>
          </cell>
          <cell r="N210">
            <v>9</v>
          </cell>
          <cell r="O210">
            <v>2</v>
          </cell>
          <cell r="P210">
            <v>1</v>
          </cell>
        </row>
        <row r="211">
          <cell r="A211" t="str">
            <v>ДГ12</v>
          </cell>
          <cell r="B211" t="str">
            <v>ДГ</v>
          </cell>
          <cell r="C211">
            <v>1</v>
          </cell>
          <cell r="D211">
            <v>2</v>
          </cell>
          <cell r="E211">
            <v>90740</v>
          </cell>
          <cell r="N211">
            <v>9</v>
          </cell>
          <cell r="O211">
            <v>2</v>
          </cell>
          <cell r="P211">
            <v>1</v>
          </cell>
        </row>
        <row r="212">
          <cell r="A212" t="str">
            <v>ДГ13</v>
          </cell>
          <cell r="B212" t="str">
            <v>ДГ</v>
          </cell>
          <cell r="C212">
            <v>1</v>
          </cell>
          <cell r="D212">
            <v>3</v>
          </cell>
          <cell r="E212">
            <v>72590</v>
          </cell>
          <cell r="N212">
            <v>9</v>
          </cell>
          <cell r="O212">
            <v>2</v>
          </cell>
          <cell r="P212">
            <v>1</v>
          </cell>
        </row>
        <row r="213">
          <cell r="A213" t="str">
            <v>ДГ21</v>
          </cell>
          <cell r="B213" t="str">
            <v>ДГ</v>
          </cell>
          <cell r="C213">
            <v>2</v>
          </cell>
          <cell r="D213">
            <v>1</v>
          </cell>
          <cell r="E213">
            <v>80510</v>
          </cell>
          <cell r="N213">
            <v>9</v>
          </cell>
          <cell r="O213">
            <v>2</v>
          </cell>
          <cell r="P213">
            <v>1</v>
          </cell>
        </row>
        <row r="214">
          <cell r="A214" t="str">
            <v>ДГ22</v>
          </cell>
          <cell r="B214" t="str">
            <v>ДГ</v>
          </cell>
          <cell r="C214">
            <v>2</v>
          </cell>
          <cell r="D214">
            <v>2</v>
          </cell>
          <cell r="E214">
            <v>78120</v>
          </cell>
          <cell r="N214">
            <v>9</v>
          </cell>
          <cell r="O214">
            <v>2</v>
          </cell>
          <cell r="P214">
            <v>1</v>
          </cell>
        </row>
        <row r="215">
          <cell r="A215" t="str">
            <v>ДГ23</v>
          </cell>
          <cell r="B215" t="str">
            <v>ДГ</v>
          </cell>
          <cell r="C215">
            <v>2</v>
          </cell>
          <cell r="D215">
            <v>3</v>
          </cell>
          <cell r="E215">
            <v>71820</v>
          </cell>
          <cell r="N215">
            <v>9</v>
          </cell>
          <cell r="O215">
            <v>2</v>
          </cell>
          <cell r="P215">
            <v>1</v>
          </cell>
        </row>
        <row r="216">
          <cell r="A216" t="str">
            <v>ДГ31</v>
          </cell>
          <cell r="B216" t="str">
            <v>ДГ</v>
          </cell>
          <cell r="C216">
            <v>3</v>
          </cell>
          <cell r="D216">
            <v>1</v>
          </cell>
          <cell r="E216">
            <v>74550</v>
          </cell>
          <cell r="N216">
            <v>9</v>
          </cell>
          <cell r="O216">
            <v>2</v>
          </cell>
          <cell r="P216">
            <v>1</v>
          </cell>
        </row>
        <row r="217">
          <cell r="A217" t="str">
            <v>ДГ32</v>
          </cell>
          <cell r="B217" t="str">
            <v>ДГ</v>
          </cell>
          <cell r="C217">
            <v>3</v>
          </cell>
          <cell r="D217">
            <v>2</v>
          </cell>
          <cell r="E217">
            <v>66340</v>
          </cell>
          <cell r="N217">
            <v>9</v>
          </cell>
          <cell r="O217">
            <v>2</v>
          </cell>
          <cell r="P217">
            <v>1</v>
          </cell>
        </row>
        <row r="218">
          <cell r="A218" t="str">
            <v>ДГ33</v>
          </cell>
          <cell r="B218" t="str">
            <v>ДГ</v>
          </cell>
          <cell r="C218">
            <v>3</v>
          </cell>
          <cell r="D218">
            <v>3</v>
          </cell>
          <cell r="E218">
            <v>46970</v>
          </cell>
          <cell r="N218">
            <v>9</v>
          </cell>
          <cell r="O218">
            <v>2</v>
          </cell>
          <cell r="P218">
            <v>1</v>
          </cell>
        </row>
        <row r="219">
          <cell r="A219" t="str">
            <v>ДГ41</v>
          </cell>
          <cell r="B219" t="str">
            <v>ДГ</v>
          </cell>
          <cell r="C219">
            <v>4</v>
          </cell>
          <cell r="D219">
            <v>1</v>
          </cell>
          <cell r="E219">
            <v>55570</v>
          </cell>
          <cell r="N219">
            <v>9</v>
          </cell>
          <cell r="O219">
            <v>2</v>
          </cell>
          <cell r="P219">
            <v>1</v>
          </cell>
        </row>
        <row r="220">
          <cell r="A220" t="str">
            <v>ДГ42</v>
          </cell>
          <cell r="B220" t="str">
            <v>ДГ</v>
          </cell>
          <cell r="C220">
            <v>4</v>
          </cell>
          <cell r="D220">
            <v>2</v>
          </cell>
          <cell r="E220">
            <v>43060</v>
          </cell>
          <cell r="N220">
            <v>9</v>
          </cell>
          <cell r="O220">
            <v>2</v>
          </cell>
          <cell r="P220">
            <v>1</v>
          </cell>
        </row>
        <row r="221">
          <cell r="A221" t="str">
            <v>ДГ43</v>
          </cell>
          <cell r="B221" t="str">
            <v>ДГ</v>
          </cell>
          <cell r="C221">
            <v>4</v>
          </cell>
          <cell r="D221">
            <v>3</v>
          </cell>
          <cell r="E221">
            <v>32890</v>
          </cell>
          <cell r="N221">
            <v>9</v>
          </cell>
          <cell r="O221">
            <v>2</v>
          </cell>
          <cell r="P221">
            <v>1</v>
          </cell>
        </row>
        <row r="222">
          <cell r="A222" t="str">
            <v>ДГ53</v>
          </cell>
          <cell r="B222" t="str">
            <v>ДГ</v>
          </cell>
          <cell r="C222">
            <v>5</v>
          </cell>
          <cell r="D222">
            <v>3</v>
          </cell>
          <cell r="E222">
            <v>23080</v>
          </cell>
          <cell r="N222">
            <v>9</v>
          </cell>
          <cell r="O222">
            <v>2</v>
          </cell>
          <cell r="P222">
            <v>1</v>
          </cell>
        </row>
        <row r="223">
          <cell r="A223" t="str">
            <v>АТТ11</v>
          </cell>
          <cell r="B223" t="str">
            <v>АТТ</v>
          </cell>
          <cell r="C223">
            <v>1</v>
          </cell>
          <cell r="D223">
            <v>1</v>
          </cell>
          <cell r="E223">
            <v>93120</v>
          </cell>
          <cell r="N223">
            <v>9</v>
          </cell>
          <cell r="O223">
            <v>2</v>
          </cell>
          <cell r="P223">
            <v>1</v>
          </cell>
        </row>
        <row r="224">
          <cell r="A224" t="str">
            <v>АТТ12</v>
          </cell>
          <cell r="B224" t="str">
            <v>АТТ</v>
          </cell>
          <cell r="C224">
            <v>1</v>
          </cell>
          <cell r="D224">
            <v>2</v>
          </cell>
          <cell r="E224">
            <v>90740</v>
          </cell>
          <cell r="N224">
            <v>9</v>
          </cell>
          <cell r="O224">
            <v>2</v>
          </cell>
          <cell r="P224">
            <v>1</v>
          </cell>
        </row>
        <row r="225">
          <cell r="A225" t="str">
            <v>АТТ13</v>
          </cell>
          <cell r="B225" t="str">
            <v>АТТ</v>
          </cell>
          <cell r="C225">
            <v>1</v>
          </cell>
          <cell r="D225">
            <v>3</v>
          </cell>
          <cell r="E225">
            <v>72590</v>
          </cell>
          <cell r="N225">
            <v>9</v>
          </cell>
          <cell r="O225">
            <v>2</v>
          </cell>
          <cell r="P225">
            <v>1</v>
          </cell>
        </row>
        <row r="226">
          <cell r="A226" t="str">
            <v>АТТ21</v>
          </cell>
          <cell r="B226" t="str">
            <v>АТТ</v>
          </cell>
          <cell r="C226">
            <v>2</v>
          </cell>
          <cell r="D226">
            <v>1</v>
          </cell>
          <cell r="E226">
            <v>80510</v>
          </cell>
          <cell r="N226">
            <v>9</v>
          </cell>
          <cell r="O226">
            <v>2</v>
          </cell>
          <cell r="P226">
            <v>1</v>
          </cell>
        </row>
        <row r="227">
          <cell r="A227" t="str">
            <v>АТТ22</v>
          </cell>
          <cell r="B227" t="str">
            <v>АТТ</v>
          </cell>
          <cell r="C227">
            <v>2</v>
          </cell>
          <cell r="D227">
            <v>2</v>
          </cell>
          <cell r="E227">
            <v>78120</v>
          </cell>
          <cell r="N227">
            <v>9</v>
          </cell>
          <cell r="O227">
            <v>2</v>
          </cell>
          <cell r="P227">
            <v>1</v>
          </cell>
        </row>
        <row r="228">
          <cell r="A228" t="str">
            <v>АТТ23</v>
          </cell>
          <cell r="B228" t="str">
            <v>АТТ</v>
          </cell>
          <cell r="C228">
            <v>2</v>
          </cell>
          <cell r="D228">
            <v>3</v>
          </cell>
          <cell r="E228">
            <v>71820</v>
          </cell>
          <cell r="N228">
            <v>9</v>
          </cell>
          <cell r="O228">
            <v>2</v>
          </cell>
          <cell r="P228">
            <v>1</v>
          </cell>
        </row>
        <row r="229">
          <cell r="A229" t="str">
            <v>АТТ31</v>
          </cell>
          <cell r="B229" t="str">
            <v>АТТ</v>
          </cell>
          <cell r="C229">
            <v>3</v>
          </cell>
          <cell r="D229">
            <v>1</v>
          </cell>
          <cell r="E229">
            <v>74550</v>
          </cell>
          <cell r="N229">
            <v>9</v>
          </cell>
          <cell r="O229">
            <v>2</v>
          </cell>
          <cell r="P229">
            <v>1</v>
          </cell>
        </row>
        <row r="230">
          <cell r="A230" t="str">
            <v>АТТ32</v>
          </cell>
          <cell r="B230" t="str">
            <v>АТТ</v>
          </cell>
          <cell r="C230">
            <v>3</v>
          </cell>
          <cell r="D230">
            <v>2</v>
          </cell>
          <cell r="E230">
            <v>66340</v>
          </cell>
          <cell r="N230">
            <v>9</v>
          </cell>
          <cell r="O230">
            <v>2</v>
          </cell>
          <cell r="P230">
            <v>1</v>
          </cell>
        </row>
        <row r="231">
          <cell r="A231" t="str">
            <v>АТТ33</v>
          </cell>
          <cell r="B231" t="str">
            <v>АТТ</v>
          </cell>
          <cell r="C231">
            <v>3</v>
          </cell>
          <cell r="D231">
            <v>3</v>
          </cell>
          <cell r="E231">
            <v>46970</v>
          </cell>
          <cell r="N231">
            <v>9</v>
          </cell>
          <cell r="O231">
            <v>2</v>
          </cell>
          <cell r="P231">
            <v>1</v>
          </cell>
        </row>
        <row r="232">
          <cell r="A232" t="str">
            <v>АТТ41</v>
          </cell>
          <cell r="B232" t="str">
            <v>АТТ</v>
          </cell>
          <cell r="C232">
            <v>4</v>
          </cell>
          <cell r="D232">
            <v>1</v>
          </cell>
          <cell r="E232">
            <v>55570</v>
          </cell>
          <cell r="N232">
            <v>9</v>
          </cell>
          <cell r="O232">
            <v>2</v>
          </cell>
          <cell r="P232">
            <v>1</v>
          </cell>
        </row>
        <row r="233">
          <cell r="A233" t="str">
            <v>АТТ42</v>
          </cell>
          <cell r="B233" t="str">
            <v>АТТ</v>
          </cell>
          <cell r="C233">
            <v>4</v>
          </cell>
          <cell r="D233">
            <v>2</v>
          </cell>
          <cell r="E233">
            <v>43060</v>
          </cell>
          <cell r="N233">
            <v>9</v>
          </cell>
          <cell r="O233">
            <v>2</v>
          </cell>
          <cell r="P233">
            <v>1</v>
          </cell>
        </row>
        <row r="234">
          <cell r="A234" t="str">
            <v>АТТ43</v>
          </cell>
          <cell r="B234" t="str">
            <v>АТТ</v>
          </cell>
          <cell r="C234">
            <v>4</v>
          </cell>
          <cell r="D234">
            <v>3</v>
          </cell>
          <cell r="E234">
            <v>32890</v>
          </cell>
          <cell r="N234">
            <v>9</v>
          </cell>
          <cell r="O234">
            <v>2</v>
          </cell>
          <cell r="P234">
            <v>1</v>
          </cell>
        </row>
        <row r="235">
          <cell r="A235" t="str">
            <v>АТТ53</v>
          </cell>
          <cell r="B235" t="str">
            <v>АТТ</v>
          </cell>
          <cell r="C235">
            <v>5</v>
          </cell>
          <cell r="D235">
            <v>3</v>
          </cell>
          <cell r="E235">
            <v>23080</v>
          </cell>
          <cell r="N235">
            <v>9</v>
          </cell>
          <cell r="O235">
            <v>2</v>
          </cell>
          <cell r="P235">
            <v>1</v>
          </cell>
        </row>
        <row r="236">
          <cell r="A236" t="str">
            <v>Мехнат11</v>
          </cell>
          <cell r="B236" t="str">
            <v>Мехнат</v>
          </cell>
          <cell r="C236">
            <v>1</v>
          </cell>
          <cell r="D236">
            <v>1</v>
          </cell>
          <cell r="E236">
            <v>93120</v>
          </cell>
          <cell r="N236">
            <v>9</v>
          </cell>
          <cell r="O236">
            <v>2</v>
          </cell>
          <cell r="P236">
            <v>1</v>
          </cell>
        </row>
        <row r="237">
          <cell r="A237" t="str">
            <v>Мехнат12</v>
          </cell>
          <cell r="B237" t="str">
            <v>Мехнат</v>
          </cell>
          <cell r="C237">
            <v>1</v>
          </cell>
          <cell r="D237">
            <v>2</v>
          </cell>
          <cell r="E237">
            <v>90740</v>
          </cell>
          <cell r="N237">
            <v>9</v>
          </cell>
          <cell r="O237">
            <v>2</v>
          </cell>
          <cell r="P237">
            <v>1</v>
          </cell>
        </row>
        <row r="238">
          <cell r="A238" t="str">
            <v>Мехнат13</v>
          </cell>
          <cell r="B238" t="str">
            <v>Мехнат</v>
          </cell>
          <cell r="C238">
            <v>1</v>
          </cell>
          <cell r="D238">
            <v>3</v>
          </cell>
          <cell r="E238">
            <v>72590</v>
          </cell>
          <cell r="N238">
            <v>9</v>
          </cell>
          <cell r="O238">
            <v>2</v>
          </cell>
          <cell r="P238">
            <v>1</v>
          </cell>
        </row>
        <row r="239">
          <cell r="A239" t="str">
            <v>Мехнат21</v>
          </cell>
          <cell r="B239" t="str">
            <v>Мехнат</v>
          </cell>
          <cell r="C239">
            <v>2</v>
          </cell>
          <cell r="D239">
            <v>1</v>
          </cell>
          <cell r="E239">
            <v>80510</v>
          </cell>
          <cell r="N239">
            <v>9</v>
          </cell>
          <cell r="O239">
            <v>2</v>
          </cell>
          <cell r="P239">
            <v>1</v>
          </cell>
        </row>
        <row r="240">
          <cell r="A240" t="str">
            <v>Мехнат22</v>
          </cell>
          <cell r="B240" t="str">
            <v>Мехнат</v>
          </cell>
          <cell r="C240">
            <v>2</v>
          </cell>
          <cell r="D240">
            <v>2</v>
          </cell>
          <cell r="E240">
            <v>78120</v>
          </cell>
          <cell r="N240">
            <v>9</v>
          </cell>
          <cell r="O240">
            <v>2</v>
          </cell>
          <cell r="P240">
            <v>1</v>
          </cell>
        </row>
        <row r="241">
          <cell r="A241" t="str">
            <v>Мехнат23</v>
          </cell>
          <cell r="B241" t="str">
            <v>Мехнат</v>
          </cell>
          <cell r="C241">
            <v>2</v>
          </cell>
          <cell r="D241">
            <v>3</v>
          </cell>
          <cell r="E241">
            <v>71820</v>
          </cell>
          <cell r="N241">
            <v>9</v>
          </cell>
          <cell r="O241">
            <v>2</v>
          </cell>
          <cell r="P241">
            <v>1</v>
          </cell>
        </row>
        <row r="242">
          <cell r="A242" t="str">
            <v>Мехнат31</v>
          </cell>
          <cell r="B242" t="str">
            <v>Мехнат</v>
          </cell>
          <cell r="C242">
            <v>3</v>
          </cell>
          <cell r="D242">
            <v>1</v>
          </cell>
          <cell r="E242">
            <v>74550</v>
          </cell>
          <cell r="N242">
            <v>9</v>
          </cell>
          <cell r="O242">
            <v>2</v>
          </cell>
          <cell r="P242">
            <v>1</v>
          </cell>
        </row>
        <row r="243">
          <cell r="A243" t="str">
            <v>Мехнат32</v>
          </cell>
          <cell r="B243" t="str">
            <v>Мехнат</v>
          </cell>
          <cell r="C243">
            <v>3</v>
          </cell>
          <cell r="D243">
            <v>2</v>
          </cell>
          <cell r="E243">
            <v>66340</v>
          </cell>
          <cell r="N243">
            <v>9</v>
          </cell>
          <cell r="O243">
            <v>2</v>
          </cell>
          <cell r="P243">
            <v>1</v>
          </cell>
        </row>
        <row r="244">
          <cell r="A244" t="str">
            <v>Мехнат33</v>
          </cell>
          <cell r="B244" t="str">
            <v>Мехнат</v>
          </cell>
          <cell r="C244">
            <v>3</v>
          </cell>
          <cell r="D244">
            <v>3</v>
          </cell>
          <cell r="E244">
            <v>46970</v>
          </cell>
          <cell r="N244">
            <v>9</v>
          </cell>
          <cell r="O244">
            <v>2</v>
          </cell>
          <cell r="P244">
            <v>1</v>
          </cell>
        </row>
        <row r="245">
          <cell r="A245" t="str">
            <v>Мехнат41</v>
          </cell>
          <cell r="B245" t="str">
            <v>Мехнат</v>
          </cell>
          <cell r="C245">
            <v>4</v>
          </cell>
          <cell r="D245">
            <v>1</v>
          </cell>
          <cell r="E245">
            <v>55570</v>
          </cell>
          <cell r="N245">
            <v>9</v>
          </cell>
          <cell r="O245">
            <v>2</v>
          </cell>
          <cell r="P245">
            <v>1</v>
          </cell>
        </row>
        <row r="246">
          <cell r="A246" t="str">
            <v>Мехнат42</v>
          </cell>
          <cell r="B246" t="str">
            <v>Мехнат</v>
          </cell>
          <cell r="C246">
            <v>4</v>
          </cell>
          <cell r="D246">
            <v>2</v>
          </cell>
          <cell r="E246">
            <v>43060</v>
          </cell>
          <cell r="N246">
            <v>9</v>
          </cell>
          <cell r="O246">
            <v>2</v>
          </cell>
          <cell r="P246">
            <v>1</v>
          </cell>
        </row>
        <row r="247">
          <cell r="A247" t="str">
            <v>Мехнат43</v>
          </cell>
          <cell r="B247" t="str">
            <v>Мехнат</v>
          </cell>
          <cell r="C247">
            <v>4</v>
          </cell>
          <cell r="D247">
            <v>3</v>
          </cell>
          <cell r="E247">
            <v>32890</v>
          </cell>
          <cell r="N247">
            <v>9</v>
          </cell>
          <cell r="O247">
            <v>2</v>
          </cell>
          <cell r="P247">
            <v>1</v>
          </cell>
        </row>
        <row r="248">
          <cell r="A248" t="str">
            <v>Мехнат53</v>
          </cell>
          <cell r="B248" t="str">
            <v>Мехнат</v>
          </cell>
          <cell r="C248">
            <v>5</v>
          </cell>
          <cell r="D248">
            <v>3</v>
          </cell>
          <cell r="E248">
            <v>23080</v>
          </cell>
          <cell r="N248">
            <v>9</v>
          </cell>
          <cell r="O248">
            <v>2</v>
          </cell>
          <cell r="P248">
            <v>1</v>
          </cell>
        </row>
      </sheetData>
      <sheetData sheetId="5">
        <row r="1">
          <cell r="A1" t="str">
            <v>Ракам</v>
          </cell>
        </row>
      </sheetData>
      <sheetData sheetId="6" refreshError="1"/>
      <sheetData sheetId="7">
        <row r="1">
          <cell r="A1" t="str">
            <v>Ракам</v>
          </cell>
        </row>
      </sheetData>
      <sheetData sheetId="8" refreshError="1">
        <row r="1">
          <cell r="A1" t="str">
            <v>Ракам</v>
          </cell>
          <cell r="B1" t="str">
            <v>Пункт</v>
          </cell>
        </row>
        <row r="2">
          <cell r="A2">
            <v>1</v>
          </cell>
          <cell r="B2" t="str">
            <v>Завод</v>
          </cell>
        </row>
        <row r="3">
          <cell r="A3">
            <v>2</v>
          </cell>
          <cell r="B3" t="str">
            <v>М. Дадажонов</v>
          </cell>
        </row>
        <row r="4">
          <cell r="A4">
            <v>3</v>
          </cell>
          <cell r="B4" t="str">
            <v>Дустлик</v>
          </cell>
        </row>
        <row r="5">
          <cell r="A5">
            <v>4</v>
          </cell>
          <cell r="B5" t="str">
            <v>Манас</v>
          </cell>
        </row>
        <row r="6">
          <cell r="A6">
            <v>5</v>
          </cell>
          <cell r="B6" t="str">
            <v>Иржар приз</v>
          </cell>
        </row>
        <row r="7">
          <cell r="A7">
            <v>6</v>
          </cell>
          <cell r="B7" t="str">
            <v>Пахтазор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1">
          <cell r="A1" t="str">
            <v>ключ</v>
          </cell>
        </row>
      </sheetData>
      <sheetData sheetId="26">
        <row r="1">
          <cell r="A1" t="str">
            <v>ключ</v>
          </cell>
        </row>
      </sheetData>
      <sheetData sheetId="27">
        <row r="1">
          <cell r="A1" t="str">
            <v>ключ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>
        <row r="1">
          <cell r="A1" t="str">
            <v>ключ</v>
          </cell>
        </row>
      </sheetData>
      <sheetData sheetId="33">
        <row r="1">
          <cell r="A1" t="str">
            <v>ключ</v>
          </cell>
        </row>
      </sheetData>
      <sheetData sheetId="34">
        <row r="1">
          <cell r="A1" t="str">
            <v>ключ</v>
          </cell>
        </row>
      </sheetData>
      <sheetData sheetId="35">
        <row r="1">
          <cell r="A1" t="str">
            <v>ключ</v>
          </cell>
        </row>
      </sheetData>
      <sheetData sheetId="36">
        <row r="1">
          <cell r="A1" t="str">
            <v>ключ</v>
          </cell>
        </row>
      </sheetData>
      <sheetData sheetId="37">
        <row r="1">
          <cell r="A1" t="str">
            <v>ключ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1">
          <cell r="A1" t="str">
            <v>ключ</v>
          </cell>
        </row>
      </sheetData>
      <sheetData sheetId="62">
        <row r="1">
          <cell r="A1" t="str">
            <v>ключ</v>
          </cell>
        </row>
      </sheetData>
      <sheetData sheetId="63">
        <row r="1">
          <cell r="A1" t="str">
            <v>ключ</v>
          </cell>
        </row>
      </sheetData>
      <sheetData sheetId="64">
        <row r="1">
          <cell r="A1" t="str">
            <v>ключ</v>
          </cell>
        </row>
      </sheetData>
      <sheetData sheetId="65">
        <row r="1">
          <cell r="A1" t="str">
            <v>ключ</v>
          </cell>
        </row>
      </sheetData>
      <sheetData sheetId="66">
        <row r="1">
          <cell r="A1" t="str">
            <v>ключ</v>
          </cell>
        </row>
      </sheetData>
      <sheetData sheetId="67">
        <row r="1">
          <cell r="A1" t="str">
            <v>ключ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>
        <row r="1">
          <cell r="A1" t="str">
            <v>ключ</v>
          </cell>
        </row>
      </sheetData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,05,06йилга жами"/>
      <sheetName val="апрель кре.жами"/>
      <sheetName val="Гай пахта"/>
      <sheetName val="Массив"/>
      <sheetName val="Фориш 2003"/>
      <sheetName val="Нарх"/>
      <sheetName val="Пункт"/>
      <sheetName val="Зар"/>
      <sheetName val="Заф"/>
      <sheetName val="Мир"/>
      <sheetName val="Зом"/>
      <sheetName val="Макрос1"/>
      <sheetName val="c"/>
      <sheetName val="Лист2"/>
      <sheetName val="15,05,06йилга_жами"/>
      <sheetName val="апрель_кре_жами"/>
      <sheetName val="Гай_пахта"/>
      <sheetName val="Фориш_2003"/>
      <sheetName val="15,05,06йилга_жами1"/>
      <sheetName val="апрель_кре_жами1"/>
      <sheetName val="Гай_пахта1"/>
      <sheetName val="Фориш_20031"/>
      <sheetName val="калий"/>
      <sheetName val="фев"/>
      <sheetName val="15,05,06йилга_жами2"/>
      <sheetName val="апрель_кре_жами2"/>
      <sheetName val="Гай_пахта2"/>
      <sheetName val="Фориш_20032"/>
      <sheetName val="Prog. rost tarifov"/>
      <sheetName val="15,05,06йилга_жами3"/>
      <sheetName val="апрель_кре_жами3"/>
      <sheetName val="Гай_пахта3"/>
      <sheetName val="Фориш_20033"/>
      <sheetName val="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 учете"/>
      <sheetName val="Раб.места"/>
      <sheetName val="Перепод."/>
      <sheetName val="Общ.работ."/>
      <sheetName val="Зан-ть(р-ны)"/>
      <sheetName val="Гай пахта"/>
      <sheetName val="Массив"/>
      <sheetName val="Нарх"/>
      <sheetName val="Пункт"/>
      <sheetName val="Фориш 2003"/>
      <sheetName val="На_учете"/>
      <sheetName val="Раб_места"/>
      <sheetName val="Перепод_"/>
      <sheetName val="Общ_работ_"/>
      <sheetName val="Гай_пахта"/>
      <sheetName val="s"/>
      <sheetName val="Лист5"/>
      <sheetName val="BULLET"/>
    </sheetNames>
    <sheetDataSet>
      <sheetData sheetId="0"/>
      <sheetData sheetId="1"/>
      <sheetData sheetId="2"/>
      <sheetData sheetId="3"/>
      <sheetData sheetId="4">
        <row r="5">
          <cell r="E5" t="str">
            <v>в том числе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Уюшмага 2-Ф"/>
      <sheetName val="уюшмага10,09 холатига"/>
      <sheetName val="Жами свод"/>
      <sheetName val="Уюшмага Форма-2"/>
      <sheetName val="Уюшмага Ж10,09"/>
      <sheetName val="Зан-ть(р-ны)"/>
      <sheetName val="ТАБ№2"/>
      <sheetName val="s"/>
      <sheetName val="Гай пахта"/>
      <sheetName val="Уюшмага_2-Ф"/>
      <sheetName val="уюшмага10,09_холатига"/>
      <sheetName val="Жами_свод"/>
      <sheetName val="Уюшмага_Форма-2"/>
      <sheetName val="Уюшмага_Ж10,09"/>
      <sheetName val="Гай_пахта"/>
      <sheetName val="Массив"/>
      <sheetName val="Нарх"/>
      <sheetName val="Пункт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 учете"/>
      <sheetName val="Раб.места"/>
      <sheetName val="Перепод."/>
      <sheetName val="Общ.работ."/>
      <sheetName val="Зан-ть(р-ны)"/>
      <sheetName val="уюшмага10,09 холатига"/>
      <sheetName val="Фориш 2003"/>
      <sheetName val="На_учете"/>
      <sheetName val="Раб_места"/>
      <sheetName val="Перепод_"/>
      <sheetName val="Общ_работ_"/>
      <sheetName val="уюшмага10,09_холатига"/>
      <sheetName val="Фориш_2003"/>
      <sheetName val="Prog. rost tarifov"/>
      <sheetName val="База"/>
      <sheetName val="#ССЫЛКА"/>
      <sheetName val="Гай пахта"/>
      <sheetName val="Рабочая таблица"/>
    </sheetNames>
    <sheetDataSet>
      <sheetData sheetId="0"/>
      <sheetData sheetId="1"/>
      <sheetData sheetId="2"/>
      <sheetData sheetId="3"/>
      <sheetData sheetId="4">
        <row r="5">
          <cell r="E5" t="str">
            <v>в том числе</v>
          </cell>
        </row>
      </sheetData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-жадвал"/>
      <sheetName val="ном"/>
      <sheetName val="туман"/>
      <sheetName val="банк"/>
      <sheetName val="туман2017"/>
      <sheetName val="банк2017"/>
      <sheetName val="туман2018"/>
      <sheetName val="банк2018"/>
      <sheetName val="Зан-ть(р-ны)"/>
      <sheetName val="уюшмага10,09 холатига"/>
      <sheetName val="уюшмага10,09_холатига"/>
    </sheetNames>
    <sheetDataSet>
      <sheetData sheetId="0"/>
      <sheetData sheetId="1">
        <row r="4">
          <cell r="O4" t="str">
            <v>Ярати-ладиган янги иш ўринлари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 учете"/>
      <sheetName val="Раб.места"/>
      <sheetName val="Перепод."/>
      <sheetName val="Общ.работ."/>
      <sheetName val="Зан-ть(р-ны)"/>
      <sheetName val="шака"/>
      <sheetName val="сашка"/>
      <sheetName val="Зан_ть_р_ны_"/>
      <sheetName val="ном"/>
      <sheetName val="Results"/>
      <sheetName val="Фориш 2003"/>
      <sheetName val="KAT2344"/>
      <sheetName val="c"/>
      <sheetName val="На_учете"/>
      <sheetName val="Раб_места"/>
      <sheetName val="Перепод_"/>
      <sheetName val="Общ_работ_"/>
      <sheetName val="Фориш_2003"/>
      <sheetName val="уюшмага10,09 холатига"/>
      <sheetName val="Лист1 (2)"/>
    </sheetNames>
    <sheetDataSet>
      <sheetData sheetId="0">
        <row r="5">
          <cell r="E5" t="str">
            <v>в том числе</v>
          </cell>
        </row>
      </sheetData>
      <sheetData sheetId="1"/>
      <sheetData sheetId="2"/>
      <sheetData sheetId="3"/>
      <sheetData sheetId="4" refreshError="1">
        <row r="5">
          <cell r="E5" t="str">
            <v>в том числе</v>
          </cell>
        </row>
      </sheetData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5">
          <cell r="E5" t="str">
            <v>в том числе</v>
          </cell>
        </row>
      </sheetData>
      <sheetData sheetId="14">
        <row r="5">
          <cell r="E5" t="str">
            <v>в том числе</v>
          </cell>
        </row>
      </sheetData>
      <sheetData sheetId="15">
        <row r="5">
          <cell r="E5" t="str">
            <v>в том числе</v>
          </cell>
        </row>
      </sheetData>
      <sheetData sheetId="16">
        <row r="5">
          <cell r="E5" t="str">
            <v>в том числе</v>
          </cell>
        </row>
      </sheetData>
      <sheetData sheetId="17">
        <row r="5">
          <cell r="E5" t="str">
            <v>в том числе</v>
          </cell>
        </row>
      </sheetData>
      <sheetData sheetId="18">
        <row r="5">
          <cell r="E5" t="str">
            <v>в том числе</v>
          </cell>
        </row>
      </sheetData>
      <sheetData sheetId="1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Массив"/>
      <sheetName val="уюшмага10,09 холатига"/>
      <sheetName val="Нарх"/>
      <sheetName val="Пункт"/>
      <sheetName val="RA_235"/>
      <sheetName val="№2б"/>
      <sheetName val="ЭЛ"/>
      <sheetName val="фориш_свод"/>
      <sheetName val="Фориш_2003"/>
      <sheetName val="Жиззах_янги_раз"/>
      <sheetName val="уюшмага10,09_холатига"/>
      <sheetName val="ХЮС"/>
      <sheetName val="Гай пахта"/>
      <sheetName val="사양조정"/>
      <sheetName val="Лист4"/>
      <sheetName val="Зан-ть(р-ны)"/>
      <sheetName val="Макрос1"/>
      <sheetName val="ном"/>
      <sheetName val="Асосий майдон-уруглик"/>
      <sheetName val="Параметр (ФОРМУДА)"/>
      <sheetName val="Лист1 (2)"/>
      <sheetName val="Прогноз"/>
      <sheetName val="Results"/>
      <sheetName val="фориш_свод1"/>
      <sheetName val="Фориш_20031"/>
      <sheetName val="Жиззах_янги_раз1"/>
      <sheetName val="уюшмага10,09_холатига1"/>
      <sheetName val="Гай_пахта"/>
      <sheetName val="Параметр_(ФОРМУДА)"/>
      <sheetName val="Асосий_майдон-уруглик"/>
      <sheetName val="Лист1_(2)"/>
      <sheetName val=" ОблУНО"/>
      <sheetName val=" ОблУНО (1)"/>
      <sheetName val="Спорт"/>
      <sheetName val="ПТО "/>
      <sheetName val="Урганч Муз"/>
      <sheetName val="ОблИУУ"/>
      <sheetName val="бер"/>
      <sheetName val="База"/>
      <sheetName val="туман"/>
      <sheetName val="Уругликка"/>
      <sheetName val="банк табл"/>
      <sheetName val="Лист2"/>
      <sheetName val="Ресстр2"/>
      <sheetName val="реестр3"/>
      <sheetName val="Реестр1"/>
      <sheetName val="Т19"/>
      <sheetName val="Дефектная ведомость"/>
      <sheetName val="режа"/>
      <sheetName val="Уюшмага 2-Ф"/>
      <sheetName val="Жами свод"/>
      <sheetName val="Уюшмага Форма-2"/>
      <sheetName val="Уюшмага Ж10,09"/>
      <sheetName val="Жад 30"/>
      <sheetName val="фориш_свод2"/>
      <sheetName val="Фориш_20032"/>
      <sheetName val="Жиззах_янги_раз2"/>
      <sheetName val="уюшмага10,09_холатига2"/>
      <sheetName val="Гай_пахта1"/>
      <sheetName val="Параметр_(ФОРМУДА)1"/>
      <sheetName val="Асосий_майдон-уруглик1"/>
      <sheetName val="Лист1_(2)1"/>
      <sheetName val="_ОблУНО"/>
      <sheetName val="_ОблУНО_(1)"/>
      <sheetName val="ПТО_"/>
      <sheetName val="Урганч_Муз"/>
      <sheetName val="банк_табл"/>
      <sheetName val="s"/>
      <sheetName val="К.смета"/>
      <sheetName val="ер ресурс"/>
      <sheetName val="63- протокол (4)"/>
      <sheetName val="Пр1э"/>
      <sheetName val="11 жадвал"/>
      <sheetName val="10 жадвал"/>
      <sheetName val="фориш_свод3"/>
      <sheetName val="Фориш_20033"/>
      <sheetName val="Жиззах_янги_раз3"/>
      <sheetName val="уюшмага10,09_холатига3"/>
      <sheetName val="Гай_пахта2"/>
      <sheetName val="Параметр_(ФОРМУДА)2"/>
      <sheetName val="Асосий_майдон-уруглик2"/>
      <sheetName val="Лист1_(2)2"/>
      <sheetName val="_ОблУНО1"/>
      <sheetName val="_ОблУНО_(1)1"/>
      <sheetName val="ПТО_1"/>
      <sheetName val="Урганч_Муз1"/>
      <sheetName val="банк_табл1"/>
      <sheetName val="Уюшмага_2-Ф"/>
      <sheetName val="Жами_свод"/>
      <sheetName val="Уюшмага_Форма-2"/>
      <sheetName val="Уюшмага_Ж10,09"/>
      <sheetName val="Дефектная_ведомость"/>
      <sheetName val="Жад_30"/>
      <sheetName val="63-_протокол_(4)"/>
      <sheetName val="ер_ресурс"/>
      <sheetName val="К_смета"/>
      <sheetName val="фориш_свод5"/>
      <sheetName val="Фориш_20035"/>
      <sheetName val="Жиззах_янги_раз5"/>
      <sheetName val="уюшмага10,09_холатига5"/>
      <sheetName val="Гай_пахта4"/>
      <sheetName val="Параметр_(ФОРМУДА)4"/>
      <sheetName val="Асосий_майдон-уруглик4"/>
      <sheetName val="Лист1_(2)4"/>
      <sheetName val="_ОблУНО3"/>
      <sheetName val="_ОблУНО_(1)3"/>
      <sheetName val="ПТО_3"/>
      <sheetName val="Урганч_Муз3"/>
      <sheetName val="банк_табл3"/>
      <sheetName val="Уюшмага_2-Ф2"/>
      <sheetName val="Жами_свод2"/>
      <sheetName val="Уюшмага_Форма-22"/>
      <sheetName val="Уюшмага_Ж10,092"/>
      <sheetName val="Дефектная_ведомость2"/>
      <sheetName val="Жад_302"/>
      <sheetName val="63-_протокол_(4)2"/>
      <sheetName val="ер_ресурс2"/>
      <sheetName val="К_смета2"/>
      <sheetName val="фориш_свод4"/>
      <sheetName val="Фориш_20034"/>
      <sheetName val="Жиззах_янги_раз4"/>
      <sheetName val="уюшмага10,09_холатига4"/>
      <sheetName val="Гай_пахта3"/>
      <sheetName val="Параметр_(ФОРМУДА)3"/>
      <sheetName val="Асосий_майдон-уруглик3"/>
      <sheetName val="Лист1_(2)3"/>
      <sheetName val="_ОблУНО2"/>
      <sheetName val="_ОблУНО_(1)2"/>
      <sheetName val="ПТО_2"/>
      <sheetName val="Урганч_Муз2"/>
      <sheetName val="банк_табл2"/>
      <sheetName val="Уюшмага_2-Ф1"/>
      <sheetName val="Жами_свод1"/>
      <sheetName val="Уюшмага_Форма-21"/>
      <sheetName val="Уюшмага_Ж10,091"/>
      <sheetName val="Дефектная_ведомость1"/>
      <sheetName val="Жад_301"/>
      <sheetName val="63-_протокол_(4)1"/>
      <sheetName val="ер_ресурс1"/>
      <sheetName val="К_смета1"/>
      <sheetName val="год_утч"/>
      <sheetName val="11_жадвал"/>
      <sheetName val="10_жадвал"/>
      <sheetName val="фориш_свод6"/>
      <sheetName val="Фориш_20036"/>
      <sheetName val="Жиззах_янги_раз6"/>
      <sheetName val="уюшмага10,09_холатига6"/>
      <sheetName val="Гай_пахта5"/>
      <sheetName val="Параметр_(ФОРМУДА)5"/>
      <sheetName val="Асосий_майдон-уруглик5"/>
      <sheetName val="Лист1_(2)5"/>
      <sheetName val="_ОблУНО4"/>
      <sheetName val="_ОблУНО_(1)4"/>
      <sheetName val="ПТО_4"/>
      <sheetName val="Урганч_Муз4"/>
      <sheetName val="банк_табл4"/>
      <sheetName val="Дефектная_ведомость3"/>
      <sheetName val="Уюшмага_2-Ф3"/>
      <sheetName val="Жами_свод3"/>
      <sheetName val="Уюшмага_Форма-23"/>
      <sheetName val="Уюшмага_Ж10,093"/>
      <sheetName val="Жад_303"/>
      <sheetName val="63-_протокол_(4)3"/>
      <sheetName val="ер_ресурс3"/>
      <sheetName val="К_смета3"/>
      <sheetName val="11_жадвал1"/>
      <sheetName val="10_жадвал1"/>
      <sheetName val="c"/>
      <sheetName val="KAT2344"/>
      <sheetName val="экс хар"/>
      <sheetName val="экс_хар"/>
      <sheetName val="данные"/>
      <sheetName val="сталь по годам"/>
      <sheetName val="транспортировка"/>
      <sheetName val="фориш_свод7"/>
      <sheetName val="Фориш_20037"/>
      <sheetName val="Жиззах_янги_раз7"/>
      <sheetName val="уюшмага10,09_холатига7"/>
      <sheetName val="Гай_пахта6"/>
      <sheetName val="Параметр_(ФОРМУДА)6"/>
      <sheetName val="Асосий_майдон-уруглик6"/>
      <sheetName val="Лист1_(2)6"/>
      <sheetName val="_ОблУНО5"/>
      <sheetName val="_ОблУНО_(1)5"/>
      <sheetName val="ПТО_5"/>
      <sheetName val="Урганч_Муз5"/>
      <sheetName val="банк_табл5"/>
      <sheetName val="Дефектная_ведомость4"/>
      <sheetName val="Уюшмага_2-Ф4"/>
      <sheetName val="Жами_свод4"/>
      <sheetName val="Уюшмага_Форма-24"/>
      <sheetName val="Уюшмага_Ж10,094"/>
      <sheetName val="Жад_304"/>
      <sheetName val="ер_ресурс4"/>
      <sheetName val="К_смета4"/>
      <sheetName val="63-_протокол_(4)4"/>
      <sheetName val="11_жадвал2"/>
      <sheetName val="10_жадвал2"/>
      <sheetName val="экс_хар1"/>
      <sheetName val="фориш_свод9"/>
      <sheetName val="фориш_свод8"/>
      <sheetName val="Фориш_20038"/>
      <sheetName val="Жиззах_янги_раз8"/>
      <sheetName val="уюшмага10,09_холатига8"/>
      <sheetName val="Гай_пахта7"/>
      <sheetName val="Параметр_(ФОРМУДА)7"/>
      <sheetName val="Асосий_майдон-уруглик7"/>
      <sheetName val="Лист1_(2)7"/>
      <sheetName val="_ОблУНО6"/>
      <sheetName val="_ОблУНО_(1)6"/>
      <sheetName val="ПТО_6"/>
      <sheetName val="Урганч_Муз6"/>
      <sheetName val="банк_табл6"/>
      <sheetName val="Дефектная_ведомость5"/>
      <sheetName val="Уюшмага_2-Ф5"/>
      <sheetName val="Жами_свод5"/>
      <sheetName val="Уюшмага_Форма-25"/>
      <sheetName val="Уюшмага_Ж10,095"/>
      <sheetName val="ер_ресурс5"/>
      <sheetName val="Жад_305"/>
      <sheetName val="К_смета5"/>
      <sheetName val="63-_протокол_(4)5"/>
      <sheetName val="сталь_по_годам"/>
      <sheetName val="Фориш_20039"/>
      <sheetName val="Жиззах_янги_раз9"/>
      <sheetName val="уюшмага10,09_холатига9"/>
      <sheetName val="Гай_пахта8"/>
      <sheetName val="Параметр_(ФОРМУДА)8"/>
      <sheetName val="Асосий_майдон-уруглик8"/>
      <sheetName val="Лист1_(2)8"/>
      <sheetName val="_ОблУНО7"/>
      <sheetName val="_ОблУНО_(1)7"/>
      <sheetName val="ПТО_7"/>
      <sheetName val="Урганч_Муз7"/>
      <sheetName val="банк_табл7"/>
      <sheetName val="Дефектная_ведомость6"/>
      <sheetName val="Уюшмага_2-Ф6"/>
      <sheetName val="Жами_свод6"/>
      <sheetName val="Уюшмага_Форма-26"/>
      <sheetName val="Уюшмага_Ж10,096"/>
      <sheetName val="К_смета6"/>
      <sheetName val="Жад_306"/>
      <sheetName val="ер_ресурс6"/>
      <sheetName val="11_жадвал3"/>
      <sheetName val="10_жадвал3"/>
      <sheetName val="63-_протокол_(4)6"/>
      <sheetName val="фориш_свод10"/>
      <sheetName val="Фориш_200310"/>
      <sheetName val="Жиззах_янги_раз10"/>
      <sheetName val="уюшмага10,09_холатига10"/>
      <sheetName val="Гай_пахта9"/>
      <sheetName val="Параметр_(ФОРМУДА)9"/>
      <sheetName val="Асосий_майдон-уруглик9"/>
      <sheetName val="Лист1_(2)9"/>
      <sheetName val="_ОблУНО8"/>
      <sheetName val="_ОблУНО_(1)8"/>
      <sheetName val="ПТО_8"/>
      <sheetName val="Урганч_Муз8"/>
      <sheetName val="банк_табл8"/>
      <sheetName val="Дефектная_ведомость7"/>
      <sheetName val="Уюшмага_2-Ф7"/>
      <sheetName val="Жами_свод7"/>
      <sheetName val="Уюшмага_Форма-27"/>
      <sheetName val="Уюшмага_Ж10,097"/>
      <sheetName val="К_смета7"/>
      <sheetName val="Жад_307"/>
      <sheetName val="ер_ресурс7"/>
      <sheetName val="11_жадвал4"/>
      <sheetName val="10_жадвал4"/>
      <sheetName val="63-_протокол_(4)7"/>
      <sheetName val="фориш_свод11"/>
      <sheetName val="Фориш_200311"/>
      <sheetName val="Жиззах_янги_раз11"/>
      <sheetName val="уюшмага10,09_холатига11"/>
      <sheetName val="Гай_пахта10"/>
      <sheetName val="Параметр_(ФОРМУДА)10"/>
      <sheetName val="Асосий_майдон-уруглик10"/>
      <sheetName val="Лист1_(2)10"/>
      <sheetName val="_ОблУНО9"/>
      <sheetName val="_ОблУНО_(1)9"/>
      <sheetName val="ПТО_9"/>
      <sheetName val="Урганч_Муз9"/>
      <sheetName val="банк_табл9"/>
      <sheetName val="Дефектная_ведомость8"/>
      <sheetName val="Уюшмага_2-Ф8"/>
      <sheetName val="Жами_свод8"/>
      <sheetName val="Уюшмага_Форма-28"/>
      <sheetName val="Уюшмага_Ж10,098"/>
      <sheetName val="К_смета8"/>
      <sheetName val="Жад_308"/>
      <sheetName val="ер_ресурс8"/>
      <sheetName val="11_жадвал5"/>
      <sheetName val="10_жадвал5"/>
      <sheetName val="63-_протокол_(4)8"/>
      <sheetName val="фориш_свод12"/>
      <sheetName val="Фориш_200312"/>
      <sheetName val="Жиззах_янги_раз12"/>
      <sheetName val="уюшмага10,09_холатига12"/>
      <sheetName val="Гай_пахта11"/>
      <sheetName val="Параметр_(ФОРМУДА)11"/>
      <sheetName val="Асосий_майдон-уруглик11"/>
      <sheetName val="Лист1_(2)11"/>
      <sheetName val="_ОблУНО10"/>
      <sheetName val="_ОблУНО_(1)10"/>
      <sheetName val="ПТО_10"/>
      <sheetName val="Урганч_Муз10"/>
      <sheetName val="банк_табл10"/>
      <sheetName val="Дефектная_ведомость9"/>
      <sheetName val="Уюшмага_2-Ф9"/>
      <sheetName val="Жами_свод9"/>
      <sheetName val="Уюшмага_Форма-29"/>
      <sheetName val="Уюшмага_Ж10,099"/>
      <sheetName val="К_смета9"/>
      <sheetName val="Жад_309"/>
      <sheetName val="ер_ресурс9"/>
      <sheetName val="11_жадвал6"/>
      <sheetName val="10_жадвал6"/>
      <sheetName val="63-_протокол_(4)9"/>
      <sheetName val="МФО руйхат"/>
      <sheetName val="фориш_свод13"/>
      <sheetName val="Фориш_200313"/>
      <sheetName val="Жиззах_янги_раз13"/>
      <sheetName val="уюшмага10,09_холатига13"/>
      <sheetName val="Гай_пахта12"/>
      <sheetName val="Параметр_(ФОРМУДА)12"/>
      <sheetName val="Асосий_майдон-уруглик12"/>
      <sheetName val="Лист1_(2)12"/>
      <sheetName val="_ОблУНО11"/>
      <sheetName val="_ОблУНО_(1)11"/>
      <sheetName val="ПТО_11"/>
      <sheetName val="Урганч_Муз11"/>
      <sheetName val="банк_табл11"/>
      <sheetName val="Дефектная_ведомость10"/>
      <sheetName val="Уюшмага_2-Ф10"/>
      <sheetName val="Жами_свод10"/>
      <sheetName val="Уюшмага_Форма-210"/>
      <sheetName val="Уюшмага_Ж10,0910"/>
      <sheetName val="Жад_3010"/>
      <sheetName val="К_смета10"/>
      <sheetName val="фориш_свод14"/>
      <sheetName val="Фориш_200314"/>
      <sheetName val="Жиззах_янги_раз14"/>
      <sheetName val="уюшмага10,09_холатига14"/>
      <sheetName val="Гай_пахта13"/>
      <sheetName val="Параметр_(ФОРМУДА)13"/>
      <sheetName val="Асосий_майдон-уруглик13"/>
      <sheetName val="Лист1_(2)13"/>
      <sheetName val="_ОблУНО12"/>
      <sheetName val="_ОблУНО_(1)12"/>
      <sheetName val="ПТО_12"/>
      <sheetName val="Урганч_Муз12"/>
      <sheetName val="банк_табл12"/>
      <sheetName val="Дефектная_ведомость11"/>
      <sheetName val="Уюшмага_2-Ф11"/>
      <sheetName val="Жами_свод11"/>
      <sheetName val="Уюшмага_Форма-211"/>
      <sheetName val="Уюшмага_Ж10,0911"/>
      <sheetName val="Жад_3011"/>
      <sheetName val="К_смета11"/>
      <sheetName val="фориш_свод15"/>
      <sheetName val="Фориш_200315"/>
      <sheetName val="Жиззах_янги_раз15"/>
      <sheetName val="уюшмага10,09_холатига15"/>
      <sheetName val="Гай_пахта14"/>
      <sheetName val="Параметр_(ФОРМУДА)14"/>
      <sheetName val="Асосий_майдон-уруглик14"/>
      <sheetName val="Лист1_(2)14"/>
      <sheetName val="_ОблУНО13"/>
      <sheetName val="_ОблУНО_(1)13"/>
      <sheetName val="ПТО_13"/>
      <sheetName val="Урганч_Муз13"/>
      <sheetName val="банк_табл13"/>
      <sheetName val="Дефектная_ведомость12"/>
      <sheetName val="Уюшмага_2-Ф12"/>
      <sheetName val="Жами_свод12"/>
      <sheetName val="Уюшмага_Форма-212"/>
      <sheetName val="Уюшмага_Ж10,0912"/>
      <sheetName val="Жад_3012"/>
      <sheetName val="К_смета12"/>
      <sheetName val="ер_ресурс10"/>
      <sheetName val="63-_протокол_(4)10"/>
      <sheetName val="11_жадвал7"/>
      <sheetName val="10_жадвал7"/>
      <sheetName val="экс_хар2"/>
      <sheetName val="сталь_по_годам1"/>
      <sheetName val="фориш_свод16"/>
      <sheetName val="Фориш_200316"/>
      <sheetName val="Жиззах_янги_раз16"/>
      <sheetName val="уюшмага10,09_холатига16"/>
      <sheetName val="Гай_пахта15"/>
      <sheetName val="Параметр_(ФОРМУДА)15"/>
      <sheetName val="Асосий_майдон-уруглик15"/>
      <sheetName val="Лист1_(2)15"/>
      <sheetName val="_ОблУНО14"/>
      <sheetName val="_ОблУНО_(1)14"/>
      <sheetName val="ПТО_14"/>
      <sheetName val="Урганч_Муз14"/>
      <sheetName val="банк_табл14"/>
      <sheetName val="Дефектная_ведомость13"/>
      <sheetName val="Уюшмага_2-Ф13"/>
      <sheetName val="Жами_свод13"/>
      <sheetName val="Уюшмага_Форма-213"/>
      <sheetName val="Уюшмага_Ж10,0913"/>
      <sheetName val="К_смета13"/>
      <sheetName val="Жад_3013"/>
      <sheetName val="ер_ресурс11"/>
      <sheetName val="11_жадвал8"/>
      <sheetName val="10_жадвал8"/>
      <sheetName val="63-_протокол_(4)11"/>
      <sheetName val="экс_хар3"/>
      <sheetName val="сталь_по_годам2"/>
      <sheetName val="фориш_свод17"/>
      <sheetName val="Фориш_200317"/>
      <sheetName val="Жиззах_янги_раз17"/>
      <sheetName val="уюшмага10,09_холатига17"/>
      <sheetName val="Гай_пахта16"/>
      <sheetName val="Параметр_(ФОРМУДА)16"/>
      <sheetName val="Асосий_майдон-уруглик16"/>
      <sheetName val="Лист1_(2)16"/>
      <sheetName val="_ОблУНО15"/>
      <sheetName val="_ОблУНО_(1)15"/>
      <sheetName val="ПТО_15"/>
      <sheetName val="Урганч_Муз15"/>
      <sheetName val="банк_табл15"/>
      <sheetName val="Дефектная_ведомость14"/>
      <sheetName val="Уюшмага_2-Ф14"/>
      <sheetName val="Жами_свод14"/>
      <sheetName val="Уюшмага_Форма-214"/>
      <sheetName val="Уюшмага_Ж10,0914"/>
      <sheetName val="К_смета14"/>
      <sheetName val="Жад_3014"/>
      <sheetName val="ер_ресурс12"/>
      <sheetName val="11_жадвал9"/>
      <sheetName val="10_жадвал9"/>
      <sheetName val="63-_протокол_(4)12"/>
      <sheetName val="экс_хар4"/>
      <sheetName val="сталь_по_годам3"/>
      <sheetName val="фориш_свод18"/>
      <sheetName val="Фориш_200318"/>
      <sheetName val="Жиззах_янги_раз18"/>
      <sheetName val="уюшмага10,09_холатига18"/>
      <sheetName val="Гай_пахта17"/>
      <sheetName val="Параметр_(ФОРМУДА)17"/>
      <sheetName val="Асосий_майдон-уруглик17"/>
      <sheetName val="Лист1_(2)17"/>
      <sheetName val="_ОблУНО16"/>
      <sheetName val="_ОблУНО_(1)16"/>
      <sheetName val="ПТО_16"/>
      <sheetName val="Урганч_Муз16"/>
      <sheetName val="банк_табл16"/>
      <sheetName val="Дефектная_ведомость15"/>
      <sheetName val="Уюшмага_2-Ф15"/>
      <sheetName val="Жами_свод15"/>
      <sheetName val="Уюшмага_Форма-215"/>
      <sheetName val="Уюшмага_Ж10,0915"/>
      <sheetName val="К_смета15"/>
      <sheetName val="Жад_3015"/>
      <sheetName val="ер_ресурс13"/>
      <sheetName val="11_жадвал10"/>
      <sheetName val="10_жадвал10"/>
      <sheetName val="63-_протокол_(4)13"/>
      <sheetName val="экс_хар5"/>
      <sheetName val="сталь_по_годам4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>
        <row r="4">
          <cell r="O4">
            <v>67.099999999999994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>
        <row r="4">
          <cell r="O4">
            <v>67.099999999999994</v>
          </cell>
        </row>
      </sheetData>
      <sheetData sheetId="63">
        <row r="4">
          <cell r="O4">
            <v>67.099999999999994</v>
          </cell>
        </row>
      </sheetData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>
        <row r="4">
          <cell r="O4">
            <v>67.099999999999994</v>
          </cell>
        </row>
      </sheetData>
      <sheetData sheetId="67">
        <row r="4">
          <cell r="O4">
            <v>67.099999999999994</v>
          </cell>
        </row>
      </sheetData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>
        <row r="4">
          <cell r="O4">
            <v>67.099999999999994</v>
          </cell>
        </row>
      </sheetData>
      <sheetData sheetId="101">
        <row r="4">
          <cell r="O4">
            <v>67.099999999999994</v>
          </cell>
        </row>
      </sheetData>
      <sheetData sheetId="102">
        <row r="4">
          <cell r="O4">
            <v>67.099999999999994</v>
          </cell>
        </row>
      </sheetData>
      <sheetData sheetId="103">
        <row r="4">
          <cell r="O4">
            <v>67.099999999999994</v>
          </cell>
        </row>
      </sheetData>
      <sheetData sheetId="104">
        <row r="4">
          <cell r="O4">
            <v>67.099999999999994</v>
          </cell>
        </row>
      </sheetData>
      <sheetData sheetId="105">
        <row r="4">
          <cell r="O4">
            <v>67.099999999999994</v>
          </cell>
        </row>
      </sheetData>
      <sheetData sheetId="106">
        <row r="4">
          <cell r="O4">
            <v>67.099999999999994</v>
          </cell>
        </row>
      </sheetData>
      <sheetData sheetId="107">
        <row r="4">
          <cell r="O4">
            <v>67.099999999999994</v>
          </cell>
        </row>
      </sheetData>
      <sheetData sheetId="108">
        <row r="4">
          <cell r="O4">
            <v>67.099999999999994</v>
          </cell>
        </row>
      </sheetData>
      <sheetData sheetId="109">
        <row r="4">
          <cell r="O4">
            <v>67.099999999999994</v>
          </cell>
        </row>
      </sheetData>
      <sheetData sheetId="110">
        <row r="4">
          <cell r="O4">
            <v>67.099999999999994</v>
          </cell>
        </row>
      </sheetData>
      <sheetData sheetId="111">
        <row r="4">
          <cell r="O4">
            <v>67.099999999999994</v>
          </cell>
        </row>
      </sheetData>
      <sheetData sheetId="112">
        <row r="4">
          <cell r="O4">
            <v>67.099999999999994</v>
          </cell>
        </row>
      </sheetData>
      <sheetData sheetId="113">
        <row r="4">
          <cell r="O4">
            <v>67.099999999999994</v>
          </cell>
        </row>
      </sheetData>
      <sheetData sheetId="114">
        <row r="4">
          <cell r="O4">
            <v>67.099999999999994</v>
          </cell>
        </row>
      </sheetData>
      <sheetData sheetId="115">
        <row r="4">
          <cell r="O4">
            <v>67.099999999999994</v>
          </cell>
        </row>
      </sheetData>
      <sheetData sheetId="116">
        <row r="4">
          <cell r="O4">
            <v>67.099999999999994</v>
          </cell>
        </row>
      </sheetData>
      <sheetData sheetId="117">
        <row r="4">
          <cell r="O4">
            <v>67.099999999999994</v>
          </cell>
        </row>
      </sheetData>
      <sheetData sheetId="118">
        <row r="4">
          <cell r="O4">
            <v>67.099999999999994</v>
          </cell>
        </row>
      </sheetData>
      <sheetData sheetId="119">
        <row r="4">
          <cell r="O4">
            <v>67.099999999999994</v>
          </cell>
        </row>
      </sheetData>
      <sheetData sheetId="120">
        <row r="4">
          <cell r="O4">
            <v>67.099999999999994</v>
          </cell>
        </row>
      </sheetData>
      <sheetData sheetId="121">
        <row r="4">
          <cell r="O4">
            <v>67.099999999999994</v>
          </cell>
        </row>
      </sheetData>
      <sheetData sheetId="122">
        <row r="4">
          <cell r="O4">
            <v>67.099999999999994</v>
          </cell>
        </row>
      </sheetData>
      <sheetData sheetId="123">
        <row r="4">
          <cell r="O4">
            <v>67.099999999999994</v>
          </cell>
        </row>
      </sheetData>
      <sheetData sheetId="124">
        <row r="4">
          <cell r="O4">
            <v>67.099999999999994</v>
          </cell>
        </row>
      </sheetData>
      <sheetData sheetId="125">
        <row r="4">
          <cell r="O4">
            <v>67.099999999999994</v>
          </cell>
        </row>
      </sheetData>
      <sheetData sheetId="126">
        <row r="4">
          <cell r="O4">
            <v>67.099999999999994</v>
          </cell>
        </row>
      </sheetData>
      <sheetData sheetId="127">
        <row r="4">
          <cell r="O4">
            <v>67.099999999999994</v>
          </cell>
        </row>
      </sheetData>
      <sheetData sheetId="128">
        <row r="4">
          <cell r="O4">
            <v>67.099999999999994</v>
          </cell>
        </row>
      </sheetData>
      <sheetData sheetId="129">
        <row r="4">
          <cell r="O4">
            <v>67.099999999999994</v>
          </cell>
        </row>
      </sheetData>
      <sheetData sheetId="130">
        <row r="4">
          <cell r="O4">
            <v>67.099999999999994</v>
          </cell>
        </row>
      </sheetData>
      <sheetData sheetId="131">
        <row r="4">
          <cell r="O4">
            <v>67.099999999999994</v>
          </cell>
        </row>
      </sheetData>
      <sheetData sheetId="132">
        <row r="4">
          <cell r="O4">
            <v>67.099999999999994</v>
          </cell>
        </row>
      </sheetData>
      <sheetData sheetId="133">
        <row r="4">
          <cell r="O4">
            <v>67.099999999999994</v>
          </cell>
        </row>
      </sheetData>
      <sheetData sheetId="134">
        <row r="4">
          <cell r="O4">
            <v>67.099999999999994</v>
          </cell>
        </row>
      </sheetData>
      <sheetData sheetId="135">
        <row r="4">
          <cell r="O4">
            <v>67.099999999999994</v>
          </cell>
        </row>
      </sheetData>
      <sheetData sheetId="136">
        <row r="4">
          <cell r="O4">
            <v>67.099999999999994</v>
          </cell>
        </row>
      </sheetData>
      <sheetData sheetId="137">
        <row r="4">
          <cell r="O4">
            <v>67.099999999999994</v>
          </cell>
        </row>
      </sheetData>
      <sheetData sheetId="138">
        <row r="4">
          <cell r="O4">
            <v>67.099999999999994</v>
          </cell>
        </row>
      </sheetData>
      <sheetData sheetId="139">
        <row r="4">
          <cell r="O4">
            <v>67.099999999999994</v>
          </cell>
        </row>
      </sheetData>
      <sheetData sheetId="140">
        <row r="4">
          <cell r="O4">
            <v>67.099999999999994</v>
          </cell>
        </row>
      </sheetData>
      <sheetData sheetId="141">
        <row r="4">
          <cell r="O4">
            <v>67.099999999999994</v>
          </cell>
        </row>
      </sheetData>
      <sheetData sheetId="142">
        <row r="4">
          <cell r="O4">
            <v>67.099999999999994</v>
          </cell>
        </row>
      </sheetData>
      <sheetData sheetId="143">
        <row r="4">
          <cell r="O4">
            <v>67.099999999999994</v>
          </cell>
        </row>
      </sheetData>
      <sheetData sheetId="144" refreshError="1"/>
      <sheetData sheetId="145">
        <row r="4">
          <cell r="O4">
            <v>67.099999999999994</v>
          </cell>
        </row>
      </sheetData>
      <sheetData sheetId="146">
        <row r="4">
          <cell r="O4">
            <v>67.099999999999994</v>
          </cell>
        </row>
      </sheetData>
      <sheetData sheetId="147" refreshError="1"/>
      <sheetData sheetId="148" refreshError="1"/>
      <sheetData sheetId="149" refreshError="1"/>
      <sheetData sheetId="150">
        <row r="4">
          <cell r="O4">
            <v>67.099999999999994</v>
          </cell>
        </row>
      </sheetData>
      <sheetData sheetId="151">
        <row r="4">
          <cell r="O4">
            <v>67.099999999999994</v>
          </cell>
        </row>
      </sheetData>
      <sheetData sheetId="152">
        <row r="4">
          <cell r="O4">
            <v>67.099999999999994</v>
          </cell>
        </row>
      </sheetData>
      <sheetData sheetId="153">
        <row r="4">
          <cell r="O4">
            <v>67.099999999999994</v>
          </cell>
        </row>
      </sheetData>
      <sheetData sheetId="154">
        <row r="4">
          <cell r="O4">
            <v>67.099999999999994</v>
          </cell>
        </row>
      </sheetData>
      <sheetData sheetId="155">
        <row r="4">
          <cell r="O4">
            <v>67.099999999999994</v>
          </cell>
        </row>
      </sheetData>
      <sheetData sheetId="156">
        <row r="4">
          <cell r="O4">
            <v>67.099999999999994</v>
          </cell>
        </row>
      </sheetData>
      <sheetData sheetId="157">
        <row r="4">
          <cell r="O4">
            <v>67.099999999999994</v>
          </cell>
        </row>
      </sheetData>
      <sheetData sheetId="158">
        <row r="4">
          <cell r="O4">
            <v>67.099999999999994</v>
          </cell>
        </row>
      </sheetData>
      <sheetData sheetId="159">
        <row r="4">
          <cell r="O4">
            <v>67.099999999999994</v>
          </cell>
        </row>
      </sheetData>
      <sheetData sheetId="160">
        <row r="4">
          <cell r="O4">
            <v>67.099999999999994</v>
          </cell>
        </row>
      </sheetData>
      <sheetData sheetId="161">
        <row r="4">
          <cell r="O4">
            <v>67.099999999999994</v>
          </cell>
        </row>
      </sheetData>
      <sheetData sheetId="162">
        <row r="4">
          <cell r="O4">
            <v>67.099999999999994</v>
          </cell>
        </row>
      </sheetData>
      <sheetData sheetId="163">
        <row r="4">
          <cell r="O4">
            <v>67.099999999999994</v>
          </cell>
        </row>
      </sheetData>
      <sheetData sheetId="164">
        <row r="4">
          <cell r="O4">
            <v>67.099999999999994</v>
          </cell>
        </row>
      </sheetData>
      <sheetData sheetId="165">
        <row r="4">
          <cell r="O4">
            <v>67.099999999999994</v>
          </cell>
        </row>
      </sheetData>
      <sheetData sheetId="166">
        <row r="4">
          <cell r="O4">
            <v>67.099999999999994</v>
          </cell>
        </row>
      </sheetData>
      <sheetData sheetId="167">
        <row r="4">
          <cell r="O4">
            <v>67.099999999999994</v>
          </cell>
        </row>
      </sheetData>
      <sheetData sheetId="168">
        <row r="4">
          <cell r="O4">
            <v>67.099999999999994</v>
          </cell>
        </row>
      </sheetData>
      <sheetData sheetId="169">
        <row r="4">
          <cell r="O4">
            <v>67.099999999999994</v>
          </cell>
        </row>
      </sheetData>
      <sheetData sheetId="170">
        <row r="4">
          <cell r="O4">
            <v>67.099999999999994</v>
          </cell>
        </row>
      </sheetData>
      <sheetData sheetId="171">
        <row r="4">
          <cell r="O4">
            <v>67.099999999999994</v>
          </cell>
        </row>
      </sheetData>
      <sheetData sheetId="172">
        <row r="4">
          <cell r="O4">
            <v>67.099999999999994</v>
          </cell>
        </row>
      </sheetData>
      <sheetData sheetId="173">
        <row r="4">
          <cell r="O4">
            <v>67.099999999999994</v>
          </cell>
        </row>
      </sheetData>
      <sheetData sheetId="174">
        <row r="4">
          <cell r="O4">
            <v>67.099999999999994</v>
          </cell>
        </row>
      </sheetData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>
        <row r="4">
          <cell r="O4">
            <v>67.099999999999994</v>
          </cell>
        </row>
      </sheetData>
      <sheetData sheetId="182">
        <row r="4">
          <cell r="O4">
            <v>67.099999999999994</v>
          </cell>
        </row>
      </sheetData>
      <sheetData sheetId="183">
        <row r="4">
          <cell r="O4">
            <v>67.099999999999994</v>
          </cell>
        </row>
      </sheetData>
      <sheetData sheetId="184">
        <row r="4">
          <cell r="O4">
            <v>67.099999999999994</v>
          </cell>
        </row>
      </sheetData>
      <sheetData sheetId="185">
        <row r="4">
          <cell r="O4">
            <v>67.099999999999994</v>
          </cell>
        </row>
      </sheetData>
      <sheetData sheetId="186">
        <row r="4">
          <cell r="O4">
            <v>67.099999999999994</v>
          </cell>
        </row>
      </sheetData>
      <sheetData sheetId="187">
        <row r="4">
          <cell r="O4">
            <v>67.099999999999994</v>
          </cell>
        </row>
      </sheetData>
      <sheetData sheetId="188">
        <row r="4">
          <cell r="O4">
            <v>67.099999999999994</v>
          </cell>
        </row>
      </sheetData>
      <sheetData sheetId="189">
        <row r="4">
          <cell r="O4">
            <v>67.099999999999994</v>
          </cell>
        </row>
      </sheetData>
      <sheetData sheetId="190">
        <row r="4">
          <cell r="O4">
            <v>67.099999999999994</v>
          </cell>
        </row>
      </sheetData>
      <sheetData sheetId="191">
        <row r="4">
          <cell r="O4">
            <v>67.099999999999994</v>
          </cell>
        </row>
      </sheetData>
      <sheetData sheetId="192">
        <row r="4">
          <cell r="O4">
            <v>67.099999999999994</v>
          </cell>
        </row>
      </sheetData>
      <sheetData sheetId="193">
        <row r="4">
          <cell r="O4">
            <v>67.099999999999994</v>
          </cell>
        </row>
      </sheetData>
      <sheetData sheetId="194">
        <row r="4">
          <cell r="O4">
            <v>67.099999999999994</v>
          </cell>
        </row>
      </sheetData>
      <sheetData sheetId="195">
        <row r="4">
          <cell r="O4">
            <v>67.099999999999994</v>
          </cell>
        </row>
      </sheetData>
      <sheetData sheetId="196">
        <row r="4">
          <cell r="O4">
            <v>67.099999999999994</v>
          </cell>
        </row>
      </sheetData>
      <sheetData sheetId="197">
        <row r="4">
          <cell r="O4">
            <v>67.099999999999994</v>
          </cell>
        </row>
      </sheetData>
      <sheetData sheetId="198">
        <row r="4">
          <cell r="O4">
            <v>67.099999999999994</v>
          </cell>
        </row>
      </sheetData>
      <sheetData sheetId="199">
        <row r="4">
          <cell r="O4">
            <v>67.099999999999994</v>
          </cell>
        </row>
      </sheetData>
      <sheetData sheetId="200">
        <row r="4">
          <cell r="O4">
            <v>67.099999999999994</v>
          </cell>
        </row>
      </sheetData>
      <sheetData sheetId="201">
        <row r="4">
          <cell r="O4">
            <v>67.099999999999994</v>
          </cell>
        </row>
      </sheetData>
      <sheetData sheetId="202">
        <row r="4">
          <cell r="O4">
            <v>67.099999999999994</v>
          </cell>
        </row>
      </sheetData>
      <sheetData sheetId="203">
        <row r="4">
          <cell r="O4">
            <v>67.099999999999994</v>
          </cell>
        </row>
      </sheetData>
      <sheetData sheetId="204">
        <row r="4">
          <cell r="O4">
            <v>67.099999999999994</v>
          </cell>
        </row>
      </sheetData>
      <sheetData sheetId="205">
        <row r="4">
          <cell r="O4">
            <v>67.099999999999994</v>
          </cell>
        </row>
      </sheetData>
      <sheetData sheetId="206">
        <row r="4">
          <cell r="O4">
            <v>67.099999999999994</v>
          </cell>
        </row>
      </sheetData>
      <sheetData sheetId="207">
        <row r="4">
          <cell r="O4">
            <v>67.099999999999994</v>
          </cell>
        </row>
      </sheetData>
      <sheetData sheetId="208">
        <row r="4">
          <cell r="O4">
            <v>67.099999999999994</v>
          </cell>
        </row>
      </sheetData>
      <sheetData sheetId="209">
        <row r="4">
          <cell r="O4">
            <v>67.099999999999994</v>
          </cell>
        </row>
      </sheetData>
      <sheetData sheetId="210">
        <row r="4">
          <cell r="O4">
            <v>67.099999999999994</v>
          </cell>
        </row>
      </sheetData>
      <sheetData sheetId="211">
        <row r="4">
          <cell r="O4">
            <v>67.099999999999994</v>
          </cell>
        </row>
      </sheetData>
      <sheetData sheetId="212">
        <row r="4">
          <cell r="O4">
            <v>67.099999999999994</v>
          </cell>
        </row>
      </sheetData>
      <sheetData sheetId="213">
        <row r="4">
          <cell r="O4">
            <v>67.099999999999994</v>
          </cell>
        </row>
      </sheetData>
      <sheetData sheetId="214">
        <row r="4">
          <cell r="O4">
            <v>67.099999999999994</v>
          </cell>
        </row>
      </sheetData>
      <sheetData sheetId="215">
        <row r="4">
          <cell r="O4">
            <v>67.099999999999994</v>
          </cell>
        </row>
      </sheetData>
      <sheetData sheetId="216">
        <row r="4">
          <cell r="O4">
            <v>67.099999999999994</v>
          </cell>
        </row>
      </sheetData>
      <sheetData sheetId="217">
        <row r="4">
          <cell r="O4">
            <v>67.099999999999994</v>
          </cell>
        </row>
      </sheetData>
      <sheetData sheetId="218">
        <row r="4">
          <cell r="O4">
            <v>67.099999999999994</v>
          </cell>
        </row>
      </sheetData>
      <sheetData sheetId="219">
        <row r="4">
          <cell r="O4">
            <v>67.099999999999994</v>
          </cell>
        </row>
      </sheetData>
      <sheetData sheetId="220">
        <row r="4">
          <cell r="O4">
            <v>67.099999999999994</v>
          </cell>
        </row>
      </sheetData>
      <sheetData sheetId="221">
        <row r="4">
          <cell r="O4">
            <v>67.099999999999994</v>
          </cell>
        </row>
      </sheetData>
      <sheetData sheetId="222">
        <row r="4">
          <cell r="O4">
            <v>67.099999999999994</v>
          </cell>
        </row>
      </sheetData>
      <sheetData sheetId="223">
        <row r="4">
          <cell r="O4">
            <v>67.099999999999994</v>
          </cell>
        </row>
      </sheetData>
      <sheetData sheetId="224">
        <row r="4">
          <cell r="O4">
            <v>67.099999999999994</v>
          </cell>
        </row>
      </sheetData>
      <sheetData sheetId="225">
        <row r="4">
          <cell r="O4">
            <v>67.099999999999994</v>
          </cell>
        </row>
      </sheetData>
      <sheetData sheetId="226">
        <row r="4">
          <cell r="O4">
            <v>67.099999999999994</v>
          </cell>
        </row>
      </sheetData>
      <sheetData sheetId="227">
        <row r="4">
          <cell r="O4">
            <v>67.099999999999994</v>
          </cell>
        </row>
      </sheetData>
      <sheetData sheetId="228">
        <row r="4">
          <cell r="O4">
            <v>67.099999999999994</v>
          </cell>
        </row>
      </sheetData>
      <sheetData sheetId="229">
        <row r="4">
          <cell r="O4">
            <v>67.099999999999994</v>
          </cell>
        </row>
      </sheetData>
      <sheetData sheetId="230">
        <row r="4">
          <cell r="O4">
            <v>67.099999999999994</v>
          </cell>
        </row>
      </sheetData>
      <sheetData sheetId="231">
        <row r="4">
          <cell r="O4">
            <v>67.099999999999994</v>
          </cell>
        </row>
      </sheetData>
      <sheetData sheetId="232">
        <row r="4">
          <cell r="O4">
            <v>67.099999999999994</v>
          </cell>
        </row>
      </sheetData>
      <sheetData sheetId="233">
        <row r="4">
          <cell r="O4">
            <v>67.099999999999994</v>
          </cell>
        </row>
      </sheetData>
      <sheetData sheetId="234">
        <row r="4">
          <cell r="O4">
            <v>67.099999999999994</v>
          </cell>
        </row>
      </sheetData>
      <sheetData sheetId="235">
        <row r="4">
          <cell r="O4">
            <v>67.099999999999994</v>
          </cell>
        </row>
      </sheetData>
      <sheetData sheetId="236">
        <row r="4">
          <cell r="O4">
            <v>67.099999999999994</v>
          </cell>
        </row>
      </sheetData>
      <sheetData sheetId="237">
        <row r="4">
          <cell r="O4">
            <v>67.099999999999994</v>
          </cell>
        </row>
      </sheetData>
      <sheetData sheetId="238">
        <row r="4">
          <cell r="O4">
            <v>67.099999999999994</v>
          </cell>
        </row>
      </sheetData>
      <sheetData sheetId="239">
        <row r="4">
          <cell r="O4">
            <v>67.099999999999994</v>
          </cell>
        </row>
      </sheetData>
      <sheetData sheetId="240">
        <row r="4">
          <cell r="O4">
            <v>67.099999999999994</v>
          </cell>
        </row>
      </sheetData>
      <sheetData sheetId="241">
        <row r="4">
          <cell r="O4">
            <v>67.099999999999994</v>
          </cell>
        </row>
      </sheetData>
      <sheetData sheetId="242">
        <row r="4">
          <cell r="O4">
            <v>67.099999999999994</v>
          </cell>
        </row>
      </sheetData>
      <sheetData sheetId="243">
        <row r="4">
          <cell r="O4">
            <v>67.099999999999994</v>
          </cell>
        </row>
      </sheetData>
      <sheetData sheetId="244">
        <row r="4">
          <cell r="O4">
            <v>67.099999999999994</v>
          </cell>
        </row>
      </sheetData>
      <sheetData sheetId="245">
        <row r="4">
          <cell r="O4">
            <v>67.099999999999994</v>
          </cell>
        </row>
      </sheetData>
      <sheetData sheetId="246">
        <row r="4">
          <cell r="O4">
            <v>67.099999999999994</v>
          </cell>
        </row>
      </sheetData>
      <sheetData sheetId="247">
        <row r="4">
          <cell r="O4">
            <v>67.099999999999994</v>
          </cell>
        </row>
      </sheetData>
      <sheetData sheetId="248">
        <row r="4">
          <cell r="O4">
            <v>67.099999999999994</v>
          </cell>
        </row>
      </sheetData>
      <sheetData sheetId="249">
        <row r="4">
          <cell r="O4">
            <v>67.099999999999994</v>
          </cell>
        </row>
      </sheetData>
      <sheetData sheetId="250">
        <row r="4">
          <cell r="O4">
            <v>67.099999999999994</v>
          </cell>
        </row>
      </sheetData>
      <sheetData sheetId="251">
        <row r="4">
          <cell r="O4">
            <v>67.099999999999994</v>
          </cell>
        </row>
      </sheetData>
      <sheetData sheetId="252">
        <row r="4">
          <cell r="O4">
            <v>67.099999999999994</v>
          </cell>
        </row>
      </sheetData>
      <sheetData sheetId="253">
        <row r="4">
          <cell r="O4">
            <v>67.099999999999994</v>
          </cell>
        </row>
      </sheetData>
      <sheetData sheetId="254">
        <row r="4">
          <cell r="O4">
            <v>67.099999999999994</v>
          </cell>
        </row>
      </sheetData>
      <sheetData sheetId="255">
        <row r="4">
          <cell r="O4">
            <v>67.099999999999994</v>
          </cell>
        </row>
      </sheetData>
      <sheetData sheetId="256">
        <row r="4">
          <cell r="O4">
            <v>67.099999999999994</v>
          </cell>
        </row>
      </sheetData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>
        <row r="4">
          <cell r="O4">
            <v>67.099999999999994</v>
          </cell>
        </row>
      </sheetData>
      <sheetData sheetId="272">
        <row r="4">
          <cell r="O4">
            <v>67.099999999999994</v>
          </cell>
        </row>
      </sheetData>
      <sheetData sheetId="273">
        <row r="4">
          <cell r="O4">
            <v>67.099999999999994</v>
          </cell>
        </row>
      </sheetData>
      <sheetData sheetId="274">
        <row r="4">
          <cell r="O4">
            <v>67.099999999999994</v>
          </cell>
        </row>
      </sheetData>
      <sheetData sheetId="275">
        <row r="4">
          <cell r="O4">
            <v>67.099999999999994</v>
          </cell>
        </row>
      </sheetData>
      <sheetData sheetId="276">
        <row r="4">
          <cell r="O4">
            <v>67.099999999999994</v>
          </cell>
        </row>
      </sheetData>
      <sheetData sheetId="277">
        <row r="4">
          <cell r="O4">
            <v>67.099999999999994</v>
          </cell>
        </row>
      </sheetData>
      <sheetData sheetId="278">
        <row r="4">
          <cell r="O4">
            <v>67.099999999999994</v>
          </cell>
        </row>
      </sheetData>
      <sheetData sheetId="279">
        <row r="4">
          <cell r="O4">
            <v>67.099999999999994</v>
          </cell>
        </row>
      </sheetData>
      <sheetData sheetId="280">
        <row r="4">
          <cell r="O4">
            <v>67.099999999999994</v>
          </cell>
        </row>
      </sheetData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>
        <row r="4">
          <cell r="O4">
            <v>67.099999999999994</v>
          </cell>
        </row>
      </sheetData>
      <sheetData sheetId="292">
        <row r="4">
          <cell r="O4">
            <v>67.099999999999994</v>
          </cell>
        </row>
      </sheetData>
      <sheetData sheetId="293">
        <row r="4">
          <cell r="O4">
            <v>67.099999999999994</v>
          </cell>
        </row>
      </sheetData>
      <sheetData sheetId="294">
        <row r="4">
          <cell r="O4">
            <v>67.099999999999994</v>
          </cell>
        </row>
      </sheetData>
      <sheetData sheetId="295">
        <row r="4">
          <cell r="O4">
            <v>67.099999999999994</v>
          </cell>
        </row>
      </sheetData>
      <sheetData sheetId="296">
        <row r="4">
          <cell r="O4">
            <v>67.099999999999994</v>
          </cell>
        </row>
      </sheetData>
      <sheetData sheetId="297">
        <row r="4">
          <cell r="O4">
            <v>67.099999999999994</v>
          </cell>
        </row>
      </sheetData>
      <sheetData sheetId="298">
        <row r="4">
          <cell r="O4">
            <v>67.099999999999994</v>
          </cell>
        </row>
      </sheetData>
      <sheetData sheetId="299">
        <row r="4">
          <cell r="O4">
            <v>67.099999999999994</v>
          </cell>
        </row>
      </sheetData>
      <sheetData sheetId="300">
        <row r="4">
          <cell r="O4">
            <v>67.099999999999994</v>
          </cell>
        </row>
      </sheetData>
      <sheetData sheetId="301">
        <row r="4">
          <cell r="O4">
            <v>67.099999999999994</v>
          </cell>
        </row>
      </sheetData>
      <sheetData sheetId="302">
        <row r="4">
          <cell r="O4">
            <v>67.099999999999994</v>
          </cell>
        </row>
      </sheetData>
      <sheetData sheetId="303">
        <row r="4">
          <cell r="O4">
            <v>67.099999999999994</v>
          </cell>
        </row>
      </sheetData>
      <sheetData sheetId="304">
        <row r="4">
          <cell r="O4">
            <v>67.099999999999994</v>
          </cell>
        </row>
      </sheetData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>
        <row r="4">
          <cell r="O4">
            <v>67.099999999999994</v>
          </cell>
        </row>
      </sheetData>
      <sheetData sheetId="316">
        <row r="4">
          <cell r="O4">
            <v>67.099999999999994</v>
          </cell>
        </row>
      </sheetData>
      <sheetData sheetId="317">
        <row r="4">
          <cell r="O4">
            <v>67.099999999999994</v>
          </cell>
        </row>
      </sheetData>
      <sheetData sheetId="318">
        <row r="4">
          <cell r="O4">
            <v>67.099999999999994</v>
          </cell>
        </row>
      </sheetData>
      <sheetData sheetId="319">
        <row r="4">
          <cell r="O4">
            <v>67.099999999999994</v>
          </cell>
        </row>
      </sheetData>
      <sheetData sheetId="320">
        <row r="4">
          <cell r="O4">
            <v>67.099999999999994</v>
          </cell>
        </row>
      </sheetData>
      <sheetData sheetId="321">
        <row r="4">
          <cell r="O4">
            <v>67.099999999999994</v>
          </cell>
        </row>
      </sheetData>
      <sheetData sheetId="322">
        <row r="4">
          <cell r="O4">
            <v>67.099999999999994</v>
          </cell>
        </row>
      </sheetData>
      <sheetData sheetId="323">
        <row r="4">
          <cell r="O4">
            <v>67.099999999999994</v>
          </cell>
        </row>
      </sheetData>
      <sheetData sheetId="324">
        <row r="4">
          <cell r="O4">
            <v>67.099999999999994</v>
          </cell>
        </row>
      </sheetData>
      <sheetData sheetId="325" refreshError="1"/>
      <sheetData sheetId="326">
        <row r="4">
          <cell r="O4">
            <v>67.099999999999994</v>
          </cell>
        </row>
      </sheetData>
      <sheetData sheetId="327">
        <row r="4">
          <cell r="O4">
            <v>67.099999999999994</v>
          </cell>
        </row>
      </sheetData>
      <sheetData sheetId="328"/>
      <sheetData sheetId="329"/>
      <sheetData sheetId="330"/>
      <sheetData sheetId="331"/>
      <sheetData sheetId="332"/>
      <sheetData sheetId="333"/>
      <sheetData sheetId="334">
        <row r="4">
          <cell r="O4">
            <v>67.099999999999994</v>
          </cell>
        </row>
      </sheetData>
      <sheetData sheetId="335">
        <row r="4">
          <cell r="O4">
            <v>67.099999999999994</v>
          </cell>
        </row>
      </sheetData>
      <sheetData sheetId="336">
        <row r="4">
          <cell r="O4">
            <v>67.099999999999994</v>
          </cell>
        </row>
      </sheetData>
      <sheetData sheetId="337">
        <row r="4">
          <cell r="O4">
            <v>67.099999999999994</v>
          </cell>
        </row>
      </sheetData>
      <sheetData sheetId="338">
        <row r="4">
          <cell r="O4">
            <v>67.099999999999994</v>
          </cell>
        </row>
      </sheetData>
      <sheetData sheetId="339">
        <row r="4">
          <cell r="O4">
            <v>67.099999999999994</v>
          </cell>
        </row>
      </sheetData>
      <sheetData sheetId="340">
        <row r="4">
          <cell r="O4">
            <v>67.099999999999994</v>
          </cell>
        </row>
      </sheetData>
      <sheetData sheetId="341">
        <row r="4">
          <cell r="O4">
            <v>67.099999999999994</v>
          </cell>
        </row>
      </sheetData>
      <sheetData sheetId="342">
        <row r="4">
          <cell r="O4">
            <v>67.099999999999994</v>
          </cell>
        </row>
      </sheetData>
      <sheetData sheetId="343">
        <row r="4">
          <cell r="O4">
            <v>67.099999999999994</v>
          </cell>
        </row>
      </sheetData>
      <sheetData sheetId="344">
        <row r="4">
          <cell r="O4">
            <v>67.099999999999994</v>
          </cell>
        </row>
      </sheetData>
      <sheetData sheetId="345">
        <row r="4">
          <cell r="O4">
            <v>67.099999999999994</v>
          </cell>
        </row>
      </sheetData>
      <sheetData sheetId="346">
        <row r="4">
          <cell r="O4">
            <v>67.099999999999994</v>
          </cell>
        </row>
      </sheetData>
      <sheetData sheetId="347">
        <row r="4">
          <cell r="O4">
            <v>67.099999999999994</v>
          </cell>
        </row>
      </sheetData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>
        <row r="4">
          <cell r="O4">
            <v>67.099999999999994</v>
          </cell>
        </row>
      </sheetData>
      <sheetData sheetId="360">
        <row r="4">
          <cell r="O4">
            <v>67.099999999999994</v>
          </cell>
        </row>
      </sheetData>
      <sheetData sheetId="361">
        <row r="4">
          <cell r="O4">
            <v>67.099999999999994</v>
          </cell>
        </row>
      </sheetData>
      <sheetData sheetId="362">
        <row r="4">
          <cell r="O4">
            <v>67.099999999999994</v>
          </cell>
        </row>
      </sheetData>
      <sheetData sheetId="363">
        <row r="4">
          <cell r="O4">
            <v>67.099999999999994</v>
          </cell>
        </row>
      </sheetData>
      <sheetData sheetId="364">
        <row r="4">
          <cell r="O4">
            <v>67.099999999999994</v>
          </cell>
        </row>
      </sheetData>
      <sheetData sheetId="365">
        <row r="4">
          <cell r="O4">
            <v>67.099999999999994</v>
          </cell>
        </row>
      </sheetData>
      <sheetData sheetId="366">
        <row r="4">
          <cell r="O4">
            <v>67.099999999999994</v>
          </cell>
        </row>
      </sheetData>
      <sheetData sheetId="367">
        <row r="4">
          <cell r="O4">
            <v>67.099999999999994</v>
          </cell>
        </row>
      </sheetData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>
        <row r="4">
          <cell r="O4">
            <v>67.099999999999994</v>
          </cell>
        </row>
      </sheetData>
      <sheetData sheetId="382">
        <row r="4">
          <cell r="O4">
            <v>67.099999999999994</v>
          </cell>
        </row>
      </sheetData>
      <sheetData sheetId="383">
        <row r="4">
          <cell r="O4">
            <v>67.099999999999994</v>
          </cell>
        </row>
      </sheetData>
      <sheetData sheetId="384">
        <row r="4">
          <cell r="O4">
            <v>67.099999999999994</v>
          </cell>
        </row>
      </sheetData>
      <sheetData sheetId="385">
        <row r="4">
          <cell r="O4">
            <v>67.099999999999994</v>
          </cell>
        </row>
      </sheetData>
      <sheetData sheetId="386">
        <row r="4">
          <cell r="O4">
            <v>67.099999999999994</v>
          </cell>
        </row>
      </sheetData>
      <sheetData sheetId="387">
        <row r="4">
          <cell r="O4">
            <v>67.099999999999994</v>
          </cell>
        </row>
      </sheetData>
      <sheetData sheetId="388">
        <row r="4">
          <cell r="O4">
            <v>67.099999999999994</v>
          </cell>
        </row>
      </sheetData>
      <sheetData sheetId="389">
        <row r="4">
          <cell r="O4">
            <v>67.099999999999994</v>
          </cell>
        </row>
      </sheetData>
      <sheetData sheetId="390">
        <row r="4">
          <cell r="O4">
            <v>67.099999999999994</v>
          </cell>
        </row>
      </sheetData>
      <sheetData sheetId="391">
        <row r="4">
          <cell r="O4">
            <v>67.099999999999994</v>
          </cell>
        </row>
      </sheetData>
      <sheetData sheetId="392">
        <row r="4">
          <cell r="O4">
            <v>67.099999999999994</v>
          </cell>
        </row>
      </sheetData>
      <sheetData sheetId="393">
        <row r="4">
          <cell r="O4">
            <v>67.099999999999994</v>
          </cell>
        </row>
      </sheetData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>
        <row r="4">
          <cell r="O4">
            <v>67.099999999999994</v>
          </cell>
        </row>
      </sheetData>
      <sheetData sheetId="411">
        <row r="4">
          <cell r="O4">
            <v>67.099999999999994</v>
          </cell>
        </row>
      </sheetData>
      <sheetData sheetId="412">
        <row r="4">
          <cell r="O4">
            <v>67.099999999999994</v>
          </cell>
        </row>
      </sheetData>
      <sheetData sheetId="413">
        <row r="4">
          <cell r="O4">
            <v>67.099999999999994</v>
          </cell>
        </row>
      </sheetData>
      <sheetData sheetId="414">
        <row r="4">
          <cell r="O4">
            <v>67.099999999999994</v>
          </cell>
        </row>
      </sheetData>
      <sheetData sheetId="415">
        <row r="4">
          <cell r="O4">
            <v>67.099999999999994</v>
          </cell>
        </row>
      </sheetData>
      <sheetData sheetId="416">
        <row r="4">
          <cell r="O4">
            <v>67.099999999999994</v>
          </cell>
        </row>
      </sheetData>
      <sheetData sheetId="417" refreshError="1"/>
      <sheetData sheetId="418">
        <row r="4">
          <cell r="O4">
            <v>67.099999999999994</v>
          </cell>
        </row>
      </sheetData>
      <sheetData sheetId="419"/>
      <sheetData sheetId="420">
        <row r="4">
          <cell r="O4">
            <v>67.099999999999994</v>
          </cell>
        </row>
      </sheetData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>
        <row r="4">
          <cell r="O4">
            <v>67.099999999999994</v>
          </cell>
        </row>
      </sheetData>
      <sheetData sheetId="431"/>
      <sheetData sheetId="432"/>
      <sheetData sheetId="433"/>
      <sheetData sheetId="434"/>
      <sheetData sheetId="435"/>
      <sheetData sheetId="436"/>
      <sheetData sheetId="437"/>
      <sheetData sheetId="438">
        <row r="4">
          <cell r="O4">
            <v>67.099999999999994</v>
          </cell>
        </row>
      </sheetData>
      <sheetData sheetId="439"/>
      <sheetData sheetId="440"/>
      <sheetData sheetId="441"/>
      <sheetData sheetId="442"/>
      <sheetData sheetId="443">
        <row r="4">
          <cell r="O4">
            <v>67.099999999999994</v>
          </cell>
        </row>
      </sheetData>
      <sheetData sheetId="444">
        <row r="4">
          <cell r="O4">
            <v>67.099999999999994</v>
          </cell>
        </row>
      </sheetData>
      <sheetData sheetId="445"/>
      <sheetData sheetId="446">
        <row r="4">
          <cell r="O4">
            <v>67.099999999999994</v>
          </cell>
        </row>
      </sheetData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>
        <row r="4">
          <cell r="O4">
            <v>67.099999999999994</v>
          </cell>
        </row>
      </sheetData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>
        <row r="4">
          <cell r="O4">
            <v>67.099999999999994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Уругликка"/>
      <sheetName val="копланмай"/>
      <sheetName val="фориш свод"/>
      <sheetName val="Фориш 2003"/>
      <sheetName val="Жиззах янги раз"/>
      <sheetName val="банк табл"/>
      <sheetName val="Лист2"/>
      <sheetName val="Ресстр2"/>
      <sheetName val="реестр3"/>
      <sheetName val="Реестр1"/>
      <sheetName val="Тохирбек 2003-1"/>
      <sheetName val="фориш_свод"/>
      <sheetName val="Фориш_2003"/>
      <sheetName val="Жиззах_янги_раз"/>
      <sheetName val="банк_табл"/>
      <sheetName val="Тохирбек_2003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"/>
      <sheetName val="Жиззах янги раз"/>
      <sheetName val="сабаблар"/>
      <sheetName val="фев"/>
      <sheetName val="Жиззах_янги_раз"/>
      <sheetName val="Жиззах_янги_раз1"/>
      <sheetName val="f007502_18X"/>
      <sheetName val="Oglavlenie"/>
    </sheetNames>
    <sheetDataSet>
      <sheetData sheetId="0" refreshError="1">
        <row r="1">
          <cell r="A1" t="str">
            <v>MES</v>
          </cell>
          <cell r="B1" t="str">
            <v>K_OBLUPR</v>
          </cell>
          <cell r="C1" t="str">
            <v>NOMFIL</v>
          </cell>
          <cell r="D1" t="str">
            <v>SCHET</v>
          </cell>
          <cell r="E1" t="str">
            <v>R_BS</v>
          </cell>
          <cell r="F1" t="str">
            <v>SCHET1</v>
          </cell>
          <cell r="G1" t="str">
            <v>R_BN</v>
          </cell>
          <cell r="H1" t="str">
            <v>PR_S</v>
          </cell>
          <cell r="I1" t="str">
            <v>OST_DT</v>
          </cell>
          <cell r="J1" t="str">
            <v>OST_KR</v>
          </cell>
          <cell r="K1" t="str">
            <v>OB_DT</v>
          </cell>
          <cell r="L1" t="str">
            <v>OB_KR</v>
          </cell>
          <cell r="M1" t="str">
            <v>IOST_DT</v>
          </cell>
          <cell r="N1" t="str">
            <v>IOST_KR</v>
          </cell>
          <cell r="O1" t="str">
            <v>NAIM</v>
          </cell>
        </row>
        <row r="2">
          <cell r="A2">
            <v>9</v>
          </cell>
          <cell r="B2">
            <v>214</v>
          </cell>
          <cell r="C2">
            <v>214</v>
          </cell>
          <cell r="D2">
            <v>11</v>
          </cell>
          <cell r="E2">
            <v>1</v>
          </cell>
          <cell r="F2">
            <v>30903.01</v>
          </cell>
          <cell r="H2">
            <v>3</v>
          </cell>
          <cell r="I2">
            <v>0</v>
          </cell>
          <cell r="J2">
            <v>7827145.1799999997</v>
          </cell>
          <cell r="K2">
            <v>14063945.08</v>
          </cell>
          <cell r="L2">
            <v>4469064.34</v>
          </cell>
          <cell r="M2">
            <v>1767735.56</v>
          </cell>
          <cell r="N2">
            <v>0</v>
          </cell>
          <cell r="O2" t="str">
            <v>Резервный фонд общего назначения</v>
          </cell>
        </row>
        <row r="3">
          <cell r="A3">
            <v>9</v>
          </cell>
          <cell r="B3">
            <v>214</v>
          </cell>
          <cell r="C3">
            <v>3563</v>
          </cell>
          <cell r="D3">
            <v>11</v>
          </cell>
          <cell r="E3">
            <v>1</v>
          </cell>
          <cell r="F3">
            <v>30903.01</v>
          </cell>
          <cell r="H3">
            <v>3</v>
          </cell>
          <cell r="I3">
            <v>0</v>
          </cell>
          <cell r="J3">
            <v>843012.61</v>
          </cell>
          <cell r="K3">
            <v>800861.98</v>
          </cell>
          <cell r="L3">
            <v>1091189.76</v>
          </cell>
          <cell r="M3">
            <v>0</v>
          </cell>
          <cell r="N3">
            <v>1133340.3899999999</v>
          </cell>
          <cell r="O3" t="str">
            <v>Резервный фонд общего назначения</v>
          </cell>
        </row>
        <row r="4">
          <cell r="A4">
            <v>9</v>
          </cell>
          <cell r="B4">
            <v>214</v>
          </cell>
          <cell r="C4">
            <v>5996</v>
          </cell>
          <cell r="D4">
            <v>11</v>
          </cell>
          <cell r="E4">
            <v>1</v>
          </cell>
          <cell r="F4">
            <v>30903.01</v>
          </cell>
          <cell r="H4">
            <v>3</v>
          </cell>
          <cell r="I4">
            <v>0</v>
          </cell>
          <cell r="J4">
            <v>1538049.01</v>
          </cell>
          <cell r="K4">
            <v>1808535.05</v>
          </cell>
          <cell r="L4">
            <v>347388.49</v>
          </cell>
          <cell r="M4">
            <v>0</v>
          </cell>
          <cell r="N4">
            <v>76902.45</v>
          </cell>
          <cell r="O4" t="str">
            <v>Резервный фонд общего назначения</v>
          </cell>
        </row>
        <row r="5">
          <cell r="A5">
            <v>9</v>
          </cell>
          <cell r="B5">
            <v>214</v>
          </cell>
          <cell r="C5">
            <v>7783</v>
          </cell>
          <cell r="D5">
            <v>11</v>
          </cell>
          <cell r="E5">
            <v>1</v>
          </cell>
          <cell r="F5">
            <v>30903.01</v>
          </cell>
          <cell r="H5">
            <v>3</v>
          </cell>
          <cell r="I5">
            <v>369002.56</v>
          </cell>
          <cell r="J5">
            <v>0</v>
          </cell>
          <cell r="K5">
            <v>0</v>
          </cell>
          <cell r="L5">
            <v>1469639.67</v>
          </cell>
          <cell r="M5">
            <v>0</v>
          </cell>
          <cell r="N5">
            <v>1100637.1100000001</v>
          </cell>
          <cell r="O5" t="str">
            <v>Резервный фонд общего назначения</v>
          </cell>
        </row>
        <row r="6">
          <cell r="A6">
            <v>9</v>
          </cell>
          <cell r="B6">
            <v>214</v>
          </cell>
          <cell r="C6">
            <v>7845</v>
          </cell>
          <cell r="D6">
            <v>11</v>
          </cell>
          <cell r="E6">
            <v>1</v>
          </cell>
          <cell r="F6">
            <v>30903.01</v>
          </cell>
          <cell r="H6">
            <v>3</v>
          </cell>
          <cell r="I6">
            <v>2133419.61</v>
          </cell>
          <cell r="J6">
            <v>0</v>
          </cell>
          <cell r="K6">
            <v>0</v>
          </cell>
          <cell r="L6">
            <v>2763454.35</v>
          </cell>
          <cell r="M6">
            <v>0</v>
          </cell>
          <cell r="N6">
            <v>630034.74</v>
          </cell>
          <cell r="O6" t="str">
            <v>Резервный фонд общего назначения</v>
          </cell>
        </row>
        <row r="7">
          <cell r="A7">
            <v>9</v>
          </cell>
          <cell r="B7">
            <v>214</v>
          </cell>
          <cell r="C7">
            <v>7948</v>
          </cell>
          <cell r="D7">
            <v>11</v>
          </cell>
          <cell r="E7">
            <v>1</v>
          </cell>
          <cell r="F7">
            <v>30903.01</v>
          </cell>
          <cell r="H7">
            <v>3</v>
          </cell>
          <cell r="I7">
            <v>1152432.56</v>
          </cell>
          <cell r="J7">
            <v>0</v>
          </cell>
          <cell r="K7">
            <v>0</v>
          </cell>
          <cell r="L7">
            <v>1787375.46</v>
          </cell>
          <cell r="M7">
            <v>0</v>
          </cell>
          <cell r="N7">
            <v>634942.9</v>
          </cell>
          <cell r="O7" t="str">
            <v>Резервный фонд общего назначения</v>
          </cell>
        </row>
        <row r="8">
          <cell r="A8">
            <v>9</v>
          </cell>
          <cell r="B8">
            <v>214</v>
          </cell>
          <cell r="C8">
            <v>8002</v>
          </cell>
          <cell r="D8">
            <v>11</v>
          </cell>
          <cell r="E8">
            <v>1</v>
          </cell>
          <cell r="F8">
            <v>30903.01</v>
          </cell>
          <cell r="H8">
            <v>3</v>
          </cell>
          <cell r="I8">
            <v>1812458.19</v>
          </cell>
          <cell r="J8">
            <v>0</v>
          </cell>
          <cell r="K8">
            <v>0</v>
          </cell>
          <cell r="L8">
            <v>2361374.98</v>
          </cell>
          <cell r="M8">
            <v>0</v>
          </cell>
          <cell r="N8">
            <v>548916.79</v>
          </cell>
          <cell r="O8" t="str">
            <v>Резервный фонд общего назначения</v>
          </cell>
        </row>
        <row r="9">
          <cell r="A9">
            <v>9</v>
          </cell>
          <cell r="B9">
            <v>214</v>
          </cell>
          <cell r="C9">
            <v>8104</v>
          </cell>
          <cell r="D9">
            <v>11</v>
          </cell>
          <cell r="E9">
            <v>1</v>
          </cell>
          <cell r="F9">
            <v>30903.01</v>
          </cell>
          <cell r="H9">
            <v>3</v>
          </cell>
          <cell r="I9">
            <v>1766932.06</v>
          </cell>
          <cell r="J9">
            <v>0</v>
          </cell>
          <cell r="K9">
            <v>0</v>
          </cell>
          <cell r="L9">
            <v>2342082.87</v>
          </cell>
          <cell r="M9">
            <v>0</v>
          </cell>
          <cell r="N9">
            <v>575150.81000000006</v>
          </cell>
          <cell r="O9" t="str">
            <v>Резервный фонд общего назначения</v>
          </cell>
        </row>
        <row r="10">
          <cell r="A10">
            <v>9</v>
          </cell>
          <cell r="B10">
            <v>214</v>
          </cell>
          <cell r="C10">
            <v>8137</v>
          </cell>
          <cell r="D10">
            <v>11</v>
          </cell>
          <cell r="E10">
            <v>1</v>
          </cell>
          <cell r="F10">
            <v>30903.01</v>
          </cell>
          <cell r="H10">
            <v>3</v>
          </cell>
          <cell r="I10">
            <v>0</v>
          </cell>
          <cell r="J10">
            <v>79386.02</v>
          </cell>
          <cell r="K10">
            <v>75416.72</v>
          </cell>
          <cell r="L10">
            <v>777290</v>
          </cell>
          <cell r="M10">
            <v>0</v>
          </cell>
          <cell r="N10">
            <v>781259.3</v>
          </cell>
          <cell r="O10" t="str">
            <v>Резервный фонд общего назначения</v>
          </cell>
        </row>
        <row r="11">
          <cell r="A11">
            <v>9</v>
          </cell>
          <cell r="B11">
            <v>214</v>
          </cell>
          <cell r="C11">
            <v>8298</v>
          </cell>
          <cell r="D11">
            <v>11</v>
          </cell>
          <cell r="E11">
            <v>1</v>
          </cell>
          <cell r="F11">
            <v>30903.01</v>
          </cell>
          <cell r="H11">
            <v>3</v>
          </cell>
          <cell r="I11">
            <v>2286118.7799999998</v>
          </cell>
          <cell r="J11">
            <v>0</v>
          </cell>
          <cell r="K11">
            <v>0</v>
          </cell>
          <cell r="L11">
            <v>2644496.33</v>
          </cell>
          <cell r="M11">
            <v>0</v>
          </cell>
          <cell r="N11">
            <v>358377.55</v>
          </cell>
          <cell r="O11" t="str">
            <v>Резервный фонд общего назначения</v>
          </cell>
        </row>
        <row r="12">
          <cell r="A12">
            <v>9</v>
          </cell>
          <cell r="B12">
            <v>214</v>
          </cell>
          <cell r="C12">
            <v>8533</v>
          </cell>
          <cell r="D12">
            <v>11</v>
          </cell>
          <cell r="E12">
            <v>1</v>
          </cell>
          <cell r="F12">
            <v>30903.01</v>
          </cell>
          <cell r="H12">
            <v>3</v>
          </cell>
          <cell r="I12">
            <v>1034310.92</v>
          </cell>
          <cell r="J12">
            <v>0</v>
          </cell>
          <cell r="K12">
            <v>0</v>
          </cell>
          <cell r="L12">
            <v>1399678.97</v>
          </cell>
          <cell r="M12">
            <v>0</v>
          </cell>
          <cell r="N12">
            <v>365368.05</v>
          </cell>
          <cell r="O12" t="str">
            <v>Резервный фонд общего назначения</v>
          </cell>
        </row>
        <row r="13">
          <cell r="A13">
            <v>9</v>
          </cell>
          <cell r="B13">
            <v>214</v>
          </cell>
          <cell r="C13">
            <v>8659</v>
          </cell>
          <cell r="D13">
            <v>11</v>
          </cell>
          <cell r="E13">
            <v>1</v>
          </cell>
          <cell r="F13">
            <v>30903.01</v>
          </cell>
          <cell r="H13">
            <v>3</v>
          </cell>
          <cell r="I13">
            <v>2497035.7599999998</v>
          </cell>
          <cell r="J13">
            <v>0</v>
          </cell>
          <cell r="K13">
            <v>0</v>
          </cell>
          <cell r="L13">
            <v>2497035.7599999998</v>
          </cell>
          <cell r="M13">
            <v>0</v>
          </cell>
          <cell r="N13">
            <v>0</v>
          </cell>
          <cell r="O13" t="str">
            <v>Резервный фонд общего назначения</v>
          </cell>
        </row>
        <row r="14">
          <cell r="A14">
            <v>9</v>
          </cell>
          <cell r="B14">
            <v>214</v>
          </cell>
          <cell r="C14">
            <v>214</v>
          </cell>
          <cell r="D14">
            <v>12.01</v>
          </cell>
          <cell r="E14">
            <v>1</v>
          </cell>
          <cell r="F14">
            <v>30903.02</v>
          </cell>
          <cell r="H14">
            <v>3</v>
          </cell>
          <cell r="I14">
            <v>0</v>
          </cell>
          <cell r="J14">
            <v>402909.46</v>
          </cell>
          <cell r="K14">
            <v>199983.96</v>
          </cell>
          <cell r="L14">
            <v>288791</v>
          </cell>
          <cell r="M14">
            <v>0</v>
          </cell>
          <cell r="N14">
            <v>491716.5</v>
          </cell>
          <cell r="O14" t="str">
            <v>Средства, направленные в фонд РБИ</v>
          </cell>
        </row>
        <row r="15">
          <cell r="A15">
            <v>9</v>
          </cell>
          <cell r="B15">
            <v>214</v>
          </cell>
          <cell r="C15">
            <v>3563</v>
          </cell>
          <cell r="D15">
            <v>12.01</v>
          </cell>
          <cell r="E15">
            <v>1</v>
          </cell>
          <cell r="F15">
            <v>30903.02</v>
          </cell>
          <cell r="H15">
            <v>3</v>
          </cell>
          <cell r="I15">
            <v>0</v>
          </cell>
          <cell r="J15">
            <v>1229414.31</v>
          </cell>
          <cell r="K15">
            <v>442199.28</v>
          </cell>
          <cell r="L15">
            <v>1763202</v>
          </cell>
          <cell r="M15">
            <v>0</v>
          </cell>
          <cell r="N15">
            <v>2550417.0299999998</v>
          </cell>
          <cell r="O15" t="str">
            <v>Средства, направленные в фонд РБИ</v>
          </cell>
        </row>
        <row r="16">
          <cell r="A16">
            <v>9</v>
          </cell>
          <cell r="B16">
            <v>214</v>
          </cell>
          <cell r="C16">
            <v>5996</v>
          </cell>
          <cell r="D16">
            <v>12.01</v>
          </cell>
          <cell r="E16">
            <v>1</v>
          </cell>
          <cell r="F16">
            <v>30903.02</v>
          </cell>
          <cell r="H16">
            <v>3</v>
          </cell>
          <cell r="I16">
            <v>0</v>
          </cell>
          <cell r="J16">
            <v>3032517.15</v>
          </cell>
          <cell r="K16">
            <v>427472.64000000001</v>
          </cell>
          <cell r="L16">
            <v>1057402.3999999999</v>
          </cell>
          <cell r="M16">
            <v>0</v>
          </cell>
          <cell r="N16">
            <v>3662446.91</v>
          </cell>
          <cell r="O16" t="str">
            <v>Средства, направленные в фонд РБИ</v>
          </cell>
        </row>
        <row r="17">
          <cell r="A17">
            <v>9</v>
          </cell>
          <cell r="B17">
            <v>214</v>
          </cell>
          <cell r="C17">
            <v>7783</v>
          </cell>
          <cell r="D17">
            <v>12.01</v>
          </cell>
          <cell r="E17">
            <v>1</v>
          </cell>
          <cell r="F17">
            <v>30903.02</v>
          </cell>
          <cell r="H17">
            <v>3</v>
          </cell>
          <cell r="I17">
            <v>0</v>
          </cell>
          <cell r="J17">
            <v>1012898.38</v>
          </cell>
          <cell r="K17">
            <v>28835</v>
          </cell>
          <cell r="L17">
            <v>1281316.6100000001</v>
          </cell>
          <cell r="M17">
            <v>0</v>
          </cell>
          <cell r="N17">
            <v>2265379.9900000002</v>
          </cell>
          <cell r="O17" t="str">
            <v>Средства, направленные в фонд РБИ</v>
          </cell>
        </row>
        <row r="18">
          <cell r="A18">
            <v>9</v>
          </cell>
          <cell r="B18">
            <v>214</v>
          </cell>
          <cell r="C18">
            <v>7845</v>
          </cell>
          <cell r="D18">
            <v>12.01</v>
          </cell>
          <cell r="E18">
            <v>1</v>
          </cell>
          <cell r="F18">
            <v>30903.02</v>
          </cell>
          <cell r="H18">
            <v>3</v>
          </cell>
          <cell r="I18">
            <v>0</v>
          </cell>
          <cell r="J18">
            <v>1133324.81</v>
          </cell>
          <cell r="K18">
            <v>486531.77</v>
          </cell>
          <cell r="L18">
            <v>1139291.57</v>
          </cell>
          <cell r="M18">
            <v>0</v>
          </cell>
          <cell r="N18">
            <v>1786084.61</v>
          </cell>
          <cell r="O18" t="str">
            <v>Средства, направленные в фонд РБИ</v>
          </cell>
        </row>
        <row r="19">
          <cell r="A19">
            <v>9</v>
          </cell>
          <cell r="B19">
            <v>214</v>
          </cell>
          <cell r="C19">
            <v>7948</v>
          </cell>
          <cell r="D19">
            <v>12.01</v>
          </cell>
          <cell r="E19">
            <v>1</v>
          </cell>
          <cell r="F19">
            <v>30903.02</v>
          </cell>
          <cell r="H19">
            <v>3</v>
          </cell>
          <cell r="I19">
            <v>0</v>
          </cell>
          <cell r="J19">
            <v>844632.27</v>
          </cell>
          <cell r="K19">
            <v>374481.55</v>
          </cell>
          <cell r="L19">
            <v>986679.34</v>
          </cell>
          <cell r="M19">
            <v>0</v>
          </cell>
          <cell r="N19">
            <v>1456830.06</v>
          </cell>
          <cell r="O19" t="str">
            <v>Средства, направленные в фонд РБИ</v>
          </cell>
        </row>
        <row r="20">
          <cell r="A20">
            <v>9</v>
          </cell>
          <cell r="B20">
            <v>214</v>
          </cell>
          <cell r="C20">
            <v>8002</v>
          </cell>
          <cell r="D20">
            <v>12.01</v>
          </cell>
          <cell r="E20">
            <v>1</v>
          </cell>
          <cell r="F20">
            <v>30903.02</v>
          </cell>
          <cell r="H20">
            <v>3</v>
          </cell>
          <cell r="I20">
            <v>0</v>
          </cell>
          <cell r="J20">
            <v>1577560.66</v>
          </cell>
          <cell r="K20">
            <v>365884.49</v>
          </cell>
          <cell r="L20">
            <v>1058155.01</v>
          </cell>
          <cell r="M20">
            <v>0</v>
          </cell>
          <cell r="N20">
            <v>2269831.1800000002</v>
          </cell>
          <cell r="O20" t="str">
            <v>Средства, направленные в фонд РБИ</v>
          </cell>
        </row>
        <row r="21">
          <cell r="A21">
            <v>9</v>
          </cell>
          <cell r="B21">
            <v>214</v>
          </cell>
          <cell r="C21">
            <v>8104</v>
          </cell>
          <cell r="D21">
            <v>12.01</v>
          </cell>
          <cell r="E21">
            <v>1</v>
          </cell>
          <cell r="F21">
            <v>30903.02</v>
          </cell>
          <cell r="H21">
            <v>3</v>
          </cell>
          <cell r="I21">
            <v>0</v>
          </cell>
          <cell r="J21">
            <v>864836.51</v>
          </cell>
          <cell r="K21">
            <v>451515.51</v>
          </cell>
          <cell r="L21">
            <v>828728.46</v>
          </cell>
          <cell r="M21">
            <v>0</v>
          </cell>
          <cell r="N21">
            <v>1242049.46</v>
          </cell>
          <cell r="O21" t="str">
            <v>Средства, направленные в фонд РБИ</v>
          </cell>
        </row>
        <row r="22">
          <cell r="A22">
            <v>9</v>
          </cell>
          <cell r="B22">
            <v>214</v>
          </cell>
          <cell r="C22">
            <v>8137</v>
          </cell>
          <cell r="D22">
            <v>12.01</v>
          </cell>
          <cell r="E22">
            <v>1</v>
          </cell>
          <cell r="F22">
            <v>30903.02</v>
          </cell>
          <cell r="H22">
            <v>3</v>
          </cell>
          <cell r="I22">
            <v>0</v>
          </cell>
          <cell r="J22">
            <v>1079116.1000000001</v>
          </cell>
          <cell r="K22">
            <v>419389.38</v>
          </cell>
          <cell r="L22">
            <v>611484</v>
          </cell>
          <cell r="M22">
            <v>0</v>
          </cell>
          <cell r="N22">
            <v>1271210.72</v>
          </cell>
          <cell r="O22" t="str">
            <v>Средства, направленные в фонд РБИ</v>
          </cell>
        </row>
        <row r="23">
          <cell r="A23">
            <v>9</v>
          </cell>
          <cell r="B23">
            <v>214</v>
          </cell>
          <cell r="C23">
            <v>8298</v>
          </cell>
          <cell r="D23">
            <v>12.01</v>
          </cell>
          <cell r="E23">
            <v>1</v>
          </cell>
          <cell r="F23">
            <v>30903.02</v>
          </cell>
          <cell r="H23">
            <v>3</v>
          </cell>
          <cell r="I23">
            <v>0</v>
          </cell>
          <cell r="J23">
            <v>865328.73</v>
          </cell>
          <cell r="K23">
            <v>113677.25</v>
          </cell>
          <cell r="L23">
            <v>1112144.3899999999</v>
          </cell>
          <cell r="M23">
            <v>0</v>
          </cell>
          <cell r="N23">
            <v>1863795.87</v>
          </cell>
          <cell r="O23" t="str">
            <v>Средства, направленные в фонд РБИ</v>
          </cell>
        </row>
        <row r="24">
          <cell r="A24">
            <v>9</v>
          </cell>
          <cell r="B24">
            <v>214</v>
          </cell>
          <cell r="C24">
            <v>8533</v>
          </cell>
          <cell r="D24">
            <v>12.01</v>
          </cell>
          <cell r="E24">
            <v>1</v>
          </cell>
          <cell r="F24">
            <v>30903.02</v>
          </cell>
          <cell r="H24">
            <v>3</v>
          </cell>
          <cell r="I24">
            <v>0</v>
          </cell>
          <cell r="J24">
            <v>538817.13</v>
          </cell>
          <cell r="K24">
            <v>424456.18</v>
          </cell>
          <cell r="L24">
            <v>321254.90000000002</v>
          </cell>
          <cell r="M24">
            <v>0</v>
          </cell>
          <cell r="N24">
            <v>435615.85</v>
          </cell>
          <cell r="O24" t="str">
            <v>Средства, направленные в фонд РБИ</v>
          </cell>
        </row>
        <row r="25">
          <cell r="A25">
            <v>9</v>
          </cell>
          <cell r="B25">
            <v>214</v>
          </cell>
          <cell r="C25">
            <v>8659</v>
          </cell>
          <cell r="D25">
            <v>12.01</v>
          </cell>
          <cell r="E25">
            <v>1</v>
          </cell>
          <cell r="F25">
            <v>30903.02</v>
          </cell>
          <cell r="H25">
            <v>3</v>
          </cell>
          <cell r="I25">
            <v>0</v>
          </cell>
          <cell r="J25">
            <v>818397.15</v>
          </cell>
          <cell r="K25">
            <v>561407.27</v>
          </cell>
          <cell r="L25">
            <v>586582</v>
          </cell>
          <cell r="M25">
            <v>0</v>
          </cell>
          <cell r="N25">
            <v>843571.88</v>
          </cell>
          <cell r="O25" t="str">
            <v>Средства, направленные в фонд РБИ</v>
          </cell>
        </row>
        <row r="26">
          <cell r="A26">
            <v>9</v>
          </cell>
          <cell r="B26">
            <v>214</v>
          </cell>
          <cell r="C26">
            <v>214</v>
          </cell>
          <cell r="D26">
            <v>12.03</v>
          </cell>
          <cell r="E26">
            <v>1</v>
          </cell>
          <cell r="F26">
            <v>30903.03</v>
          </cell>
          <cell r="H26">
            <v>3</v>
          </cell>
          <cell r="I26">
            <v>12971937.73</v>
          </cell>
          <cell r="J26">
            <v>0</v>
          </cell>
          <cell r="K26">
            <v>2583351.5</v>
          </cell>
          <cell r="L26">
            <v>15555289.23</v>
          </cell>
          <cell r="M26">
            <v>0</v>
          </cell>
          <cell r="N26">
            <v>0</v>
          </cell>
          <cell r="O26" t="str">
            <v>Единый фонд Заработной платы</v>
          </cell>
        </row>
        <row r="27">
          <cell r="A27">
            <v>9</v>
          </cell>
          <cell r="B27">
            <v>214</v>
          </cell>
          <cell r="C27">
            <v>214</v>
          </cell>
          <cell r="D27">
            <v>12.04</v>
          </cell>
          <cell r="E27">
            <v>1</v>
          </cell>
          <cell r="F27">
            <v>30903.040000000001</v>
          </cell>
          <cell r="H27">
            <v>3</v>
          </cell>
          <cell r="I27">
            <v>0</v>
          </cell>
          <cell r="J27">
            <v>0</v>
          </cell>
          <cell r="K27">
            <v>0</v>
          </cell>
          <cell r="L27">
            <v>122129.04</v>
          </cell>
          <cell r="M27">
            <v>0</v>
          </cell>
          <cell r="N27">
            <v>122129.04</v>
          </cell>
          <cell r="O27" t="str">
            <v>Средства, израсходованные на развитие банк. инфр-ры</v>
          </cell>
        </row>
        <row r="28">
          <cell r="A28">
            <v>9</v>
          </cell>
          <cell r="B28">
            <v>214</v>
          </cell>
          <cell r="C28">
            <v>3563</v>
          </cell>
          <cell r="D28">
            <v>12.04</v>
          </cell>
          <cell r="E28">
            <v>1</v>
          </cell>
          <cell r="F28">
            <v>30903.040000000001</v>
          </cell>
          <cell r="H28">
            <v>3</v>
          </cell>
          <cell r="I28">
            <v>0</v>
          </cell>
          <cell r="J28">
            <v>0</v>
          </cell>
          <cell r="K28">
            <v>0</v>
          </cell>
          <cell r="L28">
            <v>375699</v>
          </cell>
          <cell r="M28">
            <v>0</v>
          </cell>
          <cell r="N28">
            <v>375699</v>
          </cell>
          <cell r="O28" t="str">
            <v>Средства, израсходованные на развитие банк. инфр-ры</v>
          </cell>
        </row>
        <row r="29">
          <cell r="A29">
            <v>9</v>
          </cell>
          <cell r="B29">
            <v>214</v>
          </cell>
          <cell r="C29">
            <v>5996</v>
          </cell>
          <cell r="D29">
            <v>12.04</v>
          </cell>
          <cell r="E29">
            <v>1</v>
          </cell>
          <cell r="F29">
            <v>30903.040000000001</v>
          </cell>
          <cell r="H29">
            <v>3</v>
          </cell>
          <cell r="I29">
            <v>0</v>
          </cell>
          <cell r="J29">
            <v>0</v>
          </cell>
          <cell r="K29">
            <v>0</v>
          </cell>
          <cell r="L29">
            <v>347388.49</v>
          </cell>
          <cell r="M29">
            <v>0</v>
          </cell>
          <cell r="N29">
            <v>347388.49</v>
          </cell>
          <cell r="O29" t="str">
            <v>Средства, израсходованные на развитие банк. инфр-ры</v>
          </cell>
        </row>
        <row r="30">
          <cell r="A30">
            <v>9</v>
          </cell>
          <cell r="B30">
            <v>214</v>
          </cell>
          <cell r="C30">
            <v>7845</v>
          </cell>
          <cell r="D30">
            <v>12.04</v>
          </cell>
          <cell r="E30">
            <v>1</v>
          </cell>
          <cell r="F30">
            <v>30903.040000000001</v>
          </cell>
          <cell r="H30">
            <v>3</v>
          </cell>
          <cell r="I30">
            <v>0</v>
          </cell>
          <cell r="J30">
            <v>0</v>
          </cell>
          <cell r="K30">
            <v>0</v>
          </cell>
          <cell r="L30">
            <v>334118.45</v>
          </cell>
          <cell r="M30">
            <v>0</v>
          </cell>
          <cell r="N30">
            <v>334118.45</v>
          </cell>
          <cell r="O30" t="str">
            <v>Средства, израсходованные на развитие банк. инфр-ры</v>
          </cell>
        </row>
        <row r="31">
          <cell r="A31">
            <v>9</v>
          </cell>
          <cell r="B31">
            <v>214</v>
          </cell>
          <cell r="C31">
            <v>7948</v>
          </cell>
          <cell r="D31">
            <v>12.04</v>
          </cell>
          <cell r="E31">
            <v>1</v>
          </cell>
          <cell r="F31">
            <v>30903.040000000001</v>
          </cell>
          <cell r="H31">
            <v>3</v>
          </cell>
          <cell r="I31">
            <v>0</v>
          </cell>
          <cell r="J31">
            <v>0</v>
          </cell>
          <cell r="K31">
            <v>0</v>
          </cell>
          <cell r="L31">
            <v>374481.55</v>
          </cell>
          <cell r="M31">
            <v>0</v>
          </cell>
          <cell r="N31">
            <v>374481.55</v>
          </cell>
          <cell r="O31" t="str">
            <v>Средства, израсходованные на развитие банк. инфр-ры</v>
          </cell>
        </row>
        <row r="32">
          <cell r="A32">
            <v>9</v>
          </cell>
          <cell r="B32">
            <v>214</v>
          </cell>
          <cell r="C32">
            <v>8002</v>
          </cell>
          <cell r="D32">
            <v>12.04</v>
          </cell>
          <cell r="E32">
            <v>1</v>
          </cell>
          <cell r="F32">
            <v>30903.040000000001</v>
          </cell>
          <cell r="H32">
            <v>3</v>
          </cell>
          <cell r="I32">
            <v>0</v>
          </cell>
          <cell r="J32">
            <v>0</v>
          </cell>
          <cell r="K32">
            <v>0</v>
          </cell>
          <cell r="L32">
            <v>349384.49</v>
          </cell>
          <cell r="M32">
            <v>0</v>
          </cell>
          <cell r="N32">
            <v>349384.49</v>
          </cell>
          <cell r="O32" t="str">
            <v>Средства, израсходованные на развитие банк. инфр-ры</v>
          </cell>
        </row>
        <row r="33">
          <cell r="A33">
            <v>9</v>
          </cell>
          <cell r="B33">
            <v>214</v>
          </cell>
          <cell r="C33">
            <v>8104</v>
          </cell>
          <cell r="D33">
            <v>12.04</v>
          </cell>
          <cell r="E33">
            <v>1</v>
          </cell>
          <cell r="F33">
            <v>30903.040000000001</v>
          </cell>
          <cell r="H33">
            <v>3</v>
          </cell>
          <cell r="I33">
            <v>0</v>
          </cell>
          <cell r="J33">
            <v>0</v>
          </cell>
          <cell r="K33">
            <v>0</v>
          </cell>
          <cell r="L33">
            <v>331799.51</v>
          </cell>
          <cell r="M33">
            <v>0</v>
          </cell>
          <cell r="N33">
            <v>331799.51</v>
          </cell>
          <cell r="O33" t="str">
            <v>Средства, израсходованные на развитие банк. инфр-ры</v>
          </cell>
        </row>
        <row r="34">
          <cell r="A34">
            <v>9</v>
          </cell>
          <cell r="B34">
            <v>214</v>
          </cell>
          <cell r="C34">
            <v>8137</v>
          </cell>
          <cell r="D34">
            <v>12.04</v>
          </cell>
          <cell r="E34">
            <v>1</v>
          </cell>
          <cell r="F34">
            <v>30903.040000000001</v>
          </cell>
          <cell r="H34">
            <v>3</v>
          </cell>
          <cell r="I34">
            <v>0</v>
          </cell>
          <cell r="J34">
            <v>0</v>
          </cell>
          <cell r="K34">
            <v>0</v>
          </cell>
          <cell r="L34">
            <v>372639.28</v>
          </cell>
          <cell r="M34">
            <v>0</v>
          </cell>
          <cell r="N34">
            <v>372639.28</v>
          </cell>
          <cell r="O34" t="str">
            <v>Средства, израсходованные на развитие банк. инфр-ры</v>
          </cell>
        </row>
        <row r="35">
          <cell r="A35">
            <v>9</v>
          </cell>
          <cell r="B35">
            <v>214</v>
          </cell>
          <cell r="C35">
            <v>8298</v>
          </cell>
          <cell r="D35">
            <v>12.04</v>
          </cell>
          <cell r="E35">
            <v>1</v>
          </cell>
          <cell r="F35">
            <v>30903.040000000001</v>
          </cell>
          <cell r="H35">
            <v>3</v>
          </cell>
          <cell r="I35">
            <v>0</v>
          </cell>
          <cell r="J35">
            <v>0</v>
          </cell>
          <cell r="K35">
            <v>0</v>
          </cell>
          <cell r="L35">
            <v>68838</v>
          </cell>
          <cell r="M35">
            <v>0</v>
          </cell>
          <cell r="N35">
            <v>68838</v>
          </cell>
          <cell r="O35" t="str">
            <v>Средства, израсходованные на развитие банк. инфр-ры</v>
          </cell>
        </row>
        <row r="36">
          <cell r="A36">
            <v>9</v>
          </cell>
          <cell r="B36">
            <v>214</v>
          </cell>
          <cell r="C36">
            <v>8533</v>
          </cell>
          <cell r="D36">
            <v>12.04</v>
          </cell>
          <cell r="E36">
            <v>1</v>
          </cell>
          <cell r="F36">
            <v>30903.040000000001</v>
          </cell>
          <cell r="H36">
            <v>3</v>
          </cell>
          <cell r="I36">
            <v>0</v>
          </cell>
          <cell r="J36">
            <v>0</v>
          </cell>
          <cell r="K36">
            <v>0</v>
          </cell>
          <cell r="L36">
            <v>379128.45</v>
          </cell>
          <cell r="M36">
            <v>0</v>
          </cell>
          <cell r="N36">
            <v>379128.45</v>
          </cell>
          <cell r="O36" t="str">
            <v>Средства, израсходованные на развитие банк. инфр-ры</v>
          </cell>
        </row>
        <row r="37">
          <cell r="A37">
            <v>9</v>
          </cell>
          <cell r="B37">
            <v>214</v>
          </cell>
          <cell r="C37">
            <v>8659</v>
          </cell>
          <cell r="D37">
            <v>12.04</v>
          </cell>
          <cell r="E37">
            <v>1</v>
          </cell>
          <cell r="F37">
            <v>30903.040000000001</v>
          </cell>
          <cell r="H37">
            <v>3</v>
          </cell>
          <cell r="I37">
            <v>0</v>
          </cell>
          <cell r="J37">
            <v>0</v>
          </cell>
          <cell r="K37">
            <v>0</v>
          </cell>
          <cell r="L37">
            <v>424425.27</v>
          </cell>
          <cell r="M37">
            <v>0</v>
          </cell>
          <cell r="N37">
            <v>424425.27</v>
          </cell>
          <cell r="O37" t="str">
            <v>Средства, израсходованные на развитие банк. инфр-ры</v>
          </cell>
        </row>
        <row r="38">
          <cell r="A38">
            <v>9</v>
          </cell>
          <cell r="B38">
            <v>214</v>
          </cell>
          <cell r="C38">
            <v>214</v>
          </cell>
          <cell r="D38">
            <v>15</v>
          </cell>
          <cell r="E38">
            <v>1</v>
          </cell>
          <cell r="F38">
            <v>16511</v>
          </cell>
          <cell r="H38">
            <v>1</v>
          </cell>
          <cell r="I38">
            <v>0</v>
          </cell>
          <cell r="J38">
            <v>45842</v>
          </cell>
          <cell r="K38">
            <v>0</v>
          </cell>
          <cell r="L38">
            <v>7039</v>
          </cell>
          <cell r="M38">
            <v>0</v>
          </cell>
          <cell r="N38">
            <v>52881</v>
          </cell>
          <cell r="O38" t="str">
            <v>Hакопленный износ-Bank inshoatlari</v>
          </cell>
        </row>
        <row r="39">
          <cell r="A39">
            <v>9</v>
          </cell>
          <cell r="B39">
            <v>214</v>
          </cell>
          <cell r="C39">
            <v>3563</v>
          </cell>
          <cell r="D39">
            <v>15</v>
          </cell>
          <cell r="E39">
            <v>1</v>
          </cell>
          <cell r="F39">
            <v>16511</v>
          </cell>
          <cell r="H39">
            <v>1</v>
          </cell>
          <cell r="I39">
            <v>0</v>
          </cell>
          <cell r="J39">
            <v>30653</v>
          </cell>
          <cell r="K39">
            <v>0</v>
          </cell>
          <cell r="L39">
            <v>4250</v>
          </cell>
          <cell r="M39">
            <v>0</v>
          </cell>
          <cell r="N39">
            <v>34903</v>
          </cell>
          <cell r="O39" t="str">
            <v>Hакопленный износ-Bank inshoatlari</v>
          </cell>
        </row>
        <row r="40">
          <cell r="A40">
            <v>9</v>
          </cell>
          <cell r="B40">
            <v>214</v>
          </cell>
          <cell r="C40">
            <v>5996</v>
          </cell>
          <cell r="D40">
            <v>15</v>
          </cell>
          <cell r="E40">
            <v>1</v>
          </cell>
          <cell r="F40">
            <v>16511</v>
          </cell>
          <cell r="H40">
            <v>1</v>
          </cell>
          <cell r="I40">
            <v>0</v>
          </cell>
          <cell r="J40">
            <v>1380</v>
          </cell>
          <cell r="K40">
            <v>0</v>
          </cell>
          <cell r="L40">
            <v>159</v>
          </cell>
          <cell r="M40">
            <v>0</v>
          </cell>
          <cell r="N40">
            <v>1539</v>
          </cell>
          <cell r="O40" t="str">
            <v>Hакопленный износ-Bank inshoatlari</v>
          </cell>
        </row>
        <row r="41">
          <cell r="A41">
            <v>9</v>
          </cell>
          <cell r="B41">
            <v>214</v>
          </cell>
          <cell r="C41">
            <v>7783</v>
          </cell>
          <cell r="D41">
            <v>15</v>
          </cell>
          <cell r="E41">
            <v>1</v>
          </cell>
          <cell r="F41">
            <v>16511</v>
          </cell>
          <cell r="H41">
            <v>1</v>
          </cell>
          <cell r="I41">
            <v>0</v>
          </cell>
          <cell r="J41">
            <v>144506</v>
          </cell>
          <cell r="K41">
            <v>0</v>
          </cell>
          <cell r="L41">
            <v>11316</v>
          </cell>
          <cell r="M41">
            <v>0</v>
          </cell>
          <cell r="N41">
            <v>155822</v>
          </cell>
          <cell r="O41" t="str">
            <v>Hакопленный износ-Bank inshoatlari</v>
          </cell>
        </row>
        <row r="42">
          <cell r="A42">
            <v>9</v>
          </cell>
          <cell r="B42">
            <v>214</v>
          </cell>
          <cell r="C42">
            <v>7845</v>
          </cell>
          <cell r="D42">
            <v>15</v>
          </cell>
          <cell r="E42">
            <v>1</v>
          </cell>
          <cell r="F42">
            <v>16511</v>
          </cell>
          <cell r="H42">
            <v>1</v>
          </cell>
          <cell r="I42">
            <v>0</v>
          </cell>
          <cell r="J42">
            <v>161723</v>
          </cell>
          <cell r="K42">
            <v>0</v>
          </cell>
          <cell r="L42">
            <v>48517</v>
          </cell>
          <cell r="M42">
            <v>0</v>
          </cell>
          <cell r="N42">
            <v>210240</v>
          </cell>
          <cell r="O42" t="str">
            <v>Hакопленный износ-Bank inshoatlari</v>
          </cell>
        </row>
        <row r="43">
          <cell r="A43">
            <v>9</v>
          </cell>
          <cell r="B43">
            <v>214</v>
          </cell>
          <cell r="C43">
            <v>7948</v>
          </cell>
          <cell r="D43">
            <v>15</v>
          </cell>
          <cell r="E43">
            <v>1</v>
          </cell>
          <cell r="F43">
            <v>16511</v>
          </cell>
          <cell r="H43">
            <v>1</v>
          </cell>
          <cell r="I43">
            <v>0</v>
          </cell>
          <cell r="J43">
            <v>14166</v>
          </cell>
          <cell r="K43">
            <v>0</v>
          </cell>
          <cell r="L43">
            <v>1663</v>
          </cell>
          <cell r="M43">
            <v>0</v>
          </cell>
          <cell r="N43">
            <v>15829</v>
          </cell>
          <cell r="O43" t="str">
            <v>Hакопленный износ-Bank inshoatlari</v>
          </cell>
        </row>
        <row r="44">
          <cell r="A44">
            <v>9</v>
          </cell>
          <cell r="B44">
            <v>214</v>
          </cell>
          <cell r="C44">
            <v>8002</v>
          </cell>
          <cell r="D44">
            <v>15</v>
          </cell>
          <cell r="E44">
            <v>1</v>
          </cell>
          <cell r="F44">
            <v>16511</v>
          </cell>
          <cell r="H44">
            <v>1</v>
          </cell>
          <cell r="I44">
            <v>0</v>
          </cell>
          <cell r="J44">
            <v>570281</v>
          </cell>
          <cell r="K44">
            <v>0</v>
          </cell>
          <cell r="L44">
            <v>98600</v>
          </cell>
          <cell r="M44">
            <v>0</v>
          </cell>
          <cell r="N44">
            <v>668881</v>
          </cell>
          <cell r="O44" t="str">
            <v>Hакопленный износ-Bank inshoatlari</v>
          </cell>
        </row>
        <row r="45">
          <cell r="A45">
            <v>9</v>
          </cell>
          <cell r="B45">
            <v>214</v>
          </cell>
          <cell r="C45">
            <v>8104</v>
          </cell>
          <cell r="D45">
            <v>15</v>
          </cell>
          <cell r="E45">
            <v>1</v>
          </cell>
          <cell r="F45">
            <v>16511</v>
          </cell>
          <cell r="H45">
            <v>1</v>
          </cell>
          <cell r="I45">
            <v>0</v>
          </cell>
          <cell r="J45">
            <v>7065</v>
          </cell>
          <cell r="K45">
            <v>0</v>
          </cell>
          <cell r="L45">
            <v>1964.35</v>
          </cell>
          <cell r="M45">
            <v>0</v>
          </cell>
          <cell r="N45">
            <v>9029.35</v>
          </cell>
          <cell r="O45" t="str">
            <v>Hакопленный износ-Bank inshoatlari</v>
          </cell>
        </row>
        <row r="46">
          <cell r="A46">
            <v>9</v>
          </cell>
          <cell r="B46">
            <v>214</v>
          </cell>
          <cell r="C46">
            <v>8137</v>
          </cell>
          <cell r="D46">
            <v>15</v>
          </cell>
          <cell r="E46">
            <v>1</v>
          </cell>
          <cell r="F46">
            <v>16511</v>
          </cell>
          <cell r="H46">
            <v>1</v>
          </cell>
          <cell r="I46">
            <v>0</v>
          </cell>
          <cell r="J46">
            <v>104881</v>
          </cell>
          <cell r="K46">
            <v>0</v>
          </cell>
          <cell r="L46">
            <v>20979</v>
          </cell>
          <cell r="M46">
            <v>0</v>
          </cell>
          <cell r="N46">
            <v>125860</v>
          </cell>
          <cell r="O46" t="str">
            <v>Hакопленный износ-Bank inshoatlari</v>
          </cell>
        </row>
        <row r="47">
          <cell r="A47">
            <v>9</v>
          </cell>
          <cell r="B47">
            <v>214</v>
          </cell>
          <cell r="C47">
            <v>8298</v>
          </cell>
          <cell r="D47">
            <v>15</v>
          </cell>
          <cell r="E47">
            <v>1</v>
          </cell>
          <cell r="F47">
            <v>16511</v>
          </cell>
          <cell r="H47">
            <v>1</v>
          </cell>
          <cell r="I47">
            <v>0</v>
          </cell>
          <cell r="J47">
            <v>0</v>
          </cell>
          <cell r="K47">
            <v>0</v>
          </cell>
          <cell r="L47">
            <v>237624.36</v>
          </cell>
          <cell r="M47">
            <v>0</v>
          </cell>
          <cell r="N47">
            <v>237624.36</v>
          </cell>
          <cell r="O47" t="str">
            <v>Hакопленный износ-Bank inshoatlari</v>
          </cell>
        </row>
        <row r="48">
          <cell r="A48">
            <v>9</v>
          </cell>
          <cell r="B48">
            <v>214</v>
          </cell>
          <cell r="C48">
            <v>8659</v>
          </cell>
          <cell r="D48">
            <v>15</v>
          </cell>
          <cell r="E48">
            <v>1</v>
          </cell>
          <cell r="F48">
            <v>16511</v>
          </cell>
          <cell r="H48">
            <v>1</v>
          </cell>
          <cell r="I48">
            <v>0</v>
          </cell>
          <cell r="J48">
            <v>4878</v>
          </cell>
          <cell r="K48">
            <v>0</v>
          </cell>
          <cell r="L48">
            <v>10473</v>
          </cell>
          <cell r="M48">
            <v>0</v>
          </cell>
          <cell r="N48">
            <v>15351</v>
          </cell>
          <cell r="O48" t="str">
            <v>Hакопленный износ-Bank inshoatlari</v>
          </cell>
        </row>
        <row r="49">
          <cell r="A49">
            <v>9</v>
          </cell>
          <cell r="B49">
            <v>214</v>
          </cell>
          <cell r="C49">
            <v>214</v>
          </cell>
          <cell r="D49">
            <v>15.01</v>
          </cell>
          <cell r="E49">
            <v>1</v>
          </cell>
          <cell r="F49">
            <v>16531</v>
          </cell>
          <cell r="H49">
            <v>1</v>
          </cell>
          <cell r="I49">
            <v>0</v>
          </cell>
          <cell r="J49">
            <v>100474</v>
          </cell>
          <cell r="K49">
            <v>0</v>
          </cell>
          <cell r="L49">
            <v>22724</v>
          </cell>
          <cell r="M49">
            <v>0</v>
          </cell>
          <cell r="N49">
            <v>123198</v>
          </cell>
          <cell r="O49" t="str">
            <v>Hакопленный износ-transport vositalari</v>
          </cell>
        </row>
        <row r="50">
          <cell r="A50">
            <v>9</v>
          </cell>
          <cell r="B50">
            <v>214</v>
          </cell>
          <cell r="C50">
            <v>3563</v>
          </cell>
          <cell r="D50">
            <v>15.01</v>
          </cell>
          <cell r="E50">
            <v>1</v>
          </cell>
          <cell r="F50">
            <v>16531</v>
          </cell>
          <cell r="H50">
            <v>1</v>
          </cell>
          <cell r="I50">
            <v>0</v>
          </cell>
          <cell r="J50">
            <v>500726</v>
          </cell>
          <cell r="K50">
            <v>0</v>
          </cell>
          <cell r="L50">
            <v>39415</v>
          </cell>
          <cell r="M50">
            <v>0</v>
          </cell>
          <cell r="N50">
            <v>540141</v>
          </cell>
          <cell r="O50" t="str">
            <v>Hакопленный износ-transport vositalari</v>
          </cell>
        </row>
        <row r="51">
          <cell r="A51">
            <v>9</v>
          </cell>
          <cell r="B51">
            <v>214</v>
          </cell>
          <cell r="C51">
            <v>5996</v>
          </cell>
          <cell r="D51">
            <v>15.01</v>
          </cell>
          <cell r="E51">
            <v>1</v>
          </cell>
          <cell r="F51">
            <v>16531</v>
          </cell>
          <cell r="H51">
            <v>1</v>
          </cell>
          <cell r="I51">
            <v>0</v>
          </cell>
          <cell r="J51">
            <v>258325</v>
          </cell>
          <cell r="K51">
            <v>0</v>
          </cell>
          <cell r="L51">
            <v>52366</v>
          </cell>
          <cell r="M51">
            <v>0</v>
          </cell>
          <cell r="N51">
            <v>310691</v>
          </cell>
          <cell r="O51" t="str">
            <v>Hакопленный износ-transport vositalari</v>
          </cell>
        </row>
        <row r="52">
          <cell r="A52">
            <v>9</v>
          </cell>
          <cell r="B52">
            <v>214</v>
          </cell>
          <cell r="C52">
            <v>7783</v>
          </cell>
          <cell r="D52">
            <v>15.01</v>
          </cell>
          <cell r="E52">
            <v>1</v>
          </cell>
          <cell r="F52">
            <v>16531</v>
          </cell>
          <cell r="H52">
            <v>1</v>
          </cell>
          <cell r="I52">
            <v>0</v>
          </cell>
          <cell r="J52">
            <v>104163</v>
          </cell>
          <cell r="K52">
            <v>0</v>
          </cell>
          <cell r="L52">
            <v>42901.919999999998</v>
          </cell>
          <cell r="M52">
            <v>0</v>
          </cell>
          <cell r="N52">
            <v>147064.92000000001</v>
          </cell>
          <cell r="O52" t="str">
            <v>Hакопленный износ-transport vositalari</v>
          </cell>
        </row>
        <row r="53">
          <cell r="A53">
            <v>9</v>
          </cell>
          <cell r="B53">
            <v>214</v>
          </cell>
          <cell r="C53">
            <v>7845</v>
          </cell>
          <cell r="D53">
            <v>15.01</v>
          </cell>
          <cell r="E53">
            <v>1</v>
          </cell>
          <cell r="F53">
            <v>16531</v>
          </cell>
          <cell r="H53">
            <v>1</v>
          </cell>
          <cell r="I53">
            <v>0</v>
          </cell>
          <cell r="J53">
            <v>159635</v>
          </cell>
          <cell r="K53">
            <v>0</v>
          </cell>
          <cell r="L53">
            <v>0</v>
          </cell>
          <cell r="M53">
            <v>0</v>
          </cell>
          <cell r="N53">
            <v>159635</v>
          </cell>
          <cell r="O53" t="str">
            <v>Hакопленный износ-transport vositalari</v>
          </cell>
        </row>
        <row r="54">
          <cell r="A54">
            <v>9</v>
          </cell>
          <cell r="B54">
            <v>214</v>
          </cell>
          <cell r="C54">
            <v>7948</v>
          </cell>
          <cell r="D54">
            <v>15.01</v>
          </cell>
          <cell r="E54">
            <v>1</v>
          </cell>
          <cell r="F54">
            <v>16531</v>
          </cell>
          <cell r="H54">
            <v>1</v>
          </cell>
          <cell r="I54">
            <v>0</v>
          </cell>
          <cell r="J54">
            <v>326950</v>
          </cell>
          <cell r="K54">
            <v>0</v>
          </cell>
          <cell r="L54">
            <v>64531</v>
          </cell>
          <cell r="M54">
            <v>0</v>
          </cell>
          <cell r="N54">
            <v>391481</v>
          </cell>
          <cell r="O54" t="str">
            <v>Hакопленный износ-transport vositalari</v>
          </cell>
        </row>
        <row r="55">
          <cell r="A55">
            <v>9</v>
          </cell>
          <cell r="B55">
            <v>214</v>
          </cell>
          <cell r="C55">
            <v>8104</v>
          </cell>
          <cell r="D55">
            <v>15.01</v>
          </cell>
          <cell r="E55">
            <v>1</v>
          </cell>
          <cell r="F55">
            <v>16531</v>
          </cell>
          <cell r="H55">
            <v>1</v>
          </cell>
          <cell r="I55">
            <v>0</v>
          </cell>
          <cell r="J55">
            <v>149401</v>
          </cell>
          <cell r="K55">
            <v>0</v>
          </cell>
          <cell r="L55">
            <v>21559.15</v>
          </cell>
          <cell r="M55">
            <v>0</v>
          </cell>
          <cell r="N55">
            <v>170960.15</v>
          </cell>
          <cell r="O55" t="str">
            <v>Hакопленный износ-transport vositalari</v>
          </cell>
        </row>
        <row r="56">
          <cell r="A56">
            <v>9</v>
          </cell>
          <cell r="B56">
            <v>214</v>
          </cell>
          <cell r="C56">
            <v>8137</v>
          </cell>
          <cell r="D56">
            <v>15.01</v>
          </cell>
          <cell r="E56">
            <v>1</v>
          </cell>
          <cell r="F56">
            <v>16531</v>
          </cell>
          <cell r="H56">
            <v>1</v>
          </cell>
          <cell r="I56">
            <v>0</v>
          </cell>
          <cell r="J56">
            <v>54211</v>
          </cell>
          <cell r="K56">
            <v>0</v>
          </cell>
          <cell r="L56">
            <v>0</v>
          </cell>
          <cell r="M56">
            <v>0</v>
          </cell>
          <cell r="N56">
            <v>54211</v>
          </cell>
          <cell r="O56" t="str">
            <v>Hакопленный износ-transport vositalari</v>
          </cell>
        </row>
        <row r="57">
          <cell r="A57">
            <v>9</v>
          </cell>
          <cell r="B57">
            <v>214</v>
          </cell>
          <cell r="C57">
            <v>8298</v>
          </cell>
          <cell r="D57">
            <v>15.01</v>
          </cell>
          <cell r="E57">
            <v>1</v>
          </cell>
          <cell r="F57">
            <v>16531</v>
          </cell>
          <cell r="H57">
            <v>1</v>
          </cell>
          <cell r="I57">
            <v>0</v>
          </cell>
          <cell r="J57">
            <v>129890</v>
          </cell>
          <cell r="K57">
            <v>0</v>
          </cell>
          <cell r="L57">
            <v>27834</v>
          </cell>
          <cell r="M57">
            <v>0</v>
          </cell>
          <cell r="N57">
            <v>157724</v>
          </cell>
          <cell r="O57" t="str">
            <v>Hакопленный износ-transport vositalari</v>
          </cell>
        </row>
        <row r="58">
          <cell r="A58">
            <v>9</v>
          </cell>
          <cell r="B58">
            <v>214</v>
          </cell>
          <cell r="C58">
            <v>8659</v>
          </cell>
          <cell r="D58">
            <v>15.01</v>
          </cell>
          <cell r="E58">
            <v>1</v>
          </cell>
          <cell r="F58">
            <v>16531</v>
          </cell>
          <cell r="H58">
            <v>1</v>
          </cell>
          <cell r="I58">
            <v>0</v>
          </cell>
          <cell r="J58">
            <v>117768</v>
          </cell>
          <cell r="K58">
            <v>0</v>
          </cell>
          <cell r="L58">
            <v>25237</v>
          </cell>
          <cell r="M58">
            <v>0</v>
          </cell>
          <cell r="N58">
            <v>143005</v>
          </cell>
          <cell r="O58" t="str">
            <v>Hакопленный износ-transport vositalari</v>
          </cell>
        </row>
        <row r="59">
          <cell r="A59">
            <v>9</v>
          </cell>
          <cell r="B59">
            <v>214</v>
          </cell>
          <cell r="C59">
            <v>214</v>
          </cell>
          <cell r="D59">
            <v>15.02</v>
          </cell>
          <cell r="E59">
            <v>1</v>
          </cell>
          <cell r="F59">
            <v>16539</v>
          </cell>
          <cell r="H59">
            <v>1</v>
          </cell>
          <cell r="I59">
            <v>0</v>
          </cell>
          <cell r="J59">
            <v>1310436</v>
          </cell>
          <cell r="K59">
            <v>0</v>
          </cell>
          <cell r="L59">
            <v>297244</v>
          </cell>
          <cell r="M59">
            <v>0</v>
          </cell>
          <cell r="N59">
            <v>1607680</v>
          </cell>
          <cell r="O59" t="str">
            <v>Hакопленный износ-Mebel, uskunalar va jixozlar</v>
          </cell>
        </row>
        <row r="60">
          <cell r="A60">
            <v>9</v>
          </cell>
          <cell r="B60">
            <v>214</v>
          </cell>
          <cell r="C60">
            <v>3563</v>
          </cell>
          <cell r="D60">
            <v>15.02</v>
          </cell>
          <cell r="E60">
            <v>1</v>
          </cell>
          <cell r="F60">
            <v>16539</v>
          </cell>
          <cell r="H60">
            <v>1</v>
          </cell>
          <cell r="I60">
            <v>0</v>
          </cell>
          <cell r="J60">
            <v>1352659</v>
          </cell>
          <cell r="K60">
            <v>0</v>
          </cell>
          <cell r="L60">
            <v>119971</v>
          </cell>
          <cell r="M60">
            <v>0</v>
          </cell>
          <cell r="N60">
            <v>1472630</v>
          </cell>
          <cell r="O60" t="str">
            <v>Hакопленный износ-Mebel, uskunalar va jixozlar</v>
          </cell>
        </row>
        <row r="61">
          <cell r="A61">
            <v>9</v>
          </cell>
          <cell r="B61">
            <v>214</v>
          </cell>
          <cell r="C61">
            <v>5996</v>
          </cell>
          <cell r="D61">
            <v>15.02</v>
          </cell>
          <cell r="E61">
            <v>1</v>
          </cell>
          <cell r="F61">
            <v>16539</v>
          </cell>
          <cell r="H61">
            <v>1</v>
          </cell>
          <cell r="I61">
            <v>0</v>
          </cell>
          <cell r="J61">
            <v>998859</v>
          </cell>
          <cell r="K61">
            <v>0</v>
          </cell>
          <cell r="L61">
            <v>328222</v>
          </cell>
          <cell r="M61">
            <v>0</v>
          </cell>
          <cell r="N61">
            <v>1327081</v>
          </cell>
          <cell r="O61" t="str">
            <v>Hакопленный износ-Mebel, uskunalar va jixozlar</v>
          </cell>
        </row>
        <row r="62">
          <cell r="A62">
            <v>9</v>
          </cell>
          <cell r="B62">
            <v>214</v>
          </cell>
          <cell r="C62">
            <v>7783</v>
          </cell>
          <cell r="D62">
            <v>15.02</v>
          </cell>
          <cell r="E62">
            <v>1</v>
          </cell>
          <cell r="F62">
            <v>16539</v>
          </cell>
          <cell r="H62">
            <v>1</v>
          </cell>
          <cell r="I62">
            <v>0</v>
          </cell>
          <cell r="J62">
            <v>1160593</v>
          </cell>
          <cell r="K62">
            <v>0</v>
          </cell>
          <cell r="L62">
            <v>252850</v>
          </cell>
          <cell r="M62">
            <v>0</v>
          </cell>
          <cell r="N62">
            <v>1413443</v>
          </cell>
          <cell r="O62" t="str">
            <v>Hакопленный износ-Mebel, uskunalar va jixozlar</v>
          </cell>
        </row>
        <row r="63">
          <cell r="A63">
            <v>9</v>
          </cell>
          <cell r="B63">
            <v>214</v>
          </cell>
          <cell r="C63">
            <v>7845</v>
          </cell>
          <cell r="D63">
            <v>15.02</v>
          </cell>
          <cell r="E63">
            <v>1</v>
          </cell>
          <cell r="F63">
            <v>16539</v>
          </cell>
          <cell r="H63">
            <v>1</v>
          </cell>
          <cell r="I63">
            <v>0</v>
          </cell>
          <cell r="J63">
            <v>925681</v>
          </cell>
          <cell r="K63">
            <v>0</v>
          </cell>
          <cell r="L63">
            <v>276617</v>
          </cell>
          <cell r="M63">
            <v>0</v>
          </cell>
          <cell r="N63">
            <v>1202298</v>
          </cell>
          <cell r="O63" t="str">
            <v>Hакопленный износ-Mebel, uskunalar va jixozlar</v>
          </cell>
        </row>
        <row r="64">
          <cell r="A64">
            <v>9</v>
          </cell>
          <cell r="B64">
            <v>214</v>
          </cell>
          <cell r="C64">
            <v>7948</v>
          </cell>
          <cell r="D64">
            <v>15.02</v>
          </cell>
          <cell r="E64">
            <v>1</v>
          </cell>
          <cell r="F64">
            <v>16539</v>
          </cell>
          <cell r="H64">
            <v>1</v>
          </cell>
          <cell r="I64">
            <v>0</v>
          </cell>
          <cell r="J64">
            <v>690212.76</v>
          </cell>
          <cell r="K64">
            <v>0</v>
          </cell>
          <cell r="L64">
            <v>176628</v>
          </cell>
          <cell r="M64">
            <v>0</v>
          </cell>
          <cell r="N64">
            <v>866840.76</v>
          </cell>
          <cell r="O64" t="str">
            <v>Hакопленный износ-Mebel, uskunalar va jixozlar</v>
          </cell>
        </row>
        <row r="65">
          <cell r="A65">
            <v>9</v>
          </cell>
          <cell r="B65">
            <v>214</v>
          </cell>
          <cell r="C65">
            <v>8104</v>
          </cell>
          <cell r="D65">
            <v>15.02</v>
          </cell>
          <cell r="E65">
            <v>1</v>
          </cell>
          <cell r="F65">
            <v>16539</v>
          </cell>
          <cell r="H65">
            <v>1</v>
          </cell>
          <cell r="I65">
            <v>0</v>
          </cell>
          <cell r="J65">
            <v>693335.54</v>
          </cell>
          <cell r="K65">
            <v>0</v>
          </cell>
          <cell r="L65">
            <v>143324</v>
          </cell>
          <cell r="M65">
            <v>0</v>
          </cell>
          <cell r="N65">
            <v>836659.54</v>
          </cell>
          <cell r="O65" t="str">
            <v>Hакопленный износ-Mebel, uskunalar va jixozlar</v>
          </cell>
        </row>
        <row r="66">
          <cell r="A66">
            <v>9</v>
          </cell>
          <cell r="B66">
            <v>214</v>
          </cell>
          <cell r="C66">
            <v>8137</v>
          </cell>
          <cell r="D66">
            <v>15.02</v>
          </cell>
          <cell r="E66">
            <v>1</v>
          </cell>
          <cell r="F66">
            <v>16539</v>
          </cell>
          <cell r="H66">
            <v>1</v>
          </cell>
          <cell r="I66">
            <v>0</v>
          </cell>
          <cell r="J66">
            <v>530701</v>
          </cell>
          <cell r="K66">
            <v>0</v>
          </cell>
          <cell r="L66">
            <v>202734</v>
          </cell>
          <cell r="M66">
            <v>0</v>
          </cell>
          <cell r="N66">
            <v>733435</v>
          </cell>
          <cell r="O66" t="str">
            <v>Hакопленный износ-Mebel, uskunalar va jixozlar</v>
          </cell>
        </row>
        <row r="67">
          <cell r="A67">
            <v>9</v>
          </cell>
          <cell r="B67">
            <v>214</v>
          </cell>
          <cell r="C67">
            <v>8298</v>
          </cell>
          <cell r="D67">
            <v>15.02</v>
          </cell>
          <cell r="E67">
            <v>1</v>
          </cell>
          <cell r="F67">
            <v>16539</v>
          </cell>
          <cell r="H67">
            <v>1</v>
          </cell>
          <cell r="I67">
            <v>0</v>
          </cell>
          <cell r="J67">
            <v>799185.48</v>
          </cell>
          <cell r="K67">
            <v>0</v>
          </cell>
          <cell r="L67">
            <v>229214</v>
          </cell>
          <cell r="M67">
            <v>0</v>
          </cell>
          <cell r="N67">
            <v>1028399.48</v>
          </cell>
          <cell r="O67" t="str">
            <v>Hакопленный износ-Mebel, uskunalar va jixozlar</v>
          </cell>
        </row>
        <row r="68">
          <cell r="A68">
            <v>9</v>
          </cell>
          <cell r="B68">
            <v>214</v>
          </cell>
          <cell r="C68">
            <v>8533</v>
          </cell>
          <cell r="D68">
            <v>15.02</v>
          </cell>
          <cell r="E68">
            <v>1</v>
          </cell>
          <cell r="F68">
            <v>16539</v>
          </cell>
          <cell r="H68">
            <v>1</v>
          </cell>
          <cell r="I68">
            <v>0</v>
          </cell>
          <cell r="J68">
            <v>255458.33</v>
          </cell>
          <cell r="K68">
            <v>0</v>
          </cell>
          <cell r="L68">
            <v>159032.25</v>
          </cell>
          <cell r="M68">
            <v>0</v>
          </cell>
          <cell r="N68">
            <v>414490.58</v>
          </cell>
          <cell r="O68" t="str">
            <v>Hакопленный износ-Mebel, uskunalar va jixozlar</v>
          </cell>
        </row>
        <row r="69">
          <cell r="A69">
            <v>9</v>
          </cell>
          <cell r="B69">
            <v>214</v>
          </cell>
          <cell r="C69">
            <v>8659</v>
          </cell>
          <cell r="D69">
            <v>15.02</v>
          </cell>
          <cell r="E69">
            <v>1</v>
          </cell>
          <cell r="F69">
            <v>16539</v>
          </cell>
          <cell r="H69">
            <v>1</v>
          </cell>
          <cell r="I69">
            <v>0</v>
          </cell>
          <cell r="J69">
            <v>555582</v>
          </cell>
          <cell r="K69">
            <v>0</v>
          </cell>
          <cell r="L69">
            <v>172849</v>
          </cell>
          <cell r="M69">
            <v>0</v>
          </cell>
          <cell r="N69">
            <v>728431</v>
          </cell>
          <cell r="O69" t="str">
            <v>Hакопленный износ-Mebel, uskunalar va jixozlar</v>
          </cell>
        </row>
        <row r="70">
          <cell r="A70">
            <v>9</v>
          </cell>
          <cell r="B70">
            <v>214</v>
          </cell>
          <cell r="C70">
            <v>8137</v>
          </cell>
          <cell r="D70">
            <v>15.03</v>
          </cell>
          <cell r="E70">
            <v>1</v>
          </cell>
          <cell r="F70">
            <v>16545</v>
          </cell>
          <cell r="H70">
            <v>1</v>
          </cell>
          <cell r="I70">
            <v>0</v>
          </cell>
          <cell r="J70">
            <v>0</v>
          </cell>
          <cell r="K70">
            <v>0</v>
          </cell>
          <cell r="L70">
            <v>1098</v>
          </cell>
          <cell r="M70">
            <v>0</v>
          </cell>
          <cell r="N70">
            <v>1098</v>
          </cell>
          <cell r="O70" t="str">
            <v>Накопленный износ-Nomaterial aktivlar</v>
          </cell>
        </row>
        <row r="71">
          <cell r="A71">
            <v>9</v>
          </cell>
          <cell r="B71">
            <v>214</v>
          </cell>
          <cell r="C71">
            <v>3563</v>
          </cell>
          <cell r="D71">
            <v>31.01</v>
          </cell>
          <cell r="E71">
            <v>3</v>
          </cell>
          <cell r="F71">
            <v>10101.01</v>
          </cell>
          <cell r="H71">
            <v>1</v>
          </cell>
          <cell r="I71">
            <v>833309.78</v>
          </cell>
          <cell r="J71">
            <v>0</v>
          </cell>
          <cell r="K71">
            <v>477825279.14999998</v>
          </cell>
          <cell r="L71">
            <v>478548525.56999999</v>
          </cell>
          <cell r="M71">
            <v>110063.36</v>
          </cell>
          <cell r="N71">
            <v>0</v>
          </cell>
          <cell r="O71" t="str">
            <v>Кассавая наличность оборотной кассы</v>
          </cell>
        </row>
        <row r="72">
          <cell r="A72">
            <v>9</v>
          </cell>
          <cell r="B72">
            <v>214</v>
          </cell>
          <cell r="C72">
            <v>5996</v>
          </cell>
          <cell r="D72">
            <v>31.01</v>
          </cell>
          <cell r="E72">
            <v>3</v>
          </cell>
          <cell r="F72">
            <v>10101.01</v>
          </cell>
          <cell r="H72">
            <v>1</v>
          </cell>
          <cell r="I72">
            <v>2372705.35</v>
          </cell>
          <cell r="J72">
            <v>0</v>
          </cell>
          <cell r="K72">
            <v>392495712.38999999</v>
          </cell>
          <cell r="L72">
            <v>394085869.32999998</v>
          </cell>
          <cell r="M72">
            <v>782548.41</v>
          </cell>
          <cell r="N72">
            <v>0</v>
          </cell>
          <cell r="O72" t="str">
            <v>Tijorat bankning kassasi</v>
          </cell>
        </row>
        <row r="73">
          <cell r="A73">
            <v>9</v>
          </cell>
          <cell r="B73">
            <v>214</v>
          </cell>
          <cell r="C73">
            <v>7783</v>
          </cell>
          <cell r="D73">
            <v>31.01</v>
          </cell>
          <cell r="E73">
            <v>3</v>
          </cell>
          <cell r="F73">
            <v>10101.01</v>
          </cell>
          <cell r="H73">
            <v>1</v>
          </cell>
          <cell r="I73">
            <v>246751.31</v>
          </cell>
          <cell r="J73">
            <v>0</v>
          </cell>
          <cell r="K73">
            <v>246557038.33000001</v>
          </cell>
          <cell r="L73">
            <v>246088576.41</v>
          </cell>
          <cell r="M73">
            <v>715213.23</v>
          </cell>
          <cell r="N73">
            <v>0</v>
          </cell>
          <cell r="O73" t="str">
            <v>Кассавая наличность оборотной кассы</v>
          </cell>
        </row>
        <row r="74">
          <cell r="A74">
            <v>9</v>
          </cell>
          <cell r="B74">
            <v>214</v>
          </cell>
          <cell r="C74">
            <v>7845</v>
          </cell>
          <cell r="D74">
            <v>31.01</v>
          </cell>
          <cell r="E74">
            <v>3</v>
          </cell>
          <cell r="F74">
            <v>10101.01</v>
          </cell>
          <cell r="H74">
            <v>1</v>
          </cell>
          <cell r="I74">
            <v>42727.01</v>
          </cell>
          <cell r="J74">
            <v>0</v>
          </cell>
          <cell r="K74">
            <v>261628555.24000001</v>
          </cell>
          <cell r="L74">
            <v>261513237.93000001</v>
          </cell>
          <cell r="M74">
            <v>158044.32</v>
          </cell>
          <cell r="N74">
            <v>0</v>
          </cell>
          <cell r="O74" t="str">
            <v>Tijorat bankning kassasi</v>
          </cell>
        </row>
        <row r="75">
          <cell r="A75">
            <v>9</v>
          </cell>
          <cell r="B75">
            <v>214</v>
          </cell>
          <cell r="C75">
            <v>7948</v>
          </cell>
          <cell r="D75">
            <v>31.01</v>
          </cell>
          <cell r="E75">
            <v>3</v>
          </cell>
          <cell r="F75">
            <v>10101.01</v>
          </cell>
          <cell r="H75">
            <v>1</v>
          </cell>
          <cell r="I75">
            <v>658255.13</v>
          </cell>
          <cell r="J75">
            <v>0</v>
          </cell>
          <cell r="K75">
            <v>227486497.49000001</v>
          </cell>
          <cell r="L75">
            <v>227983562.63999999</v>
          </cell>
          <cell r="M75">
            <v>161189.98000000001</v>
          </cell>
          <cell r="N75">
            <v>0</v>
          </cell>
          <cell r="O75" t="str">
            <v>Tijorat bankning kassasi</v>
          </cell>
        </row>
        <row r="76">
          <cell r="A76">
            <v>9</v>
          </cell>
          <cell r="B76">
            <v>214</v>
          </cell>
          <cell r="C76">
            <v>8002</v>
          </cell>
          <cell r="D76">
            <v>31.01</v>
          </cell>
          <cell r="E76">
            <v>3</v>
          </cell>
          <cell r="F76">
            <v>10101.01</v>
          </cell>
          <cell r="H76">
            <v>1</v>
          </cell>
          <cell r="I76">
            <v>612879.51</v>
          </cell>
          <cell r="J76">
            <v>0</v>
          </cell>
          <cell r="K76">
            <v>149437536.75</v>
          </cell>
          <cell r="L76">
            <v>149869243.80000001</v>
          </cell>
          <cell r="M76">
            <v>181172.46</v>
          </cell>
          <cell r="N76">
            <v>0</v>
          </cell>
          <cell r="O76" t="str">
            <v>Tijorat bankning kassasi</v>
          </cell>
        </row>
        <row r="77">
          <cell r="A77">
            <v>9</v>
          </cell>
          <cell r="B77">
            <v>214</v>
          </cell>
          <cell r="C77">
            <v>8104</v>
          </cell>
          <cell r="D77">
            <v>31.01</v>
          </cell>
          <cell r="E77">
            <v>3</v>
          </cell>
          <cell r="F77">
            <v>10101.01</v>
          </cell>
          <cell r="H77">
            <v>1</v>
          </cell>
          <cell r="I77">
            <v>641040.15</v>
          </cell>
          <cell r="J77">
            <v>0</v>
          </cell>
          <cell r="K77">
            <v>185651951.69999999</v>
          </cell>
          <cell r="L77">
            <v>185657681.75</v>
          </cell>
          <cell r="M77">
            <v>635310.1</v>
          </cell>
          <cell r="N77">
            <v>0</v>
          </cell>
          <cell r="O77" t="str">
            <v>Tijorat bankning kassasi</v>
          </cell>
        </row>
        <row r="78">
          <cell r="A78">
            <v>9</v>
          </cell>
          <cell r="B78">
            <v>214</v>
          </cell>
          <cell r="C78">
            <v>8137</v>
          </cell>
          <cell r="D78">
            <v>31.01</v>
          </cell>
          <cell r="E78">
            <v>3</v>
          </cell>
          <cell r="F78">
            <v>10101.01</v>
          </cell>
          <cell r="H78">
            <v>1</v>
          </cell>
          <cell r="I78">
            <v>702219.44</v>
          </cell>
          <cell r="J78">
            <v>0</v>
          </cell>
          <cell r="K78">
            <v>148630461.33000001</v>
          </cell>
          <cell r="L78">
            <v>149129961.16999999</v>
          </cell>
          <cell r="M78">
            <v>202719.6</v>
          </cell>
          <cell r="N78">
            <v>0</v>
          </cell>
          <cell r="O78" t="str">
            <v>Tijorat bankning kassasi</v>
          </cell>
        </row>
        <row r="79">
          <cell r="A79">
            <v>9</v>
          </cell>
          <cell r="B79">
            <v>214</v>
          </cell>
          <cell r="C79">
            <v>8298</v>
          </cell>
          <cell r="D79">
            <v>31.01</v>
          </cell>
          <cell r="E79">
            <v>3</v>
          </cell>
          <cell r="F79">
            <v>10101.01</v>
          </cell>
          <cell r="H79">
            <v>1</v>
          </cell>
          <cell r="I79">
            <v>171965.58</v>
          </cell>
          <cell r="J79">
            <v>0</v>
          </cell>
          <cell r="K79">
            <v>204458498.56</v>
          </cell>
          <cell r="L79">
            <v>204351578.27000001</v>
          </cell>
          <cell r="M79">
            <v>278885.87</v>
          </cell>
          <cell r="N79">
            <v>0</v>
          </cell>
          <cell r="O79" t="str">
            <v>Tijorat bankning kassasi</v>
          </cell>
        </row>
        <row r="80">
          <cell r="A80">
            <v>9</v>
          </cell>
          <cell r="B80">
            <v>214</v>
          </cell>
          <cell r="C80">
            <v>8533</v>
          </cell>
          <cell r="D80">
            <v>31.01</v>
          </cell>
          <cell r="E80">
            <v>3</v>
          </cell>
          <cell r="F80">
            <v>10101.01</v>
          </cell>
          <cell r="H80">
            <v>1</v>
          </cell>
          <cell r="I80">
            <v>998833.25</v>
          </cell>
          <cell r="J80">
            <v>0</v>
          </cell>
          <cell r="K80">
            <v>72835336.920000002</v>
          </cell>
          <cell r="L80">
            <v>73453791.480000004</v>
          </cell>
          <cell r="M80">
            <v>380378.69</v>
          </cell>
          <cell r="N80">
            <v>0</v>
          </cell>
          <cell r="O80" t="str">
            <v>Tijorat bankning kassasi</v>
          </cell>
        </row>
        <row r="81">
          <cell r="A81">
            <v>9</v>
          </cell>
          <cell r="B81">
            <v>214</v>
          </cell>
          <cell r="C81">
            <v>8659</v>
          </cell>
          <cell r="D81">
            <v>31.01</v>
          </cell>
          <cell r="E81">
            <v>3</v>
          </cell>
          <cell r="F81">
            <v>10101.01</v>
          </cell>
          <cell r="H81">
            <v>1</v>
          </cell>
          <cell r="I81">
            <v>2274091.11</v>
          </cell>
          <cell r="J81">
            <v>0</v>
          </cell>
          <cell r="K81">
            <v>234069018.03</v>
          </cell>
          <cell r="L81">
            <v>234628178.84</v>
          </cell>
          <cell r="M81">
            <v>1714930.3</v>
          </cell>
          <cell r="N81">
            <v>0</v>
          </cell>
          <cell r="O81" t="str">
            <v>Tijorat bankning kassasi</v>
          </cell>
        </row>
        <row r="82">
          <cell r="A82">
            <v>9</v>
          </cell>
          <cell r="B82">
            <v>214</v>
          </cell>
          <cell r="C82">
            <v>3563</v>
          </cell>
          <cell r="D82">
            <v>32</v>
          </cell>
          <cell r="E82">
            <v>3</v>
          </cell>
          <cell r="F82">
            <v>10109.01</v>
          </cell>
          <cell r="H82">
            <v>1</v>
          </cell>
          <cell r="I82">
            <v>0</v>
          </cell>
          <cell r="J82">
            <v>0</v>
          </cell>
          <cell r="K82">
            <v>307766738.13999999</v>
          </cell>
          <cell r="L82">
            <v>307766738.13999999</v>
          </cell>
          <cell r="M82">
            <v>0</v>
          </cell>
          <cell r="N82">
            <v>0</v>
          </cell>
          <cell r="O82" t="str">
            <v>Денежные средства (Узб.сумы) в пути</v>
          </cell>
        </row>
        <row r="83">
          <cell r="A83">
            <v>9</v>
          </cell>
          <cell r="B83">
            <v>214</v>
          </cell>
          <cell r="C83">
            <v>5996</v>
          </cell>
          <cell r="D83">
            <v>32</v>
          </cell>
          <cell r="E83">
            <v>3</v>
          </cell>
          <cell r="F83">
            <v>10109.01</v>
          </cell>
          <cell r="H83">
            <v>1</v>
          </cell>
          <cell r="I83">
            <v>0</v>
          </cell>
          <cell r="J83">
            <v>0</v>
          </cell>
          <cell r="K83">
            <v>318882079.51999998</v>
          </cell>
          <cell r="L83">
            <v>318882079.51999998</v>
          </cell>
          <cell r="M83">
            <v>0</v>
          </cell>
          <cell r="N83">
            <v>0</v>
          </cell>
          <cell r="O83" t="str">
            <v>Денежные средства (Узб.сумы) в пути</v>
          </cell>
        </row>
        <row r="84">
          <cell r="A84">
            <v>9</v>
          </cell>
          <cell r="B84">
            <v>214</v>
          </cell>
          <cell r="C84">
            <v>7783</v>
          </cell>
          <cell r="D84">
            <v>32</v>
          </cell>
          <cell r="E84">
            <v>3</v>
          </cell>
          <cell r="F84">
            <v>10109.01</v>
          </cell>
          <cell r="H84">
            <v>1</v>
          </cell>
          <cell r="I84">
            <v>0</v>
          </cell>
          <cell r="J84">
            <v>0</v>
          </cell>
          <cell r="K84">
            <v>201084673.13999999</v>
          </cell>
          <cell r="L84">
            <v>201084673.13999999</v>
          </cell>
          <cell r="M84">
            <v>0</v>
          </cell>
          <cell r="N84">
            <v>0</v>
          </cell>
          <cell r="O84" t="str">
            <v>Денежные средства (Узб.сумы) в пути</v>
          </cell>
        </row>
        <row r="85">
          <cell r="A85">
            <v>9</v>
          </cell>
          <cell r="B85">
            <v>214</v>
          </cell>
          <cell r="C85">
            <v>7845</v>
          </cell>
          <cell r="D85">
            <v>32</v>
          </cell>
          <cell r="E85">
            <v>3</v>
          </cell>
          <cell r="F85">
            <v>10109.01</v>
          </cell>
          <cell r="H85">
            <v>1</v>
          </cell>
          <cell r="I85">
            <v>0</v>
          </cell>
          <cell r="J85">
            <v>0</v>
          </cell>
          <cell r="K85">
            <v>217079763.25999999</v>
          </cell>
          <cell r="L85">
            <v>217079763.25999999</v>
          </cell>
          <cell r="M85">
            <v>0</v>
          </cell>
          <cell r="N85">
            <v>0</v>
          </cell>
          <cell r="O85" t="str">
            <v>Денежные средства (Узб.сумы) в пути</v>
          </cell>
        </row>
        <row r="86">
          <cell r="A86">
            <v>9</v>
          </cell>
          <cell r="B86">
            <v>214</v>
          </cell>
          <cell r="C86">
            <v>7948</v>
          </cell>
          <cell r="D86">
            <v>32</v>
          </cell>
          <cell r="E86">
            <v>3</v>
          </cell>
          <cell r="F86">
            <v>10109.01</v>
          </cell>
          <cell r="H86">
            <v>1</v>
          </cell>
          <cell r="I86">
            <v>0</v>
          </cell>
          <cell r="J86">
            <v>0</v>
          </cell>
          <cell r="K86">
            <v>199138258</v>
          </cell>
          <cell r="L86">
            <v>199138258</v>
          </cell>
          <cell r="M86">
            <v>0</v>
          </cell>
          <cell r="N86">
            <v>0</v>
          </cell>
          <cell r="O86" t="str">
            <v>Денежные средства (Узб.сумы) в пути</v>
          </cell>
        </row>
        <row r="87">
          <cell r="A87">
            <v>9</v>
          </cell>
          <cell r="B87">
            <v>214</v>
          </cell>
          <cell r="C87">
            <v>8002</v>
          </cell>
          <cell r="D87">
            <v>32</v>
          </cell>
          <cell r="E87">
            <v>3</v>
          </cell>
          <cell r="F87">
            <v>10109.01</v>
          </cell>
          <cell r="H87">
            <v>1</v>
          </cell>
          <cell r="I87">
            <v>0</v>
          </cell>
          <cell r="J87">
            <v>0</v>
          </cell>
          <cell r="K87">
            <v>127873476.2</v>
          </cell>
          <cell r="L87">
            <v>127873476.2</v>
          </cell>
          <cell r="M87">
            <v>0</v>
          </cell>
          <cell r="N87">
            <v>0</v>
          </cell>
          <cell r="O87" t="str">
            <v>Денежные средства (Узб.сумы) в пути</v>
          </cell>
        </row>
        <row r="88">
          <cell r="A88">
            <v>9</v>
          </cell>
          <cell r="B88">
            <v>214</v>
          </cell>
          <cell r="C88">
            <v>8104</v>
          </cell>
          <cell r="D88">
            <v>32</v>
          </cell>
          <cell r="E88">
            <v>3</v>
          </cell>
          <cell r="F88">
            <v>10109.01</v>
          </cell>
          <cell r="H88">
            <v>1</v>
          </cell>
          <cell r="I88">
            <v>0</v>
          </cell>
          <cell r="J88">
            <v>0</v>
          </cell>
          <cell r="K88">
            <v>161610134.94</v>
          </cell>
          <cell r="L88">
            <v>161610134.94</v>
          </cell>
          <cell r="M88">
            <v>0</v>
          </cell>
          <cell r="N88">
            <v>0</v>
          </cell>
          <cell r="O88" t="str">
            <v>Денежные средства (Узб.сумы) в пути</v>
          </cell>
        </row>
        <row r="89">
          <cell r="A89">
            <v>9</v>
          </cell>
          <cell r="B89">
            <v>214</v>
          </cell>
          <cell r="C89">
            <v>8137</v>
          </cell>
          <cell r="D89">
            <v>32</v>
          </cell>
          <cell r="E89">
            <v>3</v>
          </cell>
          <cell r="F89">
            <v>10109.01</v>
          </cell>
          <cell r="H89">
            <v>1</v>
          </cell>
          <cell r="I89">
            <v>0</v>
          </cell>
          <cell r="J89">
            <v>0</v>
          </cell>
          <cell r="K89">
            <v>58039134.719999999</v>
          </cell>
          <cell r="L89">
            <v>58039134.719999999</v>
          </cell>
          <cell r="M89">
            <v>0</v>
          </cell>
          <cell r="N89">
            <v>0</v>
          </cell>
          <cell r="O89" t="str">
            <v>Денежные средства (Узб.сумы) в пути</v>
          </cell>
        </row>
        <row r="90">
          <cell r="A90">
            <v>9</v>
          </cell>
          <cell r="B90">
            <v>214</v>
          </cell>
          <cell r="C90">
            <v>8298</v>
          </cell>
          <cell r="D90">
            <v>32</v>
          </cell>
          <cell r="E90">
            <v>3</v>
          </cell>
          <cell r="F90">
            <v>10109.01</v>
          </cell>
          <cell r="H90">
            <v>1</v>
          </cell>
          <cell r="I90">
            <v>0</v>
          </cell>
          <cell r="J90">
            <v>0</v>
          </cell>
          <cell r="K90">
            <v>171670864.41</v>
          </cell>
          <cell r="L90">
            <v>171670864.41</v>
          </cell>
          <cell r="M90">
            <v>0</v>
          </cell>
          <cell r="N90">
            <v>0</v>
          </cell>
          <cell r="O90" t="str">
            <v>Денежные средства (Узб.сумы) в пути</v>
          </cell>
        </row>
        <row r="91">
          <cell r="A91">
            <v>9</v>
          </cell>
          <cell r="B91">
            <v>214</v>
          </cell>
          <cell r="C91">
            <v>8533</v>
          </cell>
          <cell r="D91">
            <v>32</v>
          </cell>
          <cell r="E91">
            <v>3</v>
          </cell>
          <cell r="F91">
            <v>10109.01</v>
          </cell>
          <cell r="H91">
            <v>1</v>
          </cell>
          <cell r="I91">
            <v>0</v>
          </cell>
          <cell r="J91">
            <v>0</v>
          </cell>
          <cell r="K91">
            <v>37655544</v>
          </cell>
          <cell r="L91">
            <v>37655544</v>
          </cell>
          <cell r="M91">
            <v>0</v>
          </cell>
          <cell r="N91">
            <v>0</v>
          </cell>
          <cell r="O91" t="str">
            <v>Денежные средства (Узб.сумы) в пути</v>
          </cell>
        </row>
        <row r="92">
          <cell r="A92">
            <v>9</v>
          </cell>
          <cell r="B92">
            <v>214</v>
          </cell>
          <cell r="C92">
            <v>8659</v>
          </cell>
          <cell r="D92">
            <v>32</v>
          </cell>
          <cell r="E92">
            <v>3</v>
          </cell>
          <cell r="F92">
            <v>10109.01</v>
          </cell>
          <cell r="H92">
            <v>1</v>
          </cell>
          <cell r="I92">
            <v>0</v>
          </cell>
          <cell r="J92">
            <v>0</v>
          </cell>
          <cell r="K92">
            <v>193208899.18000001</v>
          </cell>
          <cell r="L92">
            <v>193208899.18000001</v>
          </cell>
          <cell r="M92">
            <v>0</v>
          </cell>
          <cell r="N92">
            <v>0</v>
          </cell>
          <cell r="O92" t="str">
            <v>Денежные средства (Узб.сумы) в пути</v>
          </cell>
        </row>
        <row r="93">
          <cell r="A93">
            <v>9</v>
          </cell>
          <cell r="B93">
            <v>214</v>
          </cell>
          <cell r="C93">
            <v>8298</v>
          </cell>
          <cell r="D93">
            <v>33</v>
          </cell>
          <cell r="E93">
            <v>3</v>
          </cell>
          <cell r="F93">
            <v>10101.02</v>
          </cell>
          <cell r="H93">
            <v>1</v>
          </cell>
          <cell r="I93">
            <v>1700000</v>
          </cell>
          <cell r="J93">
            <v>0</v>
          </cell>
          <cell r="K93">
            <v>1030000</v>
          </cell>
          <cell r="L93">
            <v>2730000</v>
          </cell>
          <cell r="M93">
            <v>0</v>
          </cell>
          <cell r="N93">
            <v>0</v>
          </cell>
          <cell r="O93" t="str">
            <v>Limitdan ortiq naqd pul mablaglari</v>
          </cell>
        </row>
        <row r="94">
          <cell r="A94">
            <v>9</v>
          </cell>
          <cell r="B94">
            <v>214</v>
          </cell>
          <cell r="C94">
            <v>3563</v>
          </cell>
          <cell r="D94">
            <v>70</v>
          </cell>
          <cell r="E94">
            <v>5</v>
          </cell>
          <cell r="F94">
            <v>20206.009999999998</v>
          </cell>
          <cell r="H94">
            <v>2</v>
          </cell>
          <cell r="I94">
            <v>0</v>
          </cell>
          <cell r="J94">
            <v>38519.800000000003</v>
          </cell>
          <cell r="K94">
            <v>0</v>
          </cell>
          <cell r="L94">
            <v>8711.82</v>
          </cell>
          <cell r="M94">
            <v>0</v>
          </cell>
          <cell r="N94">
            <v>47231.62</v>
          </cell>
          <cell r="O94" t="str">
            <v>Валютный вклад до востребования</v>
          </cell>
        </row>
        <row r="95">
          <cell r="A95">
            <v>9</v>
          </cell>
          <cell r="B95">
            <v>214</v>
          </cell>
          <cell r="C95">
            <v>214</v>
          </cell>
          <cell r="D95">
            <v>120.01</v>
          </cell>
          <cell r="E95">
            <v>6</v>
          </cell>
          <cell r="F95">
            <v>23404.01</v>
          </cell>
          <cell r="H95">
            <v>2</v>
          </cell>
          <cell r="I95">
            <v>0</v>
          </cell>
          <cell r="J95">
            <v>0</v>
          </cell>
          <cell r="K95">
            <v>5239900</v>
          </cell>
          <cell r="L95">
            <v>5682700</v>
          </cell>
          <cell r="M95">
            <v>0</v>
          </cell>
          <cell r="N95">
            <v>442800</v>
          </cell>
          <cell r="O95" t="str">
            <v>Mudofaa Vazirligining nafaqalari bo`yicha hisob-kitoblar</v>
          </cell>
        </row>
        <row r="96">
          <cell r="A96">
            <v>9</v>
          </cell>
          <cell r="B96">
            <v>214</v>
          </cell>
          <cell r="C96">
            <v>3563</v>
          </cell>
          <cell r="D96">
            <v>120.01</v>
          </cell>
          <cell r="E96">
            <v>6</v>
          </cell>
          <cell r="F96">
            <v>23404.01</v>
          </cell>
          <cell r="H96">
            <v>2</v>
          </cell>
          <cell r="I96">
            <v>0</v>
          </cell>
          <cell r="J96">
            <v>298713.31</v>
          </cell>
          <cell r="K96">
            <v>3414958.44</v>
          </cell>
          <cell r="L96">
            <v>3134000</v>
          </cell>
          <cell r="M96">
            <v>0</v>
          </cell>
          <cell r="N96">
            <v>17754.87</v>
          </cell>
          <cell r="O96" t="str">
            <v>Mudofaa Vazirligining nafaqalari bo`yicha hisob-kitoblar</v>
          </cell>
        </row>
        <row r="97">
          <cell r="A97">
            <v>9</v>
          </cell>
          <cell r="B97">
            <v>214</v>
          </cell>
          <cell r="C97">
            <v>5996</v>
          </cell>
          <cell r="D97">
            <v>120.01</v>
          </cell>
          <cell r="E97">
            <v>6</v>
          </cell>
          <cell r="F97">
            <v>23404.01</v>
          </cell>
          <cell r="H97">
            <v>2</v>
          </cell>
          <cell r="I97">
            <v>0</v>
          </cell>
          <cell r="J97">
            <v>82120.11</v>
          </cell>
          <cell r="K97">
            <v>2690683.85</v>
          </cell>
          <cell r="L97">
            <v>2709089</v>
          </cell>
          <cell r="M97">
            <v>0</v>
          </cell>
          <cell r="N97">
            <v>100525.26</v>
          </cell>
          <cell r="O97" t="str">
            <v>Mudofaa Vazirligining nafaqalari bo`yicha hisob-kitoblar</v>
          </cell>
        </row>
        <row r="98">
          <cell r="A98">
            <v>9</v>
          </cell>
          <cell r="B98">
            <v>214</v>
          </cell>
          <cell r="C98">
            <v>7783</v>
          </cell>
          <cell r="D98">
            <v>120.01</v>
          </cell>
          <cell r="E98">
            <v>6</v>
          </cell>
          <cell r="F98">
            <v>23404.01</v>
          </cell>
          <cell r="H98">
            <v>2</v>
          </cell>
          <cell r="I98">
            <v>0</v>
          </cell>
          <cell r="J98">
            <v>72898.710000000006</v>
          </cell>
          <cell r="K98">
            <v>1773208.5</v>
          </cell>
          <cell r="L98">
            <v>1742589</v>
          </cell>
          <cell r="M98">
            <v>0</v>
          </cell>
          <cell r="N98">
            <v>42279.21</v>
          </cell>
          <cell r="O98" t="str">
            <v>Mudofaa Vazirligining nafaqalari bo`yicha hisob-kitoblar</v>
          </cell>
        </row>
        <row r="99">
          <cell r="A99">
            <v>9</v>
          </cell>
          <cell r="B99">
            <v>214</v>
          </cell>
          <cell r="C99">
            <v>7845</v>
          </cell>
          <cell r="D99">
            <v>120.01</v>
          </cell>
          <cell r="E99">
            <v>6</v>
          </cell>
          <cell r="F99">
            <v>23404.01</v>
          </cell>
          <cell r="H99">
            <v>2</v>
          </cell>
          <cell r="I99">
            <v>0</v>
          </cell>
          <cell r="J99">
            <v>734</v>
          </cell>
          <cell r="K99">
            <v>90763</v>
          </cell>
          <cell r="L99">
            <v>94500</v>
          </cell>
          <cell r="M99">
            <v>0</v>
          </cell>
          <cell r="N99">
            <v>4471</v>
          </cell>
          <cell r="O99" t="str">
            <v>Mudofaa Vazirligining nafaqalari bo`yicha hisob-kitoblar</v>
          </cell>
        </row>
        <row r="100">
          <cell r="A100">
            <v>9</v>
          </cell>
          <cell r="B100">
            <v>214</v>
          </cell>
          <cell r="C100">
            <v>8002</v>
          </cell>
          <cell r="D100">
            <v>120.01</v>
          </cell>
          <cell r="E100">
            <v>6</v>
          </cell>
          <cell r="F100">
            <v>23404.01</v>
          </cell>
          <cell r="H100">
            <v>2</v>
          </cell>
          <cell r="I100">
            <v>0</v>
          </cell>
          <cell r="J100">
            <v>23286</v>
          </cell>
          <cell r="K100">
            <v>345351</v>
          </cell>
          <cell r="L100">
            <v>384400</v>
          </cell>
          <cell r="M100">
            <v>0</v>
          </cell>
          <cell r="N100">
            <v>62335</v>
          </cell>
          <cell r="O100" t="str">
            <v>Mudofaa Vazirligining nafaqalari bo`yicha hisob-kitoblar</v>
          </cell>
        </row>
        <row r="101">
          <cell r="A101">
            <v>9</v>
          </cell>
          <cell r="B101">
            <v>214</v>
          </cell>
          <cell r="C101">
            <v>8104</v>
          </cell>
          <cell r="D101">
            <v>120.01</v>
          </cell>
          <cell r="E101">
            <v>6</v>
          </cell>
          <cell r="F101">
            <v>23404.01</v>
          </cell>
          <cell r="H101">
            <v>2</v>
          </cell>
          <cell r="I101">
            <v>0</v>
          </cell>
          <cell r="J101">
            <v>11090</v>
          </cell>
          <cell r="K101">
            <v>313920</v>
          </cell>
          <cell r="L101">
            <v>305011</v>
          </cell>
          <cell r="M101">
            <v>0</v>
          </cell>
          <cell r="N101">
            <v>2181</v>
          </cell>
          <cell r="O101" t="str">
            <v>Mudofaa Vazirligining nafaqalari bo`yicha hisob-kitoblar</v>
          </cell>
        </row>
        <row r="102">
          <cell r="A102">
            <v>9</v>
          </cell>
          <cell r="B102">
            <v>214</v>
          </cell>
          <cell r="C102">
            <v>8137</v>
          </cell>
          <cell r="D102">
            <v>120.01</v>
          </cell>
          <cell r="E102">
            <v>6</v>
          </cell>
          <cell r="F102">
            <v>23404.01</v>
          </cell>
          <cell r="H102">
            <v>2</v>
          </cell>
          <cell r="I102">
            <v>0</v>
          </cell>
          <cell r="J102">
            <v>37784.199999999997</v>
          </cell>
          <cell r="K102">
            <v>107815</v>
          </cell>
          <cell r="L102">
            <v>80000</v>
          </cell>
          <cell r="M102">
            <v>0</v>
          </cell>
          <cell r="N102">
            <v>9969.2000000000007</v>
          </cell>
          <cell r="O102" t="str">
            <v>Mudofaa Vazirligining nafaqalari bo`yicha hisob-kitoblar</v>
          </cell>
        </row>
        <row r="103">
          <cell r="A103">
            <v>9</v>
          </cell>
          <cell r="B103">
            <v>214</v>
          </cell>
          <cell r="C103">
            <v>8298</v>
          </cell>
          <cell r="D103">
            <v>120.01</v>
          </cell>
          <cell r="E103">
            <v>6</v>
          </cell>
          <cell r="F103">
            <v>23404.01</v>
          </cell>
          <cell r="H103">
            <v>2</v>
          </cell>
          <cell r="I103">
            <v>0</v>
          </cell>
          <cell r="J103">
            <v>24398</v>
          </cell>
          <cell r="K103">
            <v>160297.76</v>
          </cell>
          <cell r="L103">
            <v>138500</v>
          </cell>
          <cell r="M103">
            <v>0</v>
          </cell>
          <cell r="N103">
            <v>2600.2399999999998</v>
          </cell>
          <cell r="O103" t="str">
            <v>Mudofaa Vazirligining nafaqalari bo`yicha hisob-kitoblar</v>
          </cell>
        </row>
        <row r="104">
          <cell r="A104">
            <v>9</v>
          </cell>
          <cell r="B104">
            <v>214</v>
          </cell>
          <cell r="C104">
            <v>8659</v>
          </cell>
          <cell r="D104">
            <v>120.01</v>
          </cell>
          <cell r="E104">
            <v>6</v>
          </cell>
          <cell r="F104">
            <v>23404.01</v>
          </cell>
          <cell r="H104">
            <v>2</v>
          </cell>
          <cell r="I104">
            <v>0</v>
          </cell>
          <cell r="J104">
            <v>23223</v>
          </cell>
          <cell r="K104">
            <v>106342</v>
          </cell>
          <cell r="L104">
            <v>106900</v>
          </cell>
          <cell r="M104">
            <v>0</v>
          </cell>
          <cell r="N104">
            <v>23781</v>
          </cell>
          <cell r="O104" t="str">
            <v>Mudofaa Vazirligining nafaqalari bo`yicha hisob-kitoblar</v>
          </cell>
        </row>
        <row r="105">
          <cell r="A105">
            <v>9</v>
          </cell>
          <cell r="B105">
            <v>214</v>
          </cell>
          <cell r="C105">
            <v>214</v>
          </cell>
          <cell r="D105">
            <v>120.02</v>
          </cell>
          <cell r="E105">
            <v>6</v>
          </cell>
          <cell r="F105">
            <v>23404.02</v>
          </cell>
          <cell r="H105">
            <v>2</v>
          </cell>
          <cell r="I105">
            <v>0</v>
          </cell>
          <cell r="J105">
            <v>0</v>
          </cell>
          <cell r="K105">
            <v>38154500</v>
          </cell>
          <cell r="L105">
            <v>38945000</v>
          </cell>
          <cell r="M105">
            <v>0</v>
          </cell>
          <cell r="N105">
            <v>790500</v>
          </cell>
          <cell r="O105" t="str">
            <v>Ichki Ishlar Vazirligining nafaqalari bo`yicha hisob-kitobla</v>
          </cell>
        </row>
        <row r="106">
          <cell r="A106">
            <v>9</v>
          </cell>
          <cell r="B106">
            <v>214</v>
          </cell>
          <cell r="C106">
            <v>3563</v>
          </cell>
          <cell r="D106">
            <v>120.02</v>
          </cell>
          <cell r="E106">
            <v>6</v>
          </cell>
          <cell r="F106">
            <v>23404.02</v>
          </cell>
          <cell r="H106">
            <v>2</v>
          </cell>
          <cell r="I106">
            <v>0</v>
          </cell>
          <cell r="J106">
            <v>1448889.41</v>
          </cell>
          <cell r="K106">
            <v>22075922.579999998</v>
          </cell>
          <cell r="L106">
            <v>20947500</v>
          </cell>
          <cell r="M106">
            <v>0</v>
          </cell>
          <cell r="N106">
            <v>320466.83</v>
          </cell>
          <cell r="O106" t="str">
            <v>Ichki Ishlar Vazirligining nafaqalari bo`yicha hisob-kitobla</v>
          </cell>
        </row>
        <row r="107">
          <cell r="A107">
            <v>9</v>
          </cell>
          <cell r="B107">
            <v>214</v>
          </cell>
          <cell r="C107">
            <v>5996</v>
          </cell>
          <cell r="D107">
            <v>120.02</v>
          </cell>
          <cell r="E107">
            <v>6</v>
          </cell>
          <cell r="F107">
            <v>23404.02</v>
          </cell>
          <cell r="H107">
            <v>2</v>
          </cell>
          <cell r="I107">
            <v>0</v>
          </cell>
          <cell r="J107">
            <v>990677.26</v>
          </cell>
          <cell r="K107">
            <v>14318963</v>
          </cell>
          <cell r="L107">
            <v>14182640</v>
          </cell>
          <cell r="M107">
            <v>0</v>
          </cell>
          <cell r="N107">
            <v>854354.26</v>
          </cell>
          <cell r="O107" t="str">
            <v>Ichki Ishlar Vazirligining nafaqalari bo`yicha hisob-kitobla</v>
          </cell>
        </row>
        <row r="108">
          <cell r="A108">
            <v>9</v>
          </cell>
          <cell r="B108">
            <v>214</v>
          </cell>
          <cell r="C108">
            <v>7783</v>
          </cell>
          <cell r="D108">
            <v>120.02</v>
          </cell>
          <cell r="E108">
            <v>6</v>
          </cell>
          <cell r="F108">
            <v>23404.02</v>
          </cell>
          <cell r="H108">
            <v>2</v>
          </cell>
          <cell r="I108">
            <v>0</v>
          </cell>
          <cell r="J108">
            <v>637511.43999999994</v>
          </cell>
          <cell r="K108">
            <v>15976394.25</v>
          </cell>
          <cell r="L108">
            <v>16827248</v>
          </cell>
          <cell r="M108">
            <v>0</v>
          </cell>
          <cell r="N108">
            <v>1488365.19</v>
          </cell>
          <cell r="O108" t="str">
            <v>Ichki Ishlar Vazirligining nafaqalari bo`yicha hisob-kitobla</v>
          </cell>
        </row>
        <row r="109">
          <cell r="A109">
            <v>9</v>
          </cell>
          <cell r="B109">
            <v>214</v>
          </cell>
          <cell r="C109">
            <v>7845</v>
          </cell>
          <cell r="D109">
            <v>120.02</v>
          </cell>
          <cell r="E109">
            <v>6</v>
          </cell>
          <cell r="F109">
            <v>23404.02</v>
          </cell>
          <cell r="H109">
            <v>2</v>
          </cell>
          <cell r="I109">
            <v>0</v>
          </cell>
          <cell r="J109">
            <v>10184.629999999999</v>
          </cell>
          <cell r="K109">
            <v>1338676</v>
          </cell>
          <cell r="L109">
            <v>1350000</v>
          </cell>
          <cell r="M109">
            <v>0</v>
          </cell>
          <cell r="N109">
            <v>21508.63</v>
          </cell>
          <cell r="O109" t="str">
            <v>Ichki Ishlar Vazirligining nafaqalari bo`yicha hisob-kitobla</v>
          </cell>
        </row>
        <row r="110">
          <cell r="A110">
            <v>9</v>
          </cell>
          <cell r="B110">
            <v>214</v>
          </cell>
          <cell r="C110">
            <v>7948</v>
          </cell>
          <cell r="D110">
            <v>120.02</v>
          </cell>
          <cell r="E110">
            <v>6</v>
          </cell>
          <cell r="F110">
            <v>23404.02</v>
          </cell>
          <cell r="H110">
            <v>2</v>
          </cell>
          <cell r="I110">
            <v>0</v>
          </cell>
          <cell r="J110">
            <v>251348.72</v>
          </cell>
          <cell r="K110">
            <v>2367845</v>
          </cell>
          <cell r="L110">
            <v>2125000</v>
          </cell>
          <cell r="M110">
            <v>0</v>
          </cell>
          <cell r="N110">
            <v>8503.7199999999993</v>
          </cell>
          <cell r="O110" t="str">
            <v>Ichki Ishlar Vazirligining nafaqalari bo`yicha hisob-kitobla</v>
          </cell>
        </row>
        <row r="111">
          <cell r="A111">
            <v>9</v>
          </cell>
          <cell r="B111">
            <v>214</v>
          </cell>
          <cell r="C111">
            <v>8002</v>
          </cell>
          <cell r="D111">
            <v>120.02</v>
          </cell>
          <cell r="E111">
            <v>6</v>
          </cell>
          <cell r="F111">
            <v>23404.02</v>
          </cell>
          <cell r="H111">
            <v>2</v>
          </cell>
          <cell r="I111">
            <v>0</v>
          </cell>
          <cell r="J111">
            <v>74231.839999999997</v>
          </cell>
          <cell r="K111">
            <v>1360197</v>
          </cell>
          <cell r="L111">
            <v>1360000</v>
          </cell>
          <cell r="M111">
            <v>0</v>
          </cell>
          <cell r="N111">
            <v>74034.84</v>
          </cell>
          <cell r="O111" t="str">
            <v>Ichki Ishlar Vazirligining nafaqalari bo`yicha hisob-kitobla</v>
          </cell>
        </row>
        <row r="112">
          <cell r="A112">
            <v>9</v>
          </cell>
          <cell r="B112">
            <v>214</v>
          </cell>
          <cell r="C112">
            <v>8104</v>
          </cell>
          <cell r="D112">
            <v>120.02</v>
          </cell>
          <cell r="E112">
            <v>6</v>
          </cell>
          <cell r="F112">
            <v>23404.02</v>
          </cell>
          <cell r="H112">
            <v>2</v>
          </cell>
          <cell r="I112">
            <v>0</v>
          </cell>
          <cell r="J112">
            <v>18196.04</v>
          </cell>
          <cell r="K112">
            <v>3131902.14</v>
          </cell>
          <cell r="L112">
            <v>3117000</v>
          </cell>
          <cell r="M112">
            <v>0</v>
          </cell>
          <cell r="N112">
            <v>3293.9</v>
          </cell>
          <cell r="O112" t="str">
            <v>Ichki Ishlar Vazirligining nafaqalari bo`yicha hisob-kitobla</v>
          </cell>
        </row>
        <row r="113">
          <cell r="A113">
            <v>9</v>
          </cell>
          <cell r="B113">
            <v>214</v>
          </cell>
          <cell r="C113">
            <v>8137</v>
          </cell>
          <cell r="D113">
            <v>120.02</v>
          </cell>
          <cell r="E113">
            <v>6</v>
          </cell>
          <cell r="F113">
            <v>23404.02</v>
          </cell>
          <cell r="H113">
            <v>2</v>
          </cell>
          <cell r="I113">
            <v>0</v>
          </cell>
          <cell r="J113">
            <v>32796.04</v>
          </cell>
          <cell r="K113">
            <v>1506383</v>
          </cell>
          <cell r="L113">
            <v>1495000</v>
          </cell>
          <cell r="M113">
            <v>0</v>
          </cell>
          <cell r="N113">
            <v>21413.040000000001</v>
          </cell>
          <cell r="O113" t="str">
            <v>Ichki Ishlar Vazirligining nafaqalari bo`yicha hisob-kitobla</v>
          </cell>
        </row>
        <row r="114">
          <cell r="A114">
            <v>9</v>
          </cell>
          <cell r="B114">
            <v>214</v>
          </cell>
          <cell r="C114">
            <v>8298</v>
          </cell>
          <cell r="D114">
            <v>120.02</v>
          </cell>
          <cell r="E114">
            <v>6</v>
          </cell>
          <cell r="F114">
            <v>23404.02</v>
          </cell>
          <cell r="H114">
            <v>2</v>
          </cell>
          <cell r="I114">
            <v>0</v>
          </cell>
          <cell r="J114">
            <v>941.14</v>
          </cell>
          <cell r="K114">
            <v>839824</v>
          </cell>
          <cell r="L114">
            <v>875000</v>
          </cell>
          <cell r="M114">
            <v>0</v>
          </cell>
          <cell r="N114">
            <v>36117.14</v>
          </cell>
          <cell r="O114" t="str">
            <v>Ichki Ishlar Vazirligining nafaqalari bo`yicha hisob-kitobla</v>
          </cell>
        </row>
        <row r="115">
          <cell r="A115">
            <v>9</v>
          </cell>
          <cell r="B115">
            <v>214</v>
          </cell>
          <cell r="C115">
            <v>8533</v>
          </cell>
          <cell r="D115">
            <v>120.02</v>
          </cell>
          <cell r="E115">
            <v>6</v>
          </cell>
          <cell r="F115">
            <v>23404.02</v>
          </cell>
          <cell r="H115">
            <v>2</v>
          </cell>
          <cell r="I115">
            <v>0</v>
          </cell>
          <cell r="J115">
            <v>2102.6799999999998</v>
          </cell>
          <cell r="K115">
            <v>1458562</v>
          </cell>
          <cell r="L115">
            <v>1752000</v>
          </cell>
          <cell r="M115">
            <v>0</v>
          </cell>
          <cell r="N115">
            <v>295540.68</v>
          </cell>
          <cell r="O115" t="str">
            <v>Ichki Ishlar Vazirligining nafaqalari bo`yicha hisob-kitobla</v>
          </cell>
        </row>
        <row r="116">
          <cell r="A116">
            <v>9</v>
          </cell>
          <cell r="B116">
            <v>214</v>
          </cell>
          <cell r="C116">
            <v>8659</v>
          </cell>
          <cell r="D116">
            <v>120.02</v>
          </cell>
          <cell r="E116">
            <v>6</v>
          </cell>
          <cell r="F116">
            <v>23404.02</v>
          </cell>
          <cell r="H116">
            <v>2</v>
          </cell>
          <cell r="I116">
            <v>0</v>
          </cell>
          <cell r="J116">
            <v>1039</v>
          </cell>
          <cell r="K116">
            <v>2022906</v>
          </cell>
          <cell r="L116">
            <v>2071000</v>
          </cell>
          <cell r="M116">
            <v>0</v>
          </cell>
          <cell r="N116">
            <v>49133</v>
          </cell>
          <cell r="O116" t="str">
            <v>Ichki Ishlar Vazirligining nafaqalari bo`yicha hisob-kitobla</v>
          </cell>
        </row>
        <row r="117">
          <cell r="A117">
            <v>9</v>
          </cell>
          <cell r="B117">
            <v>214</v>
          </cell>
          <cell r="C117">
            <v>214</v>
          </cell>
          <cell r="D117">
            <v>120.03</v>
          </cell>
          <cell r="E117">
            <v>6</v>
          </cell>
          <cell r="F117">
            <v>23404.03</v>
          </cell>
          <cell r="H117">
            <v>2</v>
          </cell>
          <cell r="I117">
            <v>0</v>
          </cell>
          <cell r="J117">
            <v>0</v>
          </cell>
          <cell r="K117">
            <v>1578018.08</v>
          </cell>
          <cell r="L117">
            <v>1638018.08</v>
          </cell>
          <cell r="M117">
            <v>0</v>
          </cell>
          <cell r="N117">
            <v>60000</v>
          </cell>
          <cell r="O117" t="str">
            <v>Milliy Havfsizlik Hizmati nafaqalari bo`yicha hisob-kitoblar</v>
          </cell>
        </row>
        <row r="118">
          <cell r="A118">
            <v>9</v>
          </cell>
          <cell r="B118">
            <v>214</v>
          </cell>
          <cell r="C118">
            <v>3563</v>
          </cell>
          <cell r="D118">
            <v>120.03</v>
          </cell>
          <cell r="E118">
            <v>6</v>
          </cell>
          <cell r="F118">
            <v>23404.03</v>
          </cell>
          <cell r="H118">
            <v>2</v>
          </cell>
          <cell r="I118">
            <v>0</v>
          </cell>
          <cell r="J118">
            <v>378.06</v>
          </cell>
          <cell r="K118">
            <v>1265152.01</v>
          </cell>
          <cell r="L118">
            <v>1367018.08</v>
          </cell>
          <cell r="M118">
            <v>0</v>
          </cell>
          <cell r="N118">
            <v>102244.13</v>
          </cell>
          <cell r="O118" t="str">
            <v>Milliy Havfsizlik Hizmati nafaqalari bo`yicha hisob-kitoblar</v>
          </cell>
        </row>
        <row r="119">
          <cell r="A119">
            <v>9</v>
          </cell>
          <cell r="B119">
            <v>214</v>
          </cell>
          <cell r="C119">
            <v>5996</v>
          </cell>
          <cell r="D119">
            <v>120.03</v>
          </cell>
          <cell r="E119">
            <v>6</v>
          </cell>
          <cell r="F119">
            <v>23404.03</v>
          </cell>
          <cell r="H119">
            <v>2</v>
          </cell>
          <cell r="I119">
            <v>0</v>
          </cell>
          <cell r="J119">
            <v>6538.44</v>
          </cell>
          <cell r="K119">
            <v>398127.69</v>
          </cell>
          <cell r="L119">
            <v>487000</v>
          </cell>
          <cell r="M119">
            <v>0</v>
          </cell>
          <cell r="N119">
            <v>95410.75</v>
          </cell>
          <cell r="O119" t="str">
            <v>Milliy Havfsizlik Hizmati nafaqalari bo`yicha hisob-kitoblar</v>
          </cell>
        </row>
        <row r="120">
          <cell r="A120">
            <v>9</v>
          </cell>
          <cell r="B120">
            <v>214</v>
          </cell>
          <cell r="C120">
            <v>7783</v>
          </cell>
          <cell r="D120">
            <v>120.03</v>
          </cell>
          <cell r="E120">
            <v>6</v>
          </cell>
          <cell r="F120">
            <v>23404.03</v>
          </cell>
          <cell r="H120">
            <v>2</v>
          </cell>
          <cell r="I120">
            <v>0</v>
          </cell>
          <cell r="J120">
            <v>29888.36</v>
          </cell>
          <cell r="K120">
            <v>358724.6</v>
          </cell>
          <cell r="L120">
            <v>345000</v>
          </cell>
          <cell r="M120">
            <v>0</v>
          </cell>
          <cell r="N120">
            <v>16163.76</v>
          </cell>
          <cell r="O120" t="str">
            <v>Milliy Havfsizlik Hizmati nafaqalari bo`yicha hisob-kitoblar</v>
          </cell>
        </row>
        <row r="121">
          <cell r="A121">
            <v>9</v>
          </cell>
          <cell r="B121">
            <v>214</v>
          </cell>
          <cell r="C121">
            <v>7845</v>
          </cell>
          <cell r="D121">
            <v>120.03</v>
          </cell>
          <cell r="E121">
            <v>6</v>
          </cell>
          <cell r="F121">
            <v>23404.03</v>
          </cell>
          <cell r="H121">
            <v>2</v>
          </cell>
          <cell r="I121">
            <v>0</v>
          </cell>
          <cell r="J121">
            <v>518.08000000000004</v>
          </cell>
          <cell r="K121">
            <v>518.08000000000004</v>
          </cell>
          <cell r="L121">
            <v>0</v>
          </cell>
          <cell r="M121">
            <v>0</v>
          </cell>
          <cell r="N121">
            <v>0</v>
          </cell>
          <cell r="O121" t="str">
            <v>Milliy Havfsizlik Hizmati nafaqalari bo`yicha hisob-kitoblar</v>
          </cell>
        </row>
        <row r="122">
          <cell r="A122">
            <v>9</v>
          </cell>
          <cell r="B122">
            <v>214</v>
          </cell>
          <cell r="C122">
            <v>8002</v>
          </cell>
          <cell r="D122">
            <v>120.03</v>
          </cell>
          <cell r="E122">
            <v>6</v>
          </cell>
          <cell r="F122">
            <v>23404.03</v>
          </cell>
          <cell r="H122">
            <v>2</v>
          </cell>
          <cell r="I122">
            <v>0</v>
          </cell>
          <cell r="J122">
            <v>3011</v>
          </cell>
          <cell r="K122">
            <v>75260</v>
          </cell>
          <cell r="L122">
            <v>76395</v>
          </cell>
          <cell r="M122">
            <v>0</v>
          </cell>
          <cell r="N122">
            <v>4146</v>
          </cell>
          <cell r="O122" t="str">
            <v>Milliy Havfsizlik Hizmati nafaqalari bo`yicha hisob-kitoblar</v>
          </cell>
        </row>
        <row r="123">
          <cell r="A123">
            <v>9</v>
          </cell>
          <cell r="B123">
            <v>214</v>
          </cell>
          <cell r="C123">
            <v>8137</v>
          </cell>
          <cell r="D123">
            <v>120.03</v>
          </cell>
          <cell r="E123">
            <v>6</v>
          </cell>
          <cell r="F123">
            <v>23404.03</v>
          </cell>
          <cell r="H123">
            <v>2</v>
          </cell>
          <cell r="I123">
            <v>0</v>
          </cell>
          <cell r="J123">
            <v>3910.68</v>
          </cell>
          <cell r="K123">
            <v>191579.17</v>
          </cell>
          <cell r="L123">
            <v>195000</v>
          </cell>
          <cell r="M123">
            <v>0</v>
          </cell>
          <cell r="N123">
            <v>7331.51</v>
          </cell>
          <cell r="O123" t="str">
            <v>Milliy Havfsizlik Hizmati nafaqalari bo`yicha hisob-kitoblar</v>
          </cell>
        </row>
        <row r="124">
          <cell r="A124">
            <v>9</v>
          </cell>
          <cell r="B124">
            <v>214</v>
          </cell>
          <cell r="C124">
            <v>3563</v>
          </cell>
          <cell r="D124">
            <v>120.04</v>
          </cell>
          <cell r="E124">
            <v>6</v>
          </cell>
          <cell r="F124">
            <v>23404.04</v>
          </cell>
          <cell r="H124">
            <v>2</v>
          </cell>
          <cell r="I124">
            <v>0</v>
          </cell>
          <cell r="J124">
            <v>38285</v>
          </cell>
          <cell r="K124">
            <v>0</v>
          </cell>
          <cell r="L124">
            <v>0</v>
          </cell>
          <cell r="M124">
            <v>0</v>
          </cell>
          <cell r="N124">
            <v>38285</v>
          </cell>
          <cell r="O124" t="str">
            <v>Medallar bo`yicha hisob-kitoblar</v>
          </cell>
        </row>
        <row r="125">
          <cell r="A125">
            <v>9</v>
          </cell>
          <cell r="B125">
            <v>214</v>
          </cell>
          <cell r="C125">
            <v>8298</v>
          </cell>
          <cell r="D125">
            <v>142</v>
          </cell>
          <cell r="E125">
            <v>6</v>
          </cell>
          <cell r="F125">
            <v>20202</v>
          </cell>
          <cell r="H125">
            <v>2</v>
          </cell>
          <cell r="I125">
            <v>0</v>
          </cell>
          <cell r="J125">
            <v>0</v>
          </cell>
          <cell r="K125">
            <v>7708977.6500000004</v>
          </cell>
          <cell r="L125">
            <v>10051763.369999999</v>
          </cell>
          <cell r="M125">
            <v>0</v>
          </cell>
          <cell r="N125">
            <v>2342785.7200000002</v>
          </cell>
          <cell r="O125" t="str">
            <v>Текущие счета учр-й и орг-й,состоящих на мест.бюджетах</v>
          </cell>
        </row>
        <row r="126">
          <cell r="A126">
            <v>9</v>
          </cell>
          <cell r="B126">
            <v>214</v>
          </cell>
          <cell r="C126">
            <v>3563</v>
          </cell>
          <cell r="D126">
            <v>164</v>
          </cell>
          <cell r="E126">
            <v>7</v>
          </cell>
          <cell r="F126">
            <v>10301</v>
          </cell>
          <cell r="H126">
            <v>1</v>
          </cell>
          <cell r="I126">
            <v>892359.33</v>
          </cell>
          <cell r="J126">
            <v>0</v>
          </cell>
          <cell r="K126">
            <v>404803141.94</v>
          </cell>
          <cell r="L126">
            <v>394480528.83999997</v>
          </cell>
          <cell r="M126">
            <v>11214972.43</v>
          </cell>
          <cell r="N126">
            <v>0</v>
          </cell>
          <cell r="O126" t="str">
            <v>Markaziy bankdagi muxbirlik raqami</v>
          </cell>
        </row>
        <row r="127">
          <cell r="A127">
            <v>9</v>
          </cell>
          <cell r="B127">
            <v>214</v>
          </cell>
          <cell r="C127">
            <v>5996</v>
          </cell>
          <cell r="D127">
            <v>164</v>
          </cell>
          <cell r="E127">
            <v>7</v>
          </cell>
          <cell r="F127">
            <v>10301</v>
          </cell>
          <cell r="H127">
            <v>1</v>
          </cell>
          <cell r="I127">
            <v>345862.34</v>
          </cell>
          <cell r="J127">
            <v>0</v>
          </cell>
          <cell r="K127">
            <v>212939485.94</v>
          </cell>
          <cell r="L127">
            <v>212319478.68000001</v>
          </cell>
          <cell r="M127">
            <v>965869.6</v>
          </cell>
          <cell r="N127">
            <v>0</v>
          </cell>
          <cell r="O127" t="str">
            <v>Markaziy bankdagi muxbirlik raqami</v>
          </cell>
        </row>
        <row r="128">
          <cell r="A128">
            <v>9</v>
          </cell>
          <cell r="B128">
            <v>214</v>
          </cell>
          <cell r="C128">
            <v>7783</v>
          </cell>
          <cell r="D128">
            <v>164</v>
          </cell>
          <cell r="E128">
            <v>7</v>
          </cell>
          <cell r="F128">
            <v>10301</v>
          </cell>
          <cell r="H128">
            <v>1</v>
          </cell>
          <cell r="I128">
            <v>179517.6</v>
          </cell>
          <cell r="J128">
            <v>0</v>
          </cell>
          <cell r="K128">
            <v>123573157.05</v>
          </cell>
          <cell r="L128">
            <v>123195990.43000001</v>
          </cell>
          <cell r="M128">
            <v>556684.22</v>
          </cell>
          <cell r="N128">
            <v>0</v>
          </cell>
          <cell r="O128" t="str">
            <v>Markaziy bankdagi muxbirlik raqami</v>
          </cell>
        </row>
        <row r="129">
          <cell r="A129">
            <v>9</v>
          </cell>
          <cell r="B129">
            <v>214</v>
          </cell>
          <cell r="C129">
            <v>7845</v>
          </cell>
          <cell r="D129">
            <v>164</v>
          </cell>
          <cell r="E129">
            <v>7</v>
          </cell>
          <cell r="F129">
            <v>10301</v>
          </cell>
          <cell r="H129">
            <v>1</v>
          </cell>
          <cell r="I129">
            <v>1181241.93</v>
          </cell>
          <cell r="J129">
            <v>0</v>
          </cell>
          <cell r="K129">
            <v>119757300.83</v>
          </cell>
          <cell r="L129">
            <v>119075093.67</v>
          </cell>
          <cell r="M129">
            <v>1863449.09</v>
          </cell>
          <cell r="N129">
            <v>0</v>
          </cell>
          <cell r="O129" t="str">
            <v>Markaziy bankdagi muxbirlik raqami</v>
          </cell>
        </row>
        <row r="130">
          <cell r="A130">
            <v>9</v>
          </cell>
          <cell r="B130">
            <v>214</v>
          </cell>
          <cell r="C130">
            <v>7948</v>
          </cell>
          <cell r="D130">
            <v>164</v>
          </cell>
          <cell r="E130">
            <v>7</v>
          </cell>
          <cell r="F130">
            <v>10301</v>
          </cell>
          <cell r="H130">
            <v>1</v>
          </cell>
          <cell r="I130">
            <v>112429.77</v>
          </cell>
          <cell r="J130">
            <v>0</v>
          </cell>
          <cell r="K130">
            <v>117332788.97</v>
          </cell>
          <cell r="L130">
            <v>116661805.23999999</v>
          </cell>
          <cell r="M130">
            <v>783413.5</v>
          </cell>
          <cell r="N130">
            <v>0</v>
          </cell>
          <cell r="O130" t="str">
            <v>Markaziy bankdagi muxbirlik raqami</v>
          </cell>
        </row>
        <row r="131">
          <cell r="A131">
            <v>9</v>
          </cell>
          <cell r="B131">
            <v>214</v>
          </cell>
          <cell r="C131">
            <v>8002</v>
          </cell>
          <cell r="D131">
            <v>164</v>
          </cell>
          <cell r="E131">
            <v>7</v>
          </cell>
          <cell r="F131">
            <v>10301</v>
          </cell>
          <cell r="H131">
            <v>1</v>
          </cell>
          <cell r="I131">
            <v>1937102.68</v>
          </cell>
          <cell r="J131">
            <v>0</v>
          </cell>
          <cell r="K131">
            <v>88599408.560000002</v>
          </cell>
          <cell r="L131">
            <v>89893325.049999997</v>
          </cell>
          <cell r="M131">
            <v>643186.18999999994</v>
          </cell>
          <cell r="N131">
            <v>0</v>
          </cell>
          <cell r="O131" t="str">
            <v>Markaziy bankdagi muxbirlik raqami</v>
          </cell>
        </row>
        <row r="132">
          <cell r="A132">
            <v>9</v>
          </cell>
          <cell r="B132">
            <v>214</v>
          </cell>
          <cell r="C132">
            <v>8104</v>
          </cell>
          <cell r="D132">
            <v>164</v>
          </cell>
          <cell r="E132">
            <v>7</v>
          </cell>
          <cell r="F132">
            <v>10301</v>
          </cell>
          <cell r="H132">
            <v>1</v>
          </cell>
          <cell r="I132">
            <v>120717.85</v>
          </cell>
          <cell r="J132">
            <v>0</v>
          </cell>
          <cell r="K132">
            <v>87992684.200000003</v>
          </cell>
          <cell r="L132">
            <v>86429697.430000007</v>
          </cell>
          <cell r="M132">
            <v>1683704.62</v>
          </cell>
          <cell r="N132">
            <v>0</v>
          </cell>
          <cell r="O132" t="str">
            <v>Markaziy bankdagi muxbirlik raqami</v>
          </cell>
        </row>
        <row r="133">
          <cell r="A133">
            <v>9</v>
          </cell>
          <cell r="B133">
            <v>214</v>
          </cell>
          <cell r="C133">
            <v>8137</v>
          </cell>
          <cell r="D133">
            <v>164</v>
          </cell>
          <cell r="E133">
            <v>7</v>
          </cell>
          <cell r="F133">
            <v>10301</v>
          </cell>
          <cell r="H133">
            <v>1</v>
          </cell>
          <cell r="I133">
            <v>353654.68</v>
          </cell>
          <cell r="J133">
            <v>0</v>
          </cell>
          <cell r="K133">
            <v>64621656.520000003</v>
          </cell>
          <cell r="L133">
            <v>64947075.68</v>
          </cell>
          <cell r="M133">
            <v>28235.52</v>
          </cell>
          <cell r="N133">
            <v>0</v>
          </cell>
          <cell r="O133" t="str">
            <v>Markaziy bankdagi muxbirlik raqami</v>
          </cell>
        </row>
        <row r="134">
          <cell r="A134">
            <v>9</v>
          </cell>
          <cell r="B134">
            <v>214</v>
          </cell>
          <cell r="C134">
            <v>8298</v>
          </cell>
          <cell r="D134">
            <v>164</v>
          </cell>
          <cell r="E134">
            <v>7</v>
          </cell>
          <cell r="F134">
            <v>10301</v>
          </cell>
          <cell r="H134">
            <v>1</v>
          </cell>
          <cell r="I134">
            <v>188508.72</v>
          </cell>
          <cell r="J134">
            <v>0</v>
          </cell>
          <cell r="K134">
            <v>94507100.920000002</v>
          </cell>
          <cell r="L134">
            <v>94622662.650000006</v>
          </cell>
          <cell r="M134">
            <v>72946.990000000005</v>
          </cell>
          <cell r="N134">
            <v>0</v>
          </cell>
          <cell r="O134" t="str">
            <v>Markaziy bankdagi muxbirlik raqami</v>
          </cell>
        </row>
        <row r="135">
          <cell r="A135">
            <v>9</v>
          </cell>
          <cell r="B135">
            <v>214</v>
          </cell>
          <cell r="C135">
            <v>8533</v>
          </cell>
          <cell r="D135">
            <v>164</v>
          </cell>
          <cell r="E135">
            <v>7</v>
          </cell>
          <cell r="F135">
            <v>10301</v>
          </cell>
          <cell r="H135">
            <v>1</v>
          </cell>
          <cell r="I135">
            <v>310794.81</v>
          </cell>
          <cell r="J135">
            <v>0</v>
          </cell>
          <cell r="K135">
            <v>22076692.690000001</v>
          </cell>
          <cell r="L135">
            <v>22198532.510000002</v>
          </cell>
          <cell r="M135">
            <v>188954.99</v>
          </cell>
          <cell r="N135">
            <v>0</v>
          </cell>
          <cell r="O135" t="str">
            <v>Markaziy bankdagi muxbirlik raqami</v>
          </cell>
        </row>
        <row r="136">
          <cell r="A136">
            <v>9</v>
          </cell>
          <cell r="B136">
            <v>214</v>
          </cell>
          <cell r="C136">
            <v>8659</v>
          </cell>
          <cell r="D136">
            <v>164</v>
          </cell>
          <cell r="E136">
            <v>7</v>
          </cell>
          <cell r="F136">
            <v>10301</v>
          </cell>
          <cell r="H136">
            <v>1</v>
          </cell>
          <cell r="I136">
            <v>109222.25</v>
          </cell>
          <cell r="J136">
            <v>0</v>
          </cell>
          <cell r="K136">
            <v>101667102.27</v>
          </cell>
          <cell r="L136">
            <v>100682456.79000001</v>
          </cell>
          <cell r="M136">
            <v>1093867.73</v>
          </cell>
          <cell r="N136">
            <v>0</v>
          </cell>
          <cell r="O136" t="str">
            <v>Markaziy bankdagi muxbirlik raqami</v>
          </cell>
        </row>
        <row r="137">
          <cell r="A137">
            <v>9</v>
          </cell>
          <cell r="B137">
            <v>214</v>
          </cell>
          <cell r="C137">
            <v>214</v>
          </cell>
          <cell r="D137">
            <v>164.01</v>
          </cell>
          <cell r="E137">
            <v>7</v>
          </cell>
          <cell r="F137">
            <v>10501.01</v>
          </cell>
          <cell r="H137">
            <v>1</v>
          </cell>
          <cell r="I137">
            <v>1239573.8600000001</v>
          </cell>
          <cell r="J137">
            <v>0</v>
          </cell>
          <cell r="K137">
            <v>336256242.44999999</v>
          </cell>
          <cell r="L137">
            <v>334990566.18000001</v>
          </cell>
          <cell r="M137">
            <v>2505250.13</v>
          </cell>
          <cell r="N137">
            <v>0</v>
          </cell>
          <cell r="O137" t="str">
            <v>Tijorat bankdagi muxbirlik raqami</v>
          </cell>
        </row>
        <row r="138">
          <cell r="A138">
            <v>9</v>
          </cell>
          <cell r="B138">
            <v>214</v>
          </cell>
          <cell r="C138">
            <v>3563</v>
          </cell>
          <cell r="D138">
            <v>164.02</v>
          </cell>
          <cell r="E138">
            <v>7</v>
          </cell>
          <cell r="F138">
            <v>21002</v>
          </cell>
          <cell r="H138">
            <v>2</v>
          </cell>
          <cell r="I138">
            <v>0</v>
          </cell>
          <cell r="J138">
            <v>1239573.8600000001</v>
          </cell>
          <cell r="K138">
            <v>335778566.18000001</v>
          </cell>
          <cell r="L138">
            <v>337044242.44999999</v>
          </cell>
          <cell r="M138">
            <v>0</v>
          </cell>
          <cell r="N138">
            <v>2505250.13</v>
          </cell>
          <cell r="O138" t="str">
            <v>Xalq banki muassasida ochilgan muxbirlik raqami</v>
          </cell>
        </row>
        <row r="139">
          <cell r="A139">
            <v>9</v>
          </cell>
          <cell r="B139">
            <v>214</v>
          </cell>
          <cell r="C139">
            <v>8298</v>
          </cell>
          <cell r="D139">
            <v>171</v>
          </cell>
          <cell r="E139">
            <v>8</v>
          </cell>
          <cell r="F139">
            <v>20210</v>
          </cell>
          <cell r="H139">
            <v>2</v>
          </cell>
          <cell r="I139">
            <v>0</v>
          </cell>
          <cell r="J139">
            <v>0</v>
          </cell>
          <cell r="K139">
            <v>7844349.3499999996</v>
          </cell>
          <cell r="L139">
            <v>7845182.9900000002</v>
          </cell>
          <cell r="M139">
            <v>0</v>
          </cell>
          <cell r="N139">
            <v>833.64</v>
          </cell>
          <cell r="O139" t="str">
            <v>Депозиты до востребования госпредприятий и организаций</v>
          </cell>
        </row>
        <row r="140">
          <cell r="A140">
            <v>9</v>
          </cell>
          <cell r="B140">
            <v>214</v>
          </cell>
          <cell r="C140">
            <v>8533</v>
          </cell>
          <cell r="D140">
            <v>171</v>
          </cell>
          <cell r="E140">
            <v>8</v>
          </cell>
          <cell r="F140">
            <v>20210</v>
          </cell>
          <cell r="H140">
            <v>2</v>
          </cell>
          <cell r="I140">
            <v>0</v>
          </cell>
          <cell r="J140">
            <v>0</v>
          </cell>
          <cell r="K140">
            <v>5346234</v>
          </cell>
          <cell r="L140">
            <v>5346234.2</v>
          </cell>
          <cell r="M140">
            <v>0</v>
          </cell>
          <cell r="N140">
            <v>0.2</v>
          </cell>
          <cell r="O140" t="str">
            <v>Депозиты до востребования госпредприятий и организаций</v>
          </cell>
        </row>
        <row r="141">
          <cell r="A141">
            <v>9</v>
          </cell>
          <cell r="B141">
            <v>214</v>
          </cell>
          <cell r="C141">
            <v>3563</v>
          </cell>
          <cell r="D141">
            <v>195.02</v>
          </cell>
          <cell r="E141">
            <v>9</v>
          </cell>
          <cell r="F141">
            <v>19997.02</v>
          </cell>
          <cell r="H141">
            <v>1</v>
          </cell>
          <cell r="I141">
            <v>13800</v>
          </cell>
          <cell r="J141">
            <v>0</v>
          </cell>
          <cell r="K141">
            <v>0</v>
          </cell>
          <cell r="L141">
            <v>13800</v>
          </cell>
          <cell r="M141">
            <v>0</v>
          </cell>
          <cell r="N141">
            <v>0</v>
          </cell>
          <cell r="O141" t="str">
            <v>Опл.лотереи "Инсон манфаатлари учун"</v>
          </cell>
        </row>
        <row r="142">
          <cell r="A142">
            <v>9</v>
          </cell>
          <cell r="B142">
            <v>214</v>
          </cell>
          <cell r="C142">
            <v>7783</v>
          </cell>
          <cell r="D142">
            <v>195.02</v>
          </cell>
          <cell r="E142">
            <v>9</v>
          </cell>
          <cell r="F142">
            <v>19997.02</v>
          </cell>
          <cell r="H142">
            <v>1</v>
          </cell>
          <cell r="I142">
            <v>2200</v>
          </cell>
          <cell r="J142">
            <v>0</v>
          </cell>
          <cell r="K142">
            <v>0</v>
          </cell>
          <cell r="L142">
            <v>2200</v>
          </cell>
          <cell r="M142">
            <v>0</v>
          </cell>
          <cell r="N142">
            <v>0</v>
          </cell>
          <cell r="O142" t="str">
            <v>Опл.лотереи "Инсон манфаатлари учун"</v>
          </cell>
        </row>
        <row r="143">
          <cell r="A143">
            <v>9</v>
          </cell>
          <cell r="B143">
            <v>214</v>
          </cell>
          <cell r="C143">
            <v>8659</v>
          </cell>
          <cell r="D143">
            <v>195.02</v>
          </cell>
          <cell r="E143">
            <v>9</v>
          </cell>
          <cell r="F143">
            <v>19997.02</v>
          </cell>
          <cell r="H143">
            <v>1</v>
          </cell>
          <cell r="I143">
            <v>300</v>
          </cell>
          <cell r="J143">
            <v>0</v>
          </cell>
          <cell r="K143">
            <v>0</v>
          </cell>
          <cell r="L143">
            <v>300</v>
          </cell>
          <cell r="M143">
            <v>0</v>
          </cell>
          <cell r="N143">
            <v>0</v>
          </cell>
          <cell r="O143" t="str">
            <v>Опл.лотереи "Инсон манфаатлари учун"</v>
          </cell>
        </row>
        <row r="144">
          <cell r="A144">
            <v>9</v>
          </cell>
          <cell r="B144">
            <v>214</v>
          </cell>
          <cell r="C144">
            <v>3563</v>
          </cell>
          <cell r="D144">
            <v>195.11</v>
          </cell>
          <cell r="E144">
            <v>9</v>
          </cell>
          <cell r="F144">
            <v>19997.11</v>
          </cell>
          <cell r="H144">
            <v>1</v>
          </cell>
          <cell r="I144">
            <v>250</v>
          </cell>
          <cell r="J144">
            <v>0</v>
          </cell>
          <cell r="K144">
            <v>0</v>
          </cell>
          <cell r="L144">
            <v>250</v>
          </cell>
          <cell r="M144">
            <v>0</v>
          </cell>
          <cell r="N144">
            <v>0</v>
          </cell>
          <cell r="O144" t="str">
            <v>Опл.лотереи "Спринт-Мехрибонлик-2"</v>
          </cell>
        </row>
        <row r="145">
          <cell r="A145">
            <v>9</v>
          </cell>
          <cell r="B145">
            <v>214</v>
          </cell>
          <cell r="C145">
            <v>8104</v>
          </cell>
          <cell r="D145">
            <v>195.11</v>
          </cell>
          <cell r="E145">
            <v>9</v>
          </cell>
          <cell r="F145">
            <v>19997.11</v>
          </cell>
          <cell r="H145">
            <v>1</v>
          </cell>
          <cell r="I145">
            <v>0</v>
          </cell>
          <cell r="J145">
            <v>0</v>
          </cell>
          <cell r="K145">
            <v>4725</v>
          </cell>
          <cell r="L145">
            <v>4725</v>
          </cell>
          <cell r="M145">
            <v>0</v>
          </cell>
          <cell r="N145">
            <v>0</v>
          </cell>
          <cell r="O145" t="str">
            <v>Опл.лотереи "Спринт-Мехрибонлик-2"</v>
          </cell>
        </row>
        <row r="146">
          <cell r="A146">
            <v>9</v>
          </cell>
          <cell r="B146">
            <v>214</v>
          </cell>
          <cell r="C146">
            <v>8104</v>
          </cell>
          <cell r="D146">
            <v>195.12</v>
          </cell>
          <cell r="E146">
            <v>9</v>
          </cell>
          <cell r="F146">
            <v>19997.12</v>
          </cell>
          <cell r="H146">
            <v>1</v>
          </cell>
          <cell r="I146">
            <v>2400</v>
          </cell>
          <cell r="J146">
            <v>0</v>
          </cell>
          <cell r="K146">
            <v>0</v>
          </cell>
          <cell r="L146">
            <v>2400</v>
          </cell>
          <cell r="M146">
            <v>0</v>
          </cell>
          <cell r="N146">
            <v>0</v>
          </cell>
          <cell r="O146" t="str">
            <v>Опл.лотереи "Бахт куши"</v>
          </cell>
        </row>
        <row r="147">
          <cell r="A147">
            <v>9</v>
          </cell>
          <cell r="B147">
            <v>214</v>
          </cell>
          <cell r="C147">
            <v>3563</v>
          </cell>
          <cell r="D147">
            <v>195.13</v>
          </cell>
          <cell r="E147">
            <v>9</v>
          </cell>
          <cell r="F147">
            <v>19997.13</v>
          </cell>
          <cell r="H147">
            <v>1</v>
          </cell>
          <cell r="I147">
            <v>0</v>
          </cell>
          <cell r="J147">
            <v>0</v>
          </cell>
          <cell r="K147">
            <v>50</v>
          </cell>
          <cell r="L147">
            <v>50</v>
          </cell>
          <cell r="M147">
            <v>0</v>
          </cell>
          <cell r="N147">
            <v>0</v>
          </cell>
          <cell r="O147" t="str">
            <v>Опл.лотереи "Умид"</v>
          </cell>
        </row>
        <row r="148">
          <cell r="A148">
            <v>9</v>
          </cell>
          <cell r="B148">
            <v>214</v>
          </cell>
          <cell r="C148">
            <v>8298</v>
          </cell>
          <cell r="D148">
            <v>195.13</v>
          </cell>
          <cell r="E148">
            <v>9</v>
          </cell>
          <cell r="F148">
            <v>19997.13</v>
          </cell>
          <cell r="H148">
            <v>1</v>
          </cell>
          <cell r="I148">
            <v>0</v>
          </cell>
          <cell r="J148">
            <v>0</v>
          </cell>
          <cell r="K148">
            <v>900</v>
          </cell>
          <cell r="L148">
            <v>900</v>
          </cell>
          <cell r="M148">
            <v>0</v>
          </cell>
          <cell r="N148">
            <v>0</v>
          </cell>
          <cell r="O148" t="str">
            <v>Опл.лотереи "Умид"</v>
          </cell>
        </row>
        <row r="149">
          <cell r="A149">
            <v>9</v>
          </cell>
          <cell r="B149">
            <v>214</v>
          </cell>
          <cell r="C149">
            <v>3563</v>
          </cell>
          <cell r="D149">
            <v>195.14</v>
          </cell>
          <cell r="E149">
            <v>9</v>
          </cell>
          <cell r="F149">
            <v>19997.14</v>
          </cell>
          <cell r="H149">
            <v>1</v>
          </cell>
          <cell r="I149">
            <v>0</v>
          </cell>
          <cell r="J149">
            <v>0</v>
          </cell>
          <cell r="K149">
            <v>1300</v>
          </cell>
          <cell r="L149">
            <v>1300</v>
          </cell>
          <cell r="M149">
            <v>0</v>
          </cell>
          <cell r="N149">
            <v>0</v>
          </cell>
          <cell r="O149" t="str">
            <v>Опл. лотереи "Хазина-3"</v>
          </cell>
        </row>
        <row r="150">
          <cell r="A150">
            <v>9</v>
          </cell>
          <cell r="B150">
            <v>214</v>
          </cell>
          <cell r="C150">
            <v>5996</v>
          </cell>
          <cell r="D150">
            <v>195.14</v>
          </cell>
          <cell r="E150">
            <v>9</v>
          </cell>
          <cell r="F150">
            <v>19997.14</v>
          </cell>
          <cell r="H150">
            <v>1</v>
          </cell>
          <cell r="I150">
            <v>1900</v>
          </cell>
          <cell r="J150">
            <v>0</v>
          </cell>
          <cell r="K150">
            <v>500</v>
          </cell>
          <cell r="L150">
            <v>2400</v>
          </cell>
          <cell r="M150">
            <v>0</v>
          </cell>
          <cell r="N150">
            <v>0</v>
          </cell>
          <cell r="O150" t="str">
            <v>Опл. лотереи "Хазина-3"</v>
          </cell>
        </row>
        <row r="151">
          <cell r="A151">
            <v>9</v>
          </cell>
          <cell r="B151">
            <v>214</v>
          </cell>
          <cell r="C151">
            <v>8298</v>
          </cell>
          <cell r="D151">
            <v>195.14</v>
          </cell>
          <cell r="E151">
            <v>9</v>
          </cell>
          <cell r="F151">
            <v>19997.14</v>
          </cell>
          <cell r="H151">
            <v>1</v>
          </cell>
          <cell r="I151">
            <v>0</v>
          </cell>
          <cell r="J151">
            <v>0</v>
          </cell>
          <cell r="K151">
            <v>300</v>
          </cell>
          <cell r="L151">
            <v>300</v>
          </cell>
          <cell r="M151">
            <v>0</v>
          </cell>
          <cell r="N151">
            <v>0</v>
          </cell>
          <cell r="O151" t="str">
            <v>Опл. лотереи "Хазина-3"</v>
          </cell>
        </row>
        <row r="152">
          <cell r="A152">
            <v>9</v>
          </cell>
          <cell r="B152">
            <v>214</v>
          </cell>
          <cell r="C152">
            <v>3563</v>
          </cell>
          <cell r="D152">
            <v>195.15</v>
          </cell>
          <cell r="E152">
            <v>9</v>
          </cell>
          <cell r="F152">
            <v>19997.150000000001</v>
          </cell>
          <cell r="H152">
            <v>1</v>
          </cell>
          <cell r="I152">
            <v>4100</v>
          </cell>
          <cell r="J152">
            <v>0</v>
          </cell>
          <cell r="K152">
            <v>600</v>
          </cell>
          <cell r="L152">
            <v>4700</v>
          </cell>
          <cell r="M152">
            <v>0</v>
          </cell>
          <cell r="N152">
            <v>0</v>
          </cell>
          <cell r="O152" t="str">
            <v>Опл. лотереи "Инсон манфаатлари учун-2"</v>
          </cell>
        </row>
        <row r="153">
          <cell r="A153">
            <v>9</v>
          </cell>
          <cell r="B153">
            <v>214</v>
          </cell>
          <cell r="C153">
            <v>5996</v>
          </cell>
          <cell r="D153">
            <v>195.15</v>
          </cell>
          <cell r="E153">
            <v>9</v>
          </cell>
          <cell r="F153">
            <v>19997.150000000001</v>
          </cell>
          <cell r="H153">
            <v>1</v>
          </cell>
          <cell r="I153">
            <v>2400</v>
          </cell>
          <cell r="J153">
            <v>0</v>
          </cell>
          <cell r="K153">
            <v>500</v>
          </cell>
          <cell r="L153">
            <v>2900</v>
          </cell>
          <cell r="M153">
            <v>0</v>
          </cell>
          <cell r="N153">
            <v>0</v>
          </cell>
          <cell r="O153" t="str">
            <v>Опл. лотереи "Инсон манфаатлари учун-2"</v>
          </cell>
        </row>
        <row r="154">
          <cell r="A154">
            <v>9</v>
          </cell>
          <cell r="B154">
            <v>214</v>
          </cell>
          <cell r="C154">
            <v>7783</v>
          </cell>
          <cell r="D154">
            <v>195.15</v>
          </cell>
          <cell r="E154">
            <v>9</v>
          </cell>
          <cell r="F154">
            <v>19997.150000000001</v>
          </cell>
          <cell r="H154">
            <v>1</v>
          </cell>
          <cell r="I154">
            <v>700</v>
          </cell>
          <cell r="J154">
            <v>0</v>
          </cell>
          <cell r="K154">
            <v>1000</v>
          </cell>
          <cell r="L154">
            <v>1700</v>
          </cell>
          <cell r="M154">
            <v>0</v>
          </cell>
          <cell r="N154">
            <v>0</v>
          </cell>
          <cell r="O154" t="str">
            <v>Опл. лотереи "Инсон манфаатлари учун-2"</v>
          </cell>
        </row>
        <row r="155">
          <cell r="A155">
            <v>9</v>
          </cell>
          <cell r="B155">
            <v>214</v>
          </cell>
          <cell r="C155">
            <v>7845</v>
          </cell>
          <cell r="D155">
            <v>195.15</v>
          </cell>
          <cell r="E155">
            <v>9</v>
          </cell>
          <cell r="F155">
            <v>19997.150000000001</v>
          </cell>
          <cell r="H155">
            <v>1</v>
          </cell>
          <cell r="I155">
            <v>1300</v>
          </cell>
          <cell r="J155">
            <v>0</v>
          </cell>
          <cell r="K155">
            <v>600</v>
          </cell>
          <cell r="L155">
            <v>1900</v>
          </cell>
          <cell r="M155">
            <v>0</v>
          </cell>
          <cell r="N155">
            <v>0</v>
          </cell>
          <cell r="O155" t="str">
            <v>Опл. лотереи "Инсон манфаатлари учун-2"</v>
          </cell>
        </row>
        <row r="156">
          <cell r="A156">
            <v>9</v>
          </cell>
          <cell r="B156">
            <v>214</v>
          </cell>
          <cell r="C156">
            <v>7948</v>
          </cell>
          <cell r="D156">
            <v>195.15</v>
          </cell>
          <cell r="E156">
            <v>9</v>
          </cell>
          <cell r="F156">
            <v>19997.150000000001</v>
          </cell>
          <cell r="H156">
            <v>1</v>
          </cell>
          <cell r="I156">
            <v>0</v>
          </cell>
          <cell r="J156">
            <v>0</v>
          </cell>
          <cell r="K156">
            <v>2200</v>
          </cell>
          <cell r="L156">
            <v>2200</v>
          </cell>
          <cell r="M156">
            <v>0</v>
          </cell>
          <cell r="N156">
            <v>0</v>
          </cell>
          <cell r="O156" t="str">
            <v>Опл. лотереи "Инсон манфаатлари учун-2"</v>
          </cell>
        </row>
        <row r="157">
          <cell r="A157">
            <v>9</v>
          </cell>
          <cell r="B157">
            <v>214</v>
          </cell>
          <cell r="C157">
            <v>8002</v>
          </cell>
          <cell r="D157">
            <v>195.15</v>
          </cell>
          <cell r="E157">
            <v>9</v>
          </cell>
          <cell r="F157">
            <v>19997.150000000001</v>
          </cell>
          <cell r="H157">
            <v>1</v>
          </cell>
          <cell r="I157">
            <v>0</v>
          </cell>
          <cell r="J157">
            <v>0</v>
          </cell>
          <cell r="K157">
            <v>200</v>
          </cell>
          <cell r="L157">
            <v>200</v>
          </cell>
          <cell r="M157">
            <v>0</v>
          </cell>
          <cell r="N157">
            <v>0</v>
          </cell>
          <cell r="O157" t="str">
            <v>Опл. лотереи "Инсон манфаатлари учун-2"</v>
          </cell>
        </row>
        <row r="158">
          <cell r="A158">
            <v>9</v>
          </cell>
          <cell r="B158">
            <v>214</v>
          </cell>
          <cell r="C158">
            <v>8104</v>
          </cell>
          <cell r="D158">
            <v>195.15</v>
          </cell>
          <cell r="E158">
            <v>9</v>
          </cell>
          <cell r="F158">
            <v>19997.150000000001</v>
          </cell>
          <cell r="H158">
            <v>1</v>
          </cell>
          <cell r="I158">
            <v>12000</v>
          </cell>
          <cell r="J158">
            <v>0</v>
          </cell>
          <cell r="K158">
            <v>300</v>
          </cell>
          <cell r="L158">
            <v>12300</v>
          </cell>
          <cell r="M158">
            <v>0</v>
          </cell>
          <cell r="N158">
            <v>0</v>
          </cell>
          <cell r="O158" t="str">
            <v>Опл. лотереи "Инсон манфаатлари учун-2"</v>
          </cell>
        </row>
        <row r="159">
          <cell r="A159">
            <v>9</v>
          </cell>
          <cell r="B159">
            <v>214</v>
          </cell>
          <cell r="C159">
            <v>8137</v>
          </cell>
          <cell r="D159">
            <v>195.15</v>
          </cell>
          <cell r="E159">
            <v>9</v>
          </cell>
          <cell r="F159">
            <v>19997.150000000001</v>
          </cell>
          <cell r="H159">
            <v>1</v>
          </cell>
          <cell r="I159">
            <v>700</v>
          </cell>
          <cell r="J159">
            <v>0</v>
          </cell>
          <cell r="K159">
            <v>100</v>
          </cell>
          <cell r="L159">
            <v>800</v>
          </cell>
          <cell r="M159">
            <v>0</v>
          </cell>
          <cell r="N159">
            <v>0</v>
          </cell>
          <cell r="O159" t="str">
            <v>Опл. лотереи "Инсон манфаатлари учун-2"</v>
          </cell>
        </row>
        <row r="160">
          <cell r="A160">
            <v>9</v>
          </cell>
          <cell r="B160">
            <v>214</v>
          </cell>
          <cell r="C160">
            <v>8298</v>
          </cell>
          <cell r="D160">
            <v>195.15</v>
          </cell>
          <cell r="E160">
            <v>9</v>
          </cell>
          <cell r="F160">
            <v>19997.150000000001</v>
          </cell>
          <cell r="H160">
            <v>1</v>
          </cell>
          <cell r="I160">
            <v>0</v>
          </cell>
          <cell r="J160">
            <v>0</v>
          </cell>
          <cell r="K160">
            <v>100</v>
          </cell>
          <cell r="L160">
            <v>100</v>
          </cell>
          <cell r="M160">
            <v>0</v>
          </cell>
          <cell r="N160">
            <v>0</v>
          </cell>
          <cell r="O160" t="str">
            <v>Опл. лотереи "Инсон манфаатлари учун-2"</v>
          </cell>
        </row>
        <row r="161">
          <cell r="A161">
            <v>9</v>
          </cell>
          <cell r="B161">
            <v>214</v>
          </cell>
          <cell r="C161">
            <v>8659</v>
          </cell>
          <cell r="D161">
            <v>195.15</v>
          </cell>
          <cell r="E161">
            <v>9</v>
          </cell>
          <cell r="F161">
            <v>19997.150000000001</v>
          </cell>
          <cell r="H161">
            <v>1</v>
          </cell>
          <cell r="I161">
            <v>0</v>
          </cell>
          <cell r="J161">
            <v>0</v>
          </cell>
          <cell r="K161">
            <v>900</v>
          </cell>
          <cell r="L161">
            <v>900</v>
          </cell>
          <cell r="M161">
            <v>0</v>
          </cell>
          <cell r="N161">
            <v>0</v>
          </cell>
          <cell r="O161" t="str">
            <v>Опл. лотереи "Инсон манфаатлари учун-2"</v>
          </cell>
        </row>
        <row r="162">
          <cell r="A162">
            <v>9</v>
          </cell>
          <cell r="B162">
            <v>214</v>
          </cell>
          <cell r="C162">
            <v>3563</v>
          </cell>
          <cell r="D162">
            <v>195.17</v>
          </cell>
          <cell r="E162">
            <v>9</v>
          </cell>
          <cell r="F162">
            <v>19997.169999999998</v>
          </cell>
          <cell r="H162">
            <v>1</v>
          </cell>
          <cell r="I162">
            <v>2200</v>
          </cell>
          <cell r="J162">
            <v>0</v>
          </cell>
          <cell r="K162">
            <v>5800</v>
          </cell>
          <cell r="L162">
            <v>8000</v>
          </cell>
          <cell r="M162">
            <v>0</v>
          </cell>
          <cell r="N162">
            <v>0</v>
          </cell>
          <cell r="O162" t="str">
            <v>Опл. лотереи "Оила кувончи"</v>
          </cell>
        </row>
        <row r="163">
          <cell r="A163">
            <v>9</v>
          </cell>
          <cell r="B163">
            <v>214</v>
          </cell>
          <cell r="C163">
            <v>5996</v>
          </cell>
          <cell r="D163">
            <v>195.17</v>
          </cell>
          <cell r="E163">
            <v>9</v>
          </cell>
          <cell r="F163">
            <v>19997.169999999998</v>
          </cell>
          <cell r="H163">
            <v>1</v>
          </cell>
          <cell r="I163">
            <v>300</v>
          </cell>
          <cell r="J163">
            <v>0</v>
          </cell>
          <cell r="K163">
            <v>0</v>
          </cell>
          <cell r="L163">
            <v>300</v>
          </cell>
          <cell r="M163">
            <v>0</v>
          </cell>
          <cell r="N163">
            <v>0</v>
          </cell>
          <cell r="O163" t="str">
            <v>Опл. лотереи "Оила кувончи"</v>
          </cell>
        </row>
        <row r="164">
          <cell r="A164">
            <v>9</v>
          </cell>
          <cell r="B164">
            <v>214</v>
          </cell>
          <cell r="C164">
            <v>7783</v>
          </cell>
          <cell r="D164">
            <v>195.17</v>
          </cell>
          <cell r="E164">
            <v>9</v>
          </cell>
          <cell r="F164">
            <v>19997.169999999998</v>
          </cell>
          <cell r="H164">
            <v>1</v>
          </cell>
          <cell r="I164">
            <v>300</v>
          </cell>
          <cell r="J164">
            <v>0</v>
          </cell>
          <cell r="K164">
            <v>0</v>
          </cell>
          <cell r="L164">
            <v>300</v>
          </cell>
          <cell r="M164">
            <v>0</v>
          </cell>
          <cell r="N164">
            <v>0</v>
          </cell>
          <cell r="O164" t="str">
            <v>Опл. лотереи "Оила кувончи"</v>
          </cell>
        </row>
        <row r="165">
          <cell r="A165">
            <v>9</v>
          </cell>
          <cell r="B165">
            <v>214</v>
          </cell>
          <cell r="C165">
            <v>7845</v>
          </cell>
          <cell r="D165">
            <v>195.17</v>
          </cell>
          <cell r="E165">
            <v>9</v>
          </cell>
          <cell r="F165">
            <v>19997.169999999998</v>
          </cell>
          <cell r="H165">
            <v>1</v>
          </cell>
          <cell r="I165">
            <v>700</v>
          </cell>
          <cell r="J165">
            <v>0</v>
          </cell>
          <cell r="K165">
            <v>0</v>
          </cell>
          <cell r="L165">
            <v>700</v>
          </cell>
          <cell r="M165">
            <v>0</v>
          </cell>
          <cell r="N165">
            <v>0</v>
          </cell>
          <cell r="O165" t="str">
            <v>Опл. лотереи "Оила кувончи"</v>
          </cell>
        </row>
        <row r="166">
          <cell r="A166">
            <v>9</v>
          </cell>
          <cell r="B166">
            <v>214</v>
          </cell>
          <cell r="C166">
            <v>8002</v>
          </cell>
          <cell r="D166">
            <v>195.17</v>
          </cell>
          <cell r="E166">
            <v>9</v>
          </cell>
          <cell r="F166">
            <v>19997.169999999998</v>
          </cell>
          <cell r="H166">
            <v>1</v>
          </cell>
          <cell r="I166">
            <v>0</v>
          </cell>
          <cell r="J166">
            <v>0</v>
          </cell>
          <cell r="K166">
            <v>600</v>
          </cell>
          <cell r="L166">
            <v>600</v>
          </cell>
          <cell r="M166">
            <v>0</v>
          </cell>
          <cell r="N166">
            <v>0</v>
          </cell>
          <cell r="O166" t="str">
            <v>Опл. лотереи "Оила кувончи"</v>
          </cell>
        </row>
        <row r="167">
          <cell r="A167">
            <v>9</v>
          </cell>
          <cell r="B167">
            <v>214</v>
          </cell>
          <cell r="C167">
            <v>8137</v>
          </cell>
          <cell r="D167">
            <v>195.17</v>
          </cell>
          <cell r="E167">
            <v>9</v>
          </cell>
          <cell r="F167">
            <v>19997.169999999998</v>
          </cell>
          <cell r="H167">
            <v>1</v>
          </cell>
          <cell r="I167">
            <v>2800</v>
          </cell>
          <cell r="J167">
            <v>0</v>
          </cell>
          <cell r="K167">
            <v>200</v>
          </cell>
          <cell r="L167">
            <v>3000</v>
          </cell>
          <cell r="M167">
            <v>0</v>
          </cell>
          <cell r="N167">
            <v>0</v>
          </cell>
          <cell r="O167" t="str">
            <v>Опл. лотереи "Оила кувончи"</v>
          </cell>
        </row>
        <row r="168">
          <cell r="A168">
            <v>9</v>
          </cell>
          <cell r="B168">
            <v>214</v>
          </cell>
          <cell r="C168">
            <v>3563</v>
          </cell>
          <cell r="D168">
            <v>195.19</v>
          </cell>
          <cell r="E168">
            <v>9</v>
          </cell>
          <cell r="F168">
            <v>19997.189999999999</v>
          </cell>
          <cell r="H168">
            <v>1</v>
          </cell>
          <cell r="I168">
            <v>13000</v>
          </cell>
          <cell r="J168">
            <v>0</v>
          </cell>
          <cell r="K168">
            <v>2550</v>
          </cell>
          <cell r="L168">
            <v>15550</v>
          </cell>
          <cell r="M168">
            <v>0</v>
          </cell>
          <cell r="N168">
            <v>0</v>
          </cell>
          <cell r="O168" t="str">
            <v>Опл. лотереи "Махалла"</v>
          </cell>
        </row>
        <row r="169">
          <cell r="A169">
            <v>9</v>
          </cell>
          <cell r="B169">
            <v>214</v>
          </cell>
          <cell r="C169">
            <v>5996</v>
          </cell>
          <cell r="D169">
            <v>195.19</v>
          </cell>
          <cell r="E169">
            <v>9</v>
          </cell>
          <cell r="F169">
            <v>19997.189999999999</v>
          </cell>
          <cell r="H169">
            <v>1</v>
          </cell>
          <cell r="I169">
            <v>5000</v>
          </cell>
          <cell r="J169">
            <v>0</v>
          </cell>
          <cell r="K169">
            <v>900</v>
          </cell>
          <cell r="L169">
            <v>5900</v>
          </cell>
          <cell r="M169">
            <v>0</v>
          </cell>
          <cell r="N169">
            <v>0</v>
          </cell>
          <cell r="O169" t="str">
            <v>Опл. лотереи "Махалла"</v>
          </cell>
        </row>
        <row r="170">
          <cell r="A170">
            <v>9</v>
          </cell>
          <cell r="B170">
            <v>214</v>
          </cell>
          <cell r="C170">
            <v>7783</v>
          </cell>
          <cell r="D170">
            <v>195.19</v>
          </cell>
          <cell r="E170">
            <v>9</v>
          </cell>
          <cell r="F170">
            <v>19997.189999999999</v>
          </cell>
          <cell r="H170">
            <v>1</v>
          </cell>
          <cell r="I170">
            <v>7450</v>
          </cell>
          <cell r="J170">
            <v>0</v>
          </cell>
          <cell r="K170">
            <v>1000</v>
          </cell>
          <cell r="L170">
            <v>8450</v>
          </cell>
          <cell r="M170">
            <v>0</v>
          </cell>
          <cell r="N170">
            <v>0</v>
          </cell>
          <cell r="O170" t="str">
            <v>Опл. лотереи "Махалла"</v>
          </cell>
        </row>
        <row r="171">
          <cell r="A171">
            <v>9</v>
          </cell>
          <cell r="B171">
            <v>214</v>
          </cell>
          <cell r="C171">
            <v>7845</v>
          </cell>
          <cell r="D171">
            <v>195.19</v>
          </cell>
          <cell r="E171">
            <v>9</v>
          </cell>
          <cell r="F171">
            <v>19997.189999999999</v>
          </cell>
          <cell r="H171">
            <v>1</v>
          </cell>
          <cell r="I171">
            <v>13300</v>
          </cell>
          <cell r="J171">
            <v>0</v>
          </cell>
          <cell r="K171">
            <v>3250</v>
          </cell>
          <cell r="L171">
            <v>16550</v>
          </cell>
          <cell r="M171">
            <v>0</v>
          </cell>
          <cell r="N171">
            <v>0</v>
          </cell>
          <cell r="O171" t="str">
            <v>Опл. лотереи "Махалла"</v>
          </cell>
        </row>
        <row r="172">
          <cell r="A172">
            <v>9</v>
          </cell>
          <cell r="B172">
            <v>214</v>
          </cell>
          <cell r="C172">
            <v>7948</v>
          </cell>
          <cell r="D172">
            <v>195.19</v>
          </cell>
          <cell r="E172">
            <v>9</v>
          </cell>
          <cell r="F172">
            <v>19997.189999999999</v>
          </cell>
          <cell r="H172">
            <v>1</v>
          </cell>
          <cell r="I172">
            <v>0</v>
          </cell>
          <cell r="J172">
            <v>0</v>
          </cell>
          <cell r="K172">
            <v>1400</v>
          </cell>
          <cell r="L172">
            <v>1400</v>
          </cell>
          <cell r="M172">
            <v>0</v>
          </cell>
          <cell r="N172">
            <v>0</v>
          </cell>
          <cell r="O172" t="str">
            <v>Опл. лотереи "Махалла"</v>
          </cell>
        </row>
        <row r="173">
          <cell r="A173">
            <v>9</v>
          </cell>
          <cell r="B173">
            <v>214</v>
          </cell>
          <cell r="C173">
            <v>8002</v>
          </cell>
          <cell r="D173">
            <v>195.19</v>
          </cell>
          <cell r="E173">
            <v>9</v>
          </cell>
          <cell r="F173">
            <v>19997.189999999999</v>
          </cell>
          <cell r="H173">
            <v>1</v>
          </cell>
          <cell r="I173">
            <v>16900</v>
          </cell>
          <cell r="J173">
            <v>0</v>
          </cell>
          <cell r="K173">
            <v>2650</v>
          </cell>
          <cell r="L173">
            <v>19550</v>
          </cell>
          <cell r="M173">
            <v>0</v>
          </cell>
          <cell r="N173">
            <v>0</v>
          </cell>
          <cell r="O173" t="str">
            <v>Опл. лотереи "Махалла"</v>
          </cell>
        </row>
        <row r="174">
          <cell r="A174">
            <v>9</v>
          </cell>
          <cell r="B174">
            <v>214</v>
          </cell>
          <cell r="C174">
            <v>8104</v>
          </cell>
          <cell r="D174">
            <v>195.19</v>
          </cell>
          <cell r="E174">
            <v>9</v>
          </cell>
          <cell r="F174">
            <v>19997.189999999999</v>
          </cell>
          <cell r="H174">
            <v>1</v>
          </cell>
          <cell r="I174">
            <v>17100</v>
          </cell>
          <cell r="J174">
            <v>0</v>
          </cell>
          <cell r="K174">
            <v>1700</v>
          </cell>
          <cell r="L174">
            <v>18800</v>
          </cell>
          <cell r="M174">
            <v>0</v>
          </cell>
          <cell r="N174">
            <v>0</v>
          </cell>
          <cell r="O174" t="str">
            <v>Опл. лотереи "Махалла"</v>
          </cell>
        </row>
        <row r="175">
          <cell r="A175">
            <v>9</v>
          </cell>
          <cell r="B175">
            <v>214</v>
          </cell>
          <cell r="C175">
            <v>8137</v>
          </cell>
          <cell r="D175">
            <v>195.19</v>
          </cell>
          <cell r="E175">
            <v>9</v>
          </cell>
          <cell r="F175">
            <v>19997.189999999999</v>
          </cell>
          <cell r="H175">
            <v>1</v>
          </cell>
          <cell r="I175">
            <v>2950</v>
          </cell>
          <cell r="J175">
            <v>0</v>
          </cell>
          <cell r="K175">
            <v>100</v>
          </cell>
          <cell r="L175">
            <v>3050</v>
          </cell>
          <cell r="M175">
            <v>0</v>
          </cell>
          <cell r="N175">
            <v>0</v>
          </cell>
          <cell r="O175" t="str">
            <v>Опл. лотереи "Махалла"</v>
          </cell>
        </row>
        <row r="176">
          <cell r="A176">
            <v>9</v>
          </cell>
          <cell r="B176">
            <v>214</v>
          </cell>
          <cell r="C176">
            <v>8298</v>
          </cell>
          <cell r="D176">
            <v>195.19</v>
          </cell>
          <cell r="E176">
            <v>9</v>
          </cell>
          <cell r="F176">
            <v>19997.189999999999</v>
          </cell>
          <cell r="H176">
            <v>1</v>
          </cell>
          <cell r="I176">
            <v>0</v>
          </cell>
          <cell r="J176">
            <v>0</v>
          </cell>
          <cell r="K176">
            <v>600</v>
          </cell>
          <cell r="L176">
            <v>600</v>
          </cell>
          <cell r="M176">
            <v>0</v>
          </cell>
          <cell r="N176">
            <v>0</v>
          </cell>
          <cell r="O176" t="str">
            <v>Опл. лотереи "Махалла"</v>
          </cell>
        </row>
        <row r="177">
          <cell r="A177">
            <v>9</v>
          </cell>
          <cell r="B177">
            <v>214</v>
          </cell>
          <cell r="C177">
            <v>3563</v>
          </cell>
          <cell r="D177">
            <v>195.2</v>
          </cell>
          <cell r="E177">
            <v>9</v>
          </cell>
          <cell r="F177">
            <v>19997.2</v>
          </cell>
          <cell r="H177">
            <v>1</v>
          </cell>
          <cell r="I177">
            <v>0</v>
          </cell>
          <cell r="J177">
            <v>0</v>
          </cell>
          <cell r="K177">
            <v>10300</v>
          </cell>
          <cell r="L177">
            <v>10300</v>
          </cell>
          <cell r="M177">
            <v>0</v>
          </cell>
          <cell r="N177">
            <v>0</v>
          </cell>
          <cell r="O177" t="str">
            <v>Опл. лотереи "Тошкент"</v>
          </cell>
        </row>
        <row r="178">
          <cell r="A178">
            <v>9</v>
          </cell>
          <cell r="B178">
            <v>214</v>
          </cell>
          <cell r="C178">
            <v>5996</v>
          </cell>
          <cell r="D178">
            <v>195.2</v>
          </cell>
          <cell r="E178">
            <v>9</v>
          </cell>
          <cell r="F178">
            <v>19997.2</v>
          </cell>
          <cell r="H178">
            <v>1</v>
          </cell>
          <cell r="I178">
            <v>0</v>
          </cell>
          <cell r="J178">
            <v>0</v>
          </cell>
          <cell r="K178">
            <v>95560</v>
          </cell>
          <cell r="L178">
            <v>95560</v>
          </cell>
          <cell r="M178">
            <v>0</v>
          </cell>
          <cell r="N178">
            <v>0</v>
          </cell>
          <cell r="O178" t="str">
            <v>Опл. лотереи "Тошкент"</v>
          </cell>
        </row>
        <row r="179">
          <cell r="A179">
            <v>9</v>
          </cell>
          <cell r="B179">
            <v>214</v>
          </cell>
          <cell r="C179">
            <v>7783</v>
          </cell>
          <cell r="D179">
            <v>195.2</v>
          </cell>
          <cell r="E179">
            <v>9</v>
          </cell>
          <cell r="F179">
            <v>19997.2</v>
          </cell>
          <cell r="H179">
            <v>1</v>
          </cell>
          <cell r="I179">
            <v>0</v>
          </cell>
          <cell r="J179">
            <v>0</v>
          </cell>
          <cell r="K179">
            <v>182340</v>
          </cell>
          <cell r="L179">
            <v>182340</v>
          </cell>
          <cell r="M179">
            <v>0</v>
          </cell>
          <cell r="N179">
            <v>0</v>
          </cell>
          <cell r="O179" t="str">
            <v>Опл. лотереи "Тошкент"</v>
          </cell>
        </row>
        <row r="180">
          <cell r="A180">
            <v>9</v>
          </cell>
          <cell r="B180">
            <v>214</v>
          </cell>
          <cell r="C180">
            <v>7845</v>
          </cell>
          <cell r="D180">
            <v>195.2</v>
          </cell>
          <cell r="E180">
            <v>9</v>
          </cell>
          <cell r="F180">
            <v>19997.2</v>
          </cell>
          <cell r="H180">
            <v>1</v>
          </cell>
          <cell r="I180">
            <v>0</v>
          </cell>
          <cell r="J180">
            <v>0</v>
          </cell>
          <cell r="K180">
            <v>12140</v>
          </cell>
          <cell r="L180">
            <v>12140</v>
          </cell>
          <cell r="M180">
            <v>0</v>
          </cell>
          <cell r="N180">
            <v>0</v>
          </cell>
          <cell r="O180" t="str">
            <v>Опл. лотереи "Тошкент"</v>
          </cell>
        </row>
        <row r="181">
          <cell r="A181">
            <v>9</v>
          </cell>
          <cell r="B181">
            <v>214</v>
          </cell>
          <cell r="C181">
            <v>7948</v>
          </cell>
          <cell r="D181">
            <v>195.2</v>
          </cell>
          <cell r="E181">
            <v>9</v>
          </cell>
          <cell r="F181">
            <v>19997.2</v>
          </cell>
          <cell r="H181">
            <v>1</v>
          </cell>
          <cell r="I181">
            <v>0</v>
          </cell>
          <cell r="J181">
            <v>0</v>
          </cell>
          <cell r="K181">
            <v>244520</v>
          </cell>
          <cell r="L181">
            <v>244520</v>
          </cell>
          <cell r="M181">
            <v>0</v>
          </cell>
          <cell r="N181">
            <v>0</v>
          </cell>
          <cell r="O181" t="str">
            <v>Опл. лотереи "Тошкент"</v>
          </cell>
        </row>
        <row r="182">
          <cell r="A182">
            <v>9</v>
          </cell>
          <cell r="B182">
            <v>214</v>
          </cell>
          <cell r="C182">
            <v>8002</v>
          </cell>
          <cell r="D182">
            <v>195.2</v>
          </cell>
          <cell r="E182">
            <v>9</v>
          </cell>
          <cell r="F182">
            <v>19997.2</v>
          </cell>
          <cell r="H182">
            <v>1</v>
          </cell>
          <cell r="I182">
            <v>0</v>
          </cell>
          <cell r="J182">
            <v>0</v>
          </cell>
          <cell r="K182">
            <v>120160</v>
          </cell>
          <cell r="L182">
            <v>120160</v>
          </cell>
          <cell r="M182">
            <v>0</v>
          </cell>
          <cell r="N182">
            <v>0</v>
          </cell>
          <cell r="O182" t="str">
            <v>Опл. лотереи "Тошкент"</v>
          </cell>
        </row>
        <row r="183">
          <cell r="A183">
            <v>9</v>
          </cell>
          <cell r="B183">
            <v>214</v>
          </cell>
          <cell r="C183">
            <v>8104</v>
          </cell>
          <cell r="D183">
            <v>195.2</v>
          </cell>
          <cell r="E183">
            <v>9</v>
          </cell>
          <cell r="F183">
            <v>19997.2</v>
          </cell>
          <cell r="H183">
            <v>1</v>
          </cell>
          <cell r="I183">
            <v>6580</v>
          </cell>
          <cell r="J183">
            <v>0</v>
          </cell>
          <cell r="K183">
            <v>98980</v>
          </cell>
          <cell r="L183">
            <v>105560</v>
          </cell>
          <cell r="M183">
            <v>0</v>
          </cell>
          <cell r="N183">
            <v>0</v>
          </cell>
          <cell r="O183" t="str">
            <v>Опл. лотереи "Тошкент"</v>
          </cell>
        </row>
        <row r="184">
          <cell r="A184">
            <v>9</v>
          </cell>
          <cell r="B184">
            <v>214</v>
          </cell>
          <cell r="C184">
            <v>8137</v>
          </cell>
          <cell r="D184">
            <v>195.2</v>
          </cell>
          <cell r="E184">
            <v>9</v>
          </cell>
          <cell r="F184">
            <v>19997.2</v>
          </cell>
          <cell r="H184">
            <v>1</v>
          </cell>
          <cell r="I184">
            <v>0</v>
          </cell>
          <cell r="J184">
            <v>0</v>
          </cell>
          <cell r="K184">
            <v>78400</v>
          </cell>
          <cell r="L184">
            <v>78400</v>
          </cell>
          <cell r="M184">
            <v>0</v>
          </cell>
          <cell r="N184">
            <v>0</v>
          </cell>
          <cell r="O184" t="str">
            <v>Опл. лотереи "Тошкент"</v>
          </cell>
        </row>
        <row r="185">
          <cell r="A185">
            <v>9</v>
          </cell>
          <cell r="B185">
            <v>214</v>
          </cell>
          <cell r="C185">
            <v>8533</v>
          </cell>
          <cell r="D185">
            <v>195.2</v>
          </cell>
          <cell r="E185">
            <v>9</v>
          </cell>
          <cell r="F185">
            <v>19997.2</v>
          </cell>
          <cell r="H185">
            <v>1</v>
          </cell>
          <cell r="I185">
            <v>0</v>
          </cell>
          <cell r="J185">
            <v>0</v>
          </cell>
          <cell r="K185">
            <v>100</v>
          </cell>
          <cell r="L185">
            <v>100</v>
          </cell>
          <cell r="M185">
            <v>0</v>
          </cell>
          <cell r="N185">
            <v>0</v>
          </cell>
          <cell r="O185" t="str">
            <v>Опл. лотереи "Тошкент"</v>
          </cell>
        </row>
        <row r="186">
          <cell r="A186">
            <v>9</v>
          </cell>
          <cell r="B186">
            <v>214</v>
          </cell>
          <cell r="C186">
            <v>8659</v>
          </cell>
          <cell r="D186">
            <v>195.2</v>
          </cell>
          <cell r="E186">
            <v>9</v>
          </cell>
          <cell r="F186">
            <v>19997.2</v>
          </cell>
          <cell r="H186">
            <v>1</v>
          </cell>
          <cell r="I186">
            <v>0</v>
          </cell>
          <cell r="J186">
            <v>0</v>
          </cell>
          <cell r="K186">
            <v>15520</v>
          </cell>
          <cell r="L186">
            <v>15520</v>
          </cell>
          <cell r="M186">
            <v>0</v>
          </cell>
          <cell r="N186">
            <v>0</v>
          </cell>
          <cell r="O186" t="str">
            <v>Опл. лотереи "Тошкент"</v>
          </cell>
        </row>
        <row r="187">
          <cell r="A187">
            <v>9</v>
          </cell>
          <cell r="B187">
            <v>214</v>
          </cell>
          <cell r="C187">
            <v>3563</v>
          </cell>
          <cell r="D187">
            <v>195.21</v>
          </cell>
          <cell r="E187">
            <v>9</v>
          </cell>
          <cell r="F187">
            <v>19997.21</v>
          </cell>
          <cell r="H187">
            <v>1</v>
          </cell>
          <cell r="I187">
            <v>550</v>
          </cell>
          <cell r="J187">
            <v>0</v>
          </cell>
          <cell r="K187">
            <v>1350</v>
          </cell>
          <cell r="L187">
            <v>1900</v>
          </cell>
          <cell r="M187">
            <v>0</v>
          </cell>
          <cell r="N187">
            <v>0</v>
          </cell>
          <cell r="O187" t="str">
            <v>Опл. лотереи "Эколот-3"</v>
          </cell>
        </row>
        <row r="188">
          <cell r="A188">
            <v>9</v>
          </cell>
          <cell r="B188">
            <v>214</v>
          </cell>
          <cell r="C188">
            <v>3563</v>
          </cell>
          <cell r="D188">
            <v>195.22</v>
          </cell>
          <cell r="E188">
            <v>9</v>
          </cell>
          <cell r="F188">
            <v>19997.22</v>
          </cell>
          <cell r="H188">
            <v>1</v>
          </cell>
          <cell r="I188">
            <v>0</v>
          </cell>
          <cell r="J188">
            <v>0</v>
          </cell>
          <cell r="K188">
            <v>1650</v>
          </cell>
          <cell r="L188">
            <v>1650</v>
          </cell>
          <cell r="M188">
            <v>0</v>
          </cell>
          <cell r="N188">
            <v>0</v>
          </cell>
          <cell r="O188" t="str">
            <v>Опл. лотереи "Эколот-4"</v>
          </cell>
        </row>
        <row r="189">
          <cell r="A189">
            <v>9</v>
          </cell>
          <cell r="B189">
            <v>214</v>
          </cell>
          <cell r="C189">
            <v>5996</v>
          </cell>
          <cell r="D189">
            <v>195.22</v>
          </cell>
          <cell r="E189">
            <v>9</v>
          </cell>
          <cell r="F189">
            <v>19997.22</v>
          </cell>
          <cell r="H189">
            <v>1</v>
          </cell>
          <cell r="I189">
            <v>100</v>
          </cell>
          <cell r="J189">
            <v>0</v>
          </cell>
          <cell r="K189">
            <v>0</v>
          </cell>
          <cell r="L189">
            <v>100</v>
          </cell>
          <cell r="M189">
            <v>0</v>
          </cell>
          <cell r="N189">
            <v>0</v>
          </cell>
          <cell r="O189" t="str">
            <v>Опл. лотереи "Эколот-4"</v>
          </cell>
        </row>
        <row r="190">
          <cell r="A190">
            <v>9</v>
          </cell>
          <cell r="B190">
            <v>214</v>
          </cell>
          <cell r="C190">
            <v>7845</v>
          </cell>
          <cell r="D190">
            <v>195.22</v>
          </cell>
          <cell r="E190">
            <v>9</v>
          </cell>
          <cell r="F190">
            <v>19997.22</v>
          </cell>
          <cell r="H190">
            <v>1</v>
          </cell>
          <cell r="I190">
            <v>0</v>
          </cell>
          <cell r="J190">
            <v>0</v>
          </cell>
          <cell r="K190">
            <v>37950</v>
          </cell>
          <cell r="L190">
            <v>37950</v>
          </cell>
          <cell r="M190">
            <v>0</v>
          </cell>
          <cell r="N190">
            <v>0</v>
          </cell>
          <cell r="O190" t="str">
            <v>Опл. лотереи "Эколот-4"</v>
          </cell>
        </row>
        <row r="191">
          <cell r="A191">
            <v>9</v>
          </cell>
          <cell r="B191">
            <v>214</v>
          </cell>
          <cell r="C191">
            <v>8104</v>
          </cell>
          <cell r="D191">
            <v>195.22</v>
          </cell>
          <cell r="E191">
            <v>9</v>
          </cell>
          <cell r="F191">
            <v>19997.22</v>
          </cell>
          <cell r="H191">
            <v>1</v>
          </cell>
          <cell r="I191">
            <v>49850</v>
          </cell>
          <cell r="J191">
            <v>0</v>
          </cell>
          <cell r="K191">
            <v>750</v>
          </cell>
          <cell r="L191">
            <v>50600</v>
          </cell>
          <cell r="M191">
            <v>0</v>
          </cell>
          <cell r="N191">
            <v>0</v>
          </cell>
          <cell r="O191" t="str">
            <v>Опл. лотереи "Эколот-4"</v>
          </cell>
        </row>
        <row r="192">
          <cell r="A192">
            <v>9</v>
          </cell>
          <cell r="B192">
            <v>214</v>
          </cell>
          <cell r="C192">
            <v>8298</v>
          </cell>
          <cell r="D192">
            <v>195.22</v>
          </cell>
          <cell r="E192">
            <v>9</v>
          </cell>
          <cell r="F192">
            <v>19997.22</v>
          </cell>
          <cell r="H192">
            <v>1</v>
          </cell>
          <cell r="I192">
            <v>0</v>
          </cell>
          <cell r="J192">
            <v>0</v>
          </cell>
          <cell r="K192">
            <v>6750</v>
          </cell>
          <cell r="L192">
            <v>6750</v>
          </cell>
          <cell r="M192">
            <v>0</v>
          </cell>
          <cell r="N192">
            <v>0</v>
          </cell>
          <cell r="O192" t="str">
            <v>Опл. лотереи "Эколот-4"</v>
          </cell>
        </row>
        <row r="193">
          <cell r="A193">
            <v>9</v>
          </cell>
          <cell r="B193">
            <v>214</v>
          </cell>
          <cell r="C193">
            <v>8659</v>
          </cell>
          <cell r="D193">
            <v>195.22</v>
          </cell>
          <cell r="E193">
            <v>9</v>
          </cell>
          <cell r="F193">
            <v>19997.22</v>
          </cell>
          <cell r="H193">
            <v>1</v>
          </cell>
          <cell r="I193">
            <v>0</v>
          </cell>
          <cell r="J193">
            <v>0</v>
          </cell>
          <cell r="K193">
            <v>16150</v>
          </cell>
          <cell r="L193">
            <v>16150</v>
          </cell>
          <cell r="M193">
            <v>0</v>
          </cell>
          <cell r="N193">
            <v>0</v>
          </cell>
          <cell r="O193" t="str">
            <v>Опл. лотереи "Эколот-4"</v>
          </cell>
        </row>
        <row r="194">
          <cell r="A194">
            <v>9</v>
          </cell>
          <cell r="B194">
            <v>214</v>
          </cell>
          <cell r="C194">
            <v>3563</v>
          </cell>
          <cell r="D194">
            <v>195.23</v>
          </cell>
          <cell r="E194">
            <v>9</v>
          </cell>
          <cell r="F194">
            <v>19997.23</v>
          </cell>
          <cell r="H194">
            <v>1</v>
          </cell>
          <cell r="I194">
            <v>0</v>
          </cell>
          <cell r="J194">
            <v>0</v>
          </cell>
          <cell r="K194">
            <v>42300</v>
          </cell>
          <cell r="L194">
            <v>42300</v>
          </cell>
          <cell r="M194">
            <v>0</v>
          </cell>
          <cell r="N194">
            <v>0</v>
          </cell>
          <cell r="O194" t="str">
            <v>Опл. лотереи "Улугбек юлдузлари"</v>
          </cell>
        </row>
        <row r="195">
          <cell r="A195">
            <v>9</v>
          </cell>
          <cell r="B195">
            <v>214</v>
          </cell>
          <cell r="C195">
            <v>5996</v>
          </cell>
          <cell r="D195">
            <v>195.23</v>
          </cell>
          <cell r="E195">
            <v>9</v>
          </cell>
          <cell r="F195">
            <v>19997.23</v>
          </cell>
          <cell r="H195">
            <v>1</v>
          </cell>
          <cell r="I195">
            <v>0</v>
          </cell>
          <cell r="J195">
            <v>0</v>
          </cell>
          <cell r="K195">
            <v>10000</v>
          </cell>
          <cell r="L195">
            <v>10000</v>
          </cell>
          <cell r="M195">
            <v>0</v>
          </cell>
          <cell r="N195">
            <v>0</v>
          </cell>
          <cell r="O195" t="str">
            <v>Опл. лотереи "Улугбек юлдузлари"</v>
          </cell>
        </row>
        <row r="196">
          <cell r="A196">
            <v>9</v>
          </cell>
          <cell r="B196">
            <v>214</v>
          </cell>
          <cell r="C196">
            <v>7783</v>
          </cell>
          <cell r="D196">
            <v>195.23</v>
          </cell>
          <cell r="E196">
            <v>9</v>
          </cell>
          <cell r="F196">
            <v>19997.23</v>
          </cell>
          <cell r="H196">
            <v>1</v>
          </cell>
          <cell r="I196">
            <v>0</v>
          </cell>
          <cell r="J196">
            <v>0</v>
          </cell>
          <cell r="K196">
            <v>14450</v>
          </cell>
          <cell r="L196">
            <v>14450</v>
          </cell>
          <cell r="M196">
            <v>0</v>
          </cell>
          <cell r="N196">
            <v>0</v>
          </cell>
          <cell r="O196" t="str">
            <v>Опл. лотереи "Улугбек юлдузлари"</v>
          </cell>
        </row>
        <row r="197">
          <cell r="A197">
            <v>9</v>
          </cell>
          <cell r="B197">
            <v>214</v>
          </cell>
          <cell r="C197">
            <v>7845</v>
          </cell>
          <cell r="D197">
            <v>195.23</v>
          </cell>
          <cell r="E197">
            <v>9</v>
          </cell>
          <cell r="F197">
            <v>19997.23</v>
          </cell>
          <cell r="H197">
            <v>1</v>
          </cell>
          <cell r="I197">
            <v>0</v>
          </cell>
          <cell r="J197">
            <v>0</v>
          </cell>
          <cell r="K197">
            <v>47900</v>
          </cell>
          <cell r="L197">
            <v>47900</v>
          </cell>
          <cell r="M197">
            <v>0</v>
          </cell>
          <cell r="N197">
            <v>0</v>
          </cell>
          <cell r="O197" t="str">
            <v>Опл. лотереи "Улугбек юлдузлари"</v>
          </cell>
        </row>
        <row r="198">
          <cell r="A198">
            <v>9</v>
          </cell>
          <cell r="B198">
            <v>214</v>
          </cell>
          <cell r="C198">
            <v>7948</v>
          </cell>
          <cell r="D198">
            <v>195.23</v>
          </cell>
          <cell r="E198">
            <v>9</v>
          </cell>
          <cell r="F198">
            <v>19997.23</v>
          </cell>
          <cell r="H198">
            <v>1</v>
          </cell>
          <cell r="I198">
            <v>0</v>
          </cell>
          <cell r="J198">
            <v>0</v>
          </cell>
          <cell r="K198">
            <v>47350</v>
          </cell>
          <cell r="L198">
            <v>47350</v>
          </cell>
          <cell r="M198">
            <v>0</v>
          </cell>
          <cell r="N198">
            <v>0</v>
          </cell>
          <cell r="O198" t="str">
            <v>Опл. лотереи "Улугбек юлдузлари"</v>
          </cell>
        </row>
        <row r="199">
          <cell r="A199">
            <v>9</v>
          </cell>
          <cell r="B199">
            <v>214</v>
          </cell>
          <cell r="C199">
            <v>8002</v>
          </cell>
          <cell r="D199">
            <v>195.23</v>
          </cell>
          <cell r="E199">
            <v>9</v>
          </cell>
          <cell r="F199">
            <v>19997.23</v>
          </cell>
          <cell r="H199">
            <v>1</v>
          </cell>
          <cell r="I199">
            <v>0</v>
          </cell>
          <cell r="J199">
            <v>0</v>
          </cell>
          <cell r="K199">
            <v>24250</v>
          </cell>
          <cell r="L199">
            <v>24250</v>
          </cell>
          <cell r="M199">
            <v>0</v>
          </cell>
          <cell r="N199">
            <v>0</v>
          </cell>
          <cell r="O199" t="str">
            <v>Опл. лотереи "Улугбек юлдузлари"</v>
          </cell>
        </row>
        <row r="200">
          <cell r="A200">
            <v>9</v>
          </cell>
          <cell r="B200">
            <v>214</v>
          </cell>
          <cell r="C200">
            <v>8104</v>
          </cell>
          <cell r="D200">
            <v>195.23</v>
          </cell>
          <cell r="E200">
            <v>9</v>
          </cell>
          <cell r="F200">
            <v>19997.23</v>
          </cell>
          <cell r="H200">
            <v>1</v>
          </cell>
          <cell r="I200">
            <v>0</v>
          </cell>
          <cell r="J200">
            <v>0</v>
          </cell>
          <cell r="K200">
            <v>57000</v>
          </cell>
          <cell r="L200">
            <v>57000</v>
          </cell>
          <cell r="M200">
            <v>0</v>
          </cell>
          <cell r="N200">
            <v>0</v>
          </cell>
          <cell r="O200" t="str">
            <v>Опл. лотереи "Улугбек юлдузлари"</v>
          </cell>
        </row>
        <row r="201">
          <cell r="A201">
            <v>9</v>
          </cell>
          <cell r="B201">
            <v>214</v>
          </cell>
          <cell r="C201">
            <v>8137</v>
          </cell>
          <cell r="D201">
            <v>195.23</v>
          </cell>
          <cell r="E201">
            <v>9</v>
          </cell>
          <cell r="F201">
            <v>19997.23</v>
          </cell>
          <cell r="H201">
            <v>1</v>
          </cell>
          <cell r="I201">
            <v>0</v>
          </cell>
          <cell r="J201">
            <v>0</v>
          </cell>
          <cell r="K201">
            <v>2450</v>
          </cell>
          <cell r="L201">
            <v>2450</v>
          </cell>
          <cell r="M201">
            <v>0</v>
          </cell>
          <cell r="N201">
            <v>0</v>
          </cell>
          <cell r="O201" t="str">
            <v>Опл. лотереи "Улугбек юлдузлари"</v>
          </cell>
        </row>
        <row r="202">
          <cell r="A202">
            <v>9</v>
          </cell>
          <cell r="B202">
            <v>214</v>
          </cell>
          <cell r="C202">
            <v>8298</v>
          </cell>
          <cell r="D202">
            <v>195.23</v>
          </cell>
          <cell r="E202">
            <v>9</v>
          </cell>
          <cell r="F202">
            <v>19997.23</v>
          </cell>
          <cell r="H202">
            <v>1</v>
          </cell>
          <cell r="I202">
            <v>0</v>
          </cell>
          <cell r="J202">
            <v>0</v>
          </cell>
          <cell r="K202">
            <v>61500</v>
          </cell>
          <cell r="L202">
            <v>61500</v>
          </cell>
          <cell r="M202">
            <v>0</v>
          </cell>
          <cell r="N202">
            <v>0</v>
          </cell>
          <cell r="O202" t="str">
            <v>Опл. лотереи "Улугбек юлдузлари"</v>
          </cell>
        </row>
        <row r="203">
          <cell r="A203">
            <v>9</v>
          </cell>
          <cell r="B203">
            <v>214</v>
          </cell>
          <cell r="C203">
            <v>8533</v>
          </cell>
          <cell r="D203">
            <v>195.23</v>
          </cell>
          <cell r="E203">
            <v>9</v>
          </cell>
          <cell r="F203">
            <v>19997.23</v>
          </cell>
          <cell r="H203">
            <v>1</v>
          </cell>
          <cell r="I203">
            <v>0</v>
          </cell>
          <cell r="J203">
            <v>0</v>
          </cell>
          <cell r="K203">
            <v>1450</v>
          </cell>
          <cell r="L203">
            <v>1450</v>
          </cell>
          <cell r="M203">
            <v>0</v>
          </cell>
          <cell r="N203">
            <v>0</v>
          </cell>
          <cell r="O203" t="str">
            <v>Опл. лотереи "Улугбек юлдузлари"</v>
          </cell>
        </row>
        <row r="204">
          <cell r="A204">
            <v>9</v>
          </cell>
          <cell r="B204">
            <v>214</v>
          </cell>
          <cell r="C204">
            <v>8659</v>
          </cell>
          <cell r="D204">
            <v>195.23</v>
          </cell>
          <cell r="E204">
            <v>9</v>
          </cell>
          <cell r="F204">
            <v>19997.23</v>
          </cell>
          <cell r="H204">
            <v>1</v>
          </cell>
          <cell r="I204">
            <v>0</v>
          </cell>
          <cell r="J204">
            <v>0</v>
          </cell>
          <cell r="K204">
            <v>1650</v>
          </cell>
          <cell r="L204">
            <v>1650</v>
          </cell>
          <cell r="M204">
            <v>0</v>
          </cell>
          <cell r="N204">
            <v>0</v>
          </cell>
          <cell r="O204" t="str">
            <v>Опл. лотереи "Улугбек юлдузлари"</v>
          </cell>
        </row>
        <row r="205">
          <cell r="A205">
            <v>9</v>
          </cell>
          <cell r="B205">
            <v>214</v>
          </cell>
          <cell r="C205">
            <v>3563</v>
          </cell>
          <cell r="D205">
            <v>195.24</v>
          </cell>
          <cell r="E205">
            <v>9</v>
          </cell>
          <cell r="F205">
            <v>19997.240000000002</v>
          </cell>
          <cell r="H205">
            <v>1</v>
          </cell>
          <cell r="I205">
            <v>0</v>
          </cell>
          <cell r="J205">
            <v>0</v>
          </cell>
          <cell r="K205">
            <v>2121150</v>
          </cell>
          <cell r="L205">
            <v>2121150</v>
          </cell>
          <cell r="M205">
            <v>0</v>
          </cell>
          <cell r="N205">
            <v>0</v>
          </cell>
          <cell r="O205" t="str">
            <v>Опл. лотереи "Омадли инсон"</v>
          </cell>
        </row>
        <row r="206">
          <cell r="A206">
            <v>9</v>
          </cell>
          <cell r="B206">
            <v>214</v>
          </cell>
          <cell r="C206">
            <v>5996</v>
          </cell>
          <cell r="D206">
            <v>195.24</v>
          </cell>
          <cell r="E206">
            <v>9</v>
          </cell>
          <cell r="F206">
            <v>19997.240000000002</v>
          </cell>
          <cell r="H206">
            <v>1</v>
          </cell>
          <cell r="I206">
            <v>0</v>
          </cell>
          <cell r="J206">
            <v>0</v>
          </cell>
          <cell r="K206">
            <v>2032100</v>
          </cell>
          <cell r="L206">
            <v>2032100</v>
          </cell>
          <cell r="M206">
            <v>0</v>
          </cell>
          <cell r="N206">
            <v>0</v>
          </cell>
          <cell r="O206" t="str">
            <v>Опл. лотереи "Омадли инсон"</v>
          </cell>
        </row>
        <row r="207">
          <cell r="A207">
            <v>9</v>
          </cell>
          <cell r="B207">
            <v>214</v>
          </cell>
          <cell r="C207">
            <v>7783</v>
          </cell>
          <cell r="D207">
            <v>195.24</v>
          </cell>
          <cell r="E207">
            <v>9</v>
          </cell>
          <cell r="F207">
            <v>19997.240000000002</v>
          </cell>
          <cell r="H207">
            <v>1</v>
          </cell>
          <cell r="I207">
            <v>0</v>
          </cell>
          <cell r="J207">
            <v>0</v>
          </cell>
          <cell r="K207">
            <v>1732000</v>
          </cell>
          <cell r="L207">
            <v>1732000</v>
          </cell>
          <cell r="M207">
            <v>0</v>
          </cell>
          <cell r="N207">
            <v>0</v>
          </cell>
          <cell r="O207" t="str">
            <v>Опл. лотереи "Омадли инсон"</v>
          </cell>
        </row>
        <row r="208">
          <cell r="A208">
            <v>9</v>
          </cell>
          <cell r="B208">
            <v>214</v>
          </cell>
          <cell r="C208">
            <v>7845</v>
          </cell>
          <cell r="D208">
            <v>195.24</v>
          </cell>
          <cell r="E208">
            <v>9</v>
          </cell>
          <cell r="F208">
            <v>19997.240000000002</v>
          </cell>
          <cell r="H208">
            <v>1</v>
          </cell>
          <cell r="I208">
            <v>294600</v>
          </cell>
          <cell r="J208">
            <v>0</v>
          </cell>
          <cell r="K208">
            <v>2525200</v>
          </cell>
          <cell r="L208">
            <v>2819800</v>
          </cell>
          <cell r="M208">
            <v>0</v>
          </cell>
          <cell r="N208">
            <v>0</v>
          </cell>
          <cell r="O208" t="str">
            <v>Опл. лотереи "Омадли инсон"</v>
          </cell>
        </row>
        <row r="209">
          <cell r="A209">
            <v>9</v>
          </cell>
          <cell r="B209">
            <v>214</v>
          </cell>
          <cell r="C209">
            <v>7948</v>
          </cell>
          <cell r="D209">
            <v>195.24</v>
          </cell>
          <cell r="E209">
            <v>9</v>
          </cell>
          <cell r="F209">
            <v>19997.240000000002</v>
          </cell>
          <cell r="H209">
            <v>1</v>
          </cell>
          <cell r="I209">
            <v>0</v>
          </cell>
          <cell r="J209">
            <v>0</v>
          </cell>
          <cell r="K209">
            <v>2347700</v>
          </cell>
          <cell r="L209">
            <v>2347700</v>
          </cell>
          <cell r="M209">
            <v>0</v>
          </cell>
          <cell r="N209">
            <v>0</v>
          </cell>
          <cell r="O209" t="str">
            <v>Опл. лотереи "Омадли инсон"</v>
          </cell>
        </row>
        <row r="210">
          <cell r="A210">
            <v>9</v>
          </cell>
          <cell r="B210">
            <v>214</v>
          </cell>
          <cell r="C210">
            <v>8002</v>
          </cell>
          <cell r="D210">
            <v>195.24</v>
          </cell>
          <cell r="E210">
            <v>9</v>
          </cell>
          <cell r="F210">
            <v>19997.240000000002</v>
          </cell>
          <cell r="H210">
            <v>1</v>
          </cell>
          <cell r="I210">
            <v>0</v>
          </cell>
          <cell r="J210">
            <v>0</v>
          </cell>
          <cell r="K210">
            <v>2107100</v>
          </cell>
          <cell r="L210">
            <v>2107100</v>
          </cell>
          <cell r="M210">
            <v>0</v>
          </cell>
          <cell r="N210">
            <v>0</v>
          </cell>
          <cell r="O210" t="str">
            <v>Опл. лотереи "Омадли инсон"</v>
          </cell>
        </row>
        <row r="211">
          <cell r="A211">
            <v>9</v>
          </cell>
          <cell r="B211">
            <v>214</v>
          </cell>
          <cell r="C211">
            <v>8104</v>
          </cell>
          <cell r="D211">
            <v>195.24</v>
          </cell>
          <cell r="E211">
            <v>9</v>
          </cell>
          <cell r="F211">
            <v>19997.240000000002</v>
          </cell>
          <cell r="H211">
            <v>1</v>
          </cell>
          <cell r="I211">
            <v>0</v>
          </cell>
          <cell r="J211">
            <v>0</v>
          </cell>
          <cell r="K211">
            <v>1654500</v>
          </cell>
          <cell r="L211">
            <v>1654500</v>
          </cell>
          <cell r="M211">
            <v>0</v>
          </cell>
          <cell r="N211">
            <v>0</v>
          </cell>
          <cell r="O211" t="str">
            <v>Опл. лотереи "Омадли инсон"</v>
          </cell>
        </row>
        <row r="212">
          <cell r="A212">
            <v>9</v>
          </cell>
          <cell r="B212">
            <v>214</v>
          </cell>
          <cell r="C212">
            <v>8137</v>
          </cell>
          <cell r="D212">
            <v>195.24</v>
          </cell>
          <cell r="E212">
            <v>9</v>
          </cell>
          <cell r="F212">
            <v>19997.240000000002</v>
          </cell>
          <cell r="H212">
            <v>1</v>
          </cell>
          <cell r="I212">
            <v>0</v>
          </cell>
          <cell r="J212">
            <v>0</v>
          </cell>
          <cell r="K212">
            <v>1263900</v>
          </cell>
          <cell r="L212">
            <v>1263900</v>
          </cell>
          <cell r="M212">
            <v>0</v>
          </cell>
          <cell r="N212">
            <v>0</v>
          </cell>
          <cell r="O212" t="str">
            <v>Опл. лотереи "Омадли инсон"</v>
          </cell>
        </row>
        <row r="213">
          <cell r="A213">
            <v>9</v>
          </cell>
          <cell r="B213">
            <v>214</v>
          </cell>
          <cell r="C213">
            <v>8298</v>
          </cell>
          <cell r="D213">
            <v>195.24</v>
          </cell>
          <cell r="E213">
            <v>9</v>
          </cell>
          <cell r="F213">
            <v>19997.240000000002</v>
          </cell>
          <cell r="H213">
            <v>1</v>
          </cell>
          <cell r="I213">
            <v>0</v>
          </cell>
          <cell r="J213">
            <v>0</v>
          </cell>
          <cell r="K213">
            <v>2471100</v>
          </cell>
          <cell r="L213">
            <v>2471100</v>
          </cell>
          <cell r="M213">
            <v>0</v>
          </cell>
          <cell r="N213">
            <v>0</v>
          </cell>
          <cell r="O213" t="str">
            <v>Опл. лотереи "Омадли инсон"</v>
          </cell>
        </row>
        <row r="214">
          <cell r="A214">
            <v>9</v>
          </cell>
          <cell r="B214">
            <v>214</v>
          </cell>
          <cell r="C214">
            <v>8533</v>
          </cell>
          <cell r="D214">
            <v>195.24</v>
          </cell>
          <cell r="E214">
            <v>9</v>
          </cell>
          <cell r="F214">
            <v>19997.240000000002</v>
          </cell>
          <cell r="H214">
            <v>1</v>
          </cell>
          <cell r="I214">
            <v>0</v>
          </cell>
          <cell r="J214">
            <v>0</v>
          </cell>
          <cell r="K214">
            <v>198000</v>
          </cell>
          <cell r="L214">
            <v>198000</v>
          </cell>
          <cell r="M214">
            <v>0</v>
          </cell>
          <cell r="N214">
            <v>0</v>
          </cell>
          <cell r="O214" t="str">
            <v>Опл. лотереи "Омадли инсон"</v>
          </cell>
        </row>
        <row r="215">
          <cell r="A215">
            <v>9</v>
          </cell>
          <cell r="B215">
            <v>214</v>
          </cell>
          <cell r="C215">
            <v>8659</v>
          </cell>
          <cell r="D215">
            <v>195.24</v>
          </cell>
          <cell r="E215">
            <v>9</v>
          </cell>
          <cell r="F215">
            <v>19997.240000000002</v>
          </cell>
          <cell r="H215">
            <v>1</v>
          </cell>
          <cell r="I215">
            <v>0</v>
          </cell>
          <cell r="J215">
            <v>0</v>
          </cell>
          <cell r="K215">
            <v>2029400</v>
          </cell>
          <cell r="L215">
            <v>2029400</v>
          </cell>
          <cell r="M215">
            <v>0</v>
          </cell>
          <cell r="N215">
            <v>0</v>
          </cell>
          <cell r="O215" t="str">
            <v>Опл. лотереи "Омадли инсон"</v>
          </cell>
        </row>
        <row r="216">
          <cell r="A216">
            <v>9</v>
          </cell>
          <cell r="B216">
            <v>214</v>
          </cell>
          <cell r="C216">
            <v>3563</v>
          </cell>
          <cell r="D216">
            <v>195.25</v>
          </cell>
          <cell r="E216">
            <v>9</v>
          </cell>
          <cell r="F216">
            <v>19997.25</v>
          </cell>
          <cell r="H216">
            <v>1</v>
          </cell>
          <cell r="I216">
            <v>0</v>
          </cell>
          <cell r="J216">
            <v>0</v>
          </cell>
          <cell r="K216">
            <v>71900</v>
          </cell>
          <cell r="L216">
            <v>71900</v>
          </cell>
          <cell r="M216">
            <v>0</v>
          </cell>
          <cell r="N216">
            <v>0</v>
          </cell>
          <cell r="O216" t="str">
            <v>Опл. лотереи "Эколот-5"</v>
          </cell>
        </row>
        <row r="217">
          <cell r="A217">
            <v>9</v>
          </cell>
          <cell r="B217">
            <v>214</v>
          </cell>
          <cell r="C217">
            <v>5996</v>
          </cell>
          <cell r="D217">
            <v>195.25</v>
          </cell>
          <cell r="E217">
            <v>9</v>
          </cell>
          <cell r="F217">
            <v>19997.25</v>
          </cell>
          <cell r="H217">
            <v>1</v>
          </cell>
          <cell r="I217">
            <v>0</v>
          </cell>
          <cell r="J217">
            <v>0</v>
          </cell>
          <cell r="K217">
            <v>21200</v>
          </cell>
          <cell r="L217">
            <v>21200</v>
          </cell>
          <cell r="M217">
            <v>0</v>
          </cell>
          <cell r="N217">
            <v>0</v>
          </cell>
          <cell r="O217" t="str">
            <v>Опл. лотереи "Эколот-5"</v>
          </cell>
        </row>
        <row r="218">
          <cell r="A218">
            <v>9</v>
          </cell>
          <cell r="B218">
            <v>214</v>
          </cell>
          <cell r="C218">
            <v>7783</v>
          </cell>
          <cell r="D218">
            <v>195.25</v>
          </cell>
          <cell r="E218">
            <v>9</v>
          </cell>
          <cell r="F218">
            <v>19997.25</v>
          </cell>
          <cell r="H218">
            <v>1</v>
          </cell>
          <cell r="I218">
            <v>0</v>
          </cell>
          <cell r="J218">
            <v>0</v>
          </cell>
          <cell r="K218">
            <v>46900</v>
          </cell>
          <cell r="L218">
            <v>46900</v>
          </cell>
          <cell r="M218">
            <v>0</v>
          </cell>
          <cell r="N218">
            <v>0</v>
          </cell>
          <cell r="O218" t="str">
            <v>Опл. лотереи "Эколот-5"</v>
          </cell>
        </row>
        <row r="219">
          <cell r="A219">
            <v>9</v>
          </cell>
          <cell r="B219">
            <v>214</v>
          </cell>
          <cell r="C219">
            <v>7845</v>
          </cell>
          <cell r="D219">
            <v>195.25</v>
          </cell>
          <cell r="E219">
            <v>9</v>
          </cell>
          <cell r="F219">
            <v>19997.25</v>
          </cell>
          <cell r="H219">
            <v>1</v>
          </cell>
          <cell r="I219">
            <v>0</v>
          </cell>
          <cell r="J219">
            <v>0</v>
          </cell>
          <cell r="K219">
            <v>22700</v>
          </cell>
          <cell r="L219">
            <v>22700</v>
          </cell>
          <cell r="M219">
            <v>0</v>
          </cell>
          <cell r="N219">
            <v>0</v>
          </cell>
          <cell r="O219" t="str">
            <v>Опл. лотереи "Эколот-5"</v>
          </cell>
        </row>
        <row r="220">
          <cell r="A220">
            <v>9</v>
          </cell>
          <cell r="B220">
            <v>214</v>
          </cell>
          <cell r="C220">
            <v>7948</v>
          </cell>
          <cell r="D220">
            <v>195.25</v>
          </cell>
          <cell r="E220">
            <v>9</v>
          </cell>
          <cell r="F220">
            <v>19997.25</v>
          </cell>
          <cell r="H220">
            <v>1</v>
          </cell>
          <cell r="I220">
            <v>0</v>
          </cell>
          <cell r="J220">
            <v>0</v>
          </cell>
          <cell r="K220">
            <v>53400</v>
          </cell>
          <cell r="L220">
            <v>53400</v>
          </cell>
          <cell r="M220">
            <v>0</v>
          </cell>
          <cell r="N220">
            <v>0</v>
          </cell>
          <cell r="O220" t="str">
            <v>Опл. лотереи "Эколот-5"</v>
          </cell>
        </row>
        <row r="221">
          <cell r="A221">
            <v>9</v>
          </cell>
          <cell r="B221">
            <v>214</v>
          </cell>
          <cell r="C221">
            <v>8002</v>
          </cell>
          <cell r="D221">
            <v>195.25</v>
          </cell>
          <cell r="E221">
            <v>9</v>
          </cell>
          <cell r="F221">
            <v>19997.25</v>
          </cell>
          <cell r="H221">
            <v>1</v>
          </cell>
          <cell r="I221">
            <v>0</v>
          </cell>
          <cell r="J221">
            <v>0</v>
          </cell>
          <cell r="K221">
            <v>44400</v>
          </cell>
          <cell r="L221">
            <v>44400</v>
          </cell>
          <cell r="M221">
            <v>0</v>
          </cell>
          <cell r="N221">
            <v>0</v>
          </cell>
          <cell r="O221" t="str">
            <v>Опл. лотереи "Эколот-5"</v>
          </cell>
        </row>
        <row r="222">
          <cell r="A222">
            <v>9</v>
          </cell>
          <cell r="B222">
            <v>214</v>
          </cell>
          <cell r="C222">
            <v>8104</v>
          </cell>
          <cell r="D222">
            <v>195.25</v>
          </cell>
          <cell r="E222">
            <v>9</v>
          </cell>
          <cell r="F222">
            <v>19997.25</v>
          </cell>
          <cell r="H222">
            <v>1</v>
          </cell>
          <cell r="I222">
            <v>0</v>
          </cell>
          <cell r="J222">
            <v>0</v>
          </cell>
          <cell r="K222">
            <v>198600</v>
          </cell>
          <cell r="L222">
            <v>198600</v>
          </cell>
          <cell r="M222">
            <v>0</v>
          </cell>
          <cell r="N222">
            <v>0</v>
          </cell>
          <cell r="O222" t="str">
            <v>Опл. лотереи "Эколот-5"</v>
          </cell>
        </row>
        <row r="223">
          <cell r="A223">
            <v>9</v>
          </cell>
          <cell r="B223">
            <v>214</v>
          </cell>
          <cell r="C223">
            <v>8137</v>
          </cell>
          <cell r="D223">
            <v>195.25</v>
          </cell>
          <cell r="E223">
            <v>9</v>
          </cell>
          <cell r="F223">
            <v>19997.25</v>
          </cell>
          <cell r="H223">
            <v>1</v>
          </cell>
          <cell r="I223">
            <v>0</v>
          </cell>
          <cell r="J223">
            <v>0</v>
          </cell>
          <cell r="K223">
            <v>53500</v>
          </cell>
          <cell r="L223">
            <v>53500</v>
          </cell>
          <cell r="M223">
            <v>0</v>
          </cell>
          <cell r="N223">
            <v>0</v>
          </cell>
          <cell r="O223" t="str">
            <v>Опл. лотереи "Эколот-5"</v>
          </cell>
        </row>
        <row r="224">
          <cell r="A224">
            <v>9</v>
          </cell>
          <cell r="B224">
            <v>214</v>
          </cell>
          <cell r="C224">
            <v>8298</v>
          </cell>
          <cell r="D224">
            <v>195.25</v>
          </cell>
          <cell r="E224">
            <v>9</v>
          </cell>
          <cell r="F224">
            <v>19997.25</v>
          </cell>
          <cell r="H224">
            <v>1</v>
          </cell>
          <cell r="I224">
            <v>0</v>
          </cell>
          <cell r="J224">
            <v>0</v>
          </cell>
          <cell r="K224">
            <v>42500</v>
          </cell>
          <cell r="L224">
            <v>42500</v>
          </cell>
          <cell r="M224">
            <v>0</v>
          </cell>
          <cell r="N224">
            <v>0</v>
          </cell>
          <cell r="O224" t="str">
            <v>Опл. лотереи "Эколот-5"</v>
          </cell>
        </row>
        <row r="225">
          <cell r="A225">
            <v>9</v>
          </cell>
          <cell r="B225">
            <v>214</v>
          </cell>
          <cell r="C225">
            <v>8533</v>
          </cell>
          <cell r="D225">
            <v>195.25</v>
          </cell>
          <cell r="E225">
            <v>9</v>
          </cell>
          <cell r="F225">
            <v>19997.25</v>
          </cell>
          <cell r="H225">
            <v>1</v>
          </cell>
          <cell r="I225">
            <v>0</v>
          </cell>
          <cell r="J225">
            <v>0</v>
          </cell>
          <cell r="K225">
            <v>34000</v>
          </cell>
          <cell r="L225">
            <v>34000</v>
          </cell>
          <cell r="M225">
            <v>0</v>
          </cell>
          <cell r="N225">
            <v>0</v>
          </cell>
          <cell r="O225" t="str">
            <v>Опл. лотереи "Эколот-5"</v>
          </cell>
        </row>
        <row r="226">
          <cell r="A226">
            <v>9</v>
          </cell>
          <cell r="B226">
            <v>214</v>
          </cell>
          <cell r="C226">
            <v>8659</v>
          </cell>
          <cell r="D226">
            <v>195.25</v>
          </cell>
          <cell r="E226">
            <v>9</v>
          </cell>
          <cell r="F226">
            <v>19997.25</v>
          </cell>
          <cell r="H226">
            <v>1</v>
          </cell>
          <cell r="I226">
            <v>0</v>
          </cell>
          <cell r="J226">
            <v>0</v>
          </cell>
          <cell r="K226">
            <v>9600</v>
          </cell>
          <cell r="L226">
            <v>9600</v>
          </cell>
          <cell r="M226">
            <v>0</v>
          </cell>
          <cell r="N226">
            <v>0</v>
          </cell>
          <cell r="O226" t="str">
            <v>Опл. лотереи "Эколот-5"</v>
          </cell>
        </row>
        <row r="227">
          <cell r="A227">
            <v>9</v>
          </cell>
          <cell r="B227">
            <v>214</v>
          </cell>
          <cell r="C227">
            <v>3563</v>
          </cell>
          <cell r="D227">
            <v>195.26</v>
          </cell>
          <cell r="E227">
            <v>9</v>
          </cell>
          <cell r="F227">
            <v>19997.259999999998</v>
          </cell>
          <cell r="H227">
            <v>1</v>
          </cell>
          <cell r="I227">
            <v>0</v>
          </cell>
          <cell r="J227">
            <v>0</v>
          </cell>
          <cell r="K227">
            <v>34300</v>
          </cell>
          <cell r="L227">
            <v>34300</v>
          </cell>
          <cell r="M227">
            <v>0</v>
          </cell>
          <cell r="N227">
            <v>0</v>
          </cell>
          <cell r="O227" t="str">
            <v>Опл. лотереи "Инсон манфаатлари учун" (5 разряд)</v>
          </cell>
        </row>
        <row r="228">
          <cell r="A228">
            <v>9</v>
          </cell>
          <cell r="B228">
            <v>214</v>
          </cell>
          <cell r="C228">
            <v>5996</v>
          </cell>
          <cell r="D228">
            <v>195.26</v>
          </cell>
          <cell r="E228">
            <v>9</v>
          </cell>
          <cell r="F228">
            <v>19997.259999999998</v>
          </cell>
          <cell r="H228">
            <v>1</v>
          </cell>
          <cell r="I228">
            <v>0</v>
          </cell>
          <cell r="J228">
            <v>0</v>
          </cell>
          <cell r="K228">
            <v>58650</v>
          </cell>
          <cell r="L228">
            <v>58650</v>
          </cell>
          <cell r="M228">
            <v>0</v>
          </cell>
          <cell r="N228">
            <v>0</v>
          </cell>
          <cell r="O228" t="str">
            <v>Опл. лотереи "Инсон манфаатлари учун" (5 разряд)</v>
          </cell>
        </row>
        <row r="229">
          <cell r="A229">
            <v>9</v>
          </cell>
          <cell r="B229">
            <v>214</v>
          </cell>
          <cell r="C229">
            <v>7783</v>
          </cell>
          <cell r="D229">
            <v>195.26</v>
          </cell>
          <cell r="E229">
            <v>9</v>
          </cell>
          <cell r="F229">
            <v>19997.259999999998</v>
          </cell>
          <cell r="H229">
            <v>1</v>
          </cell>
          <cell r="I229">
            <v>0</v>
          </cell>
          <cell r="J229">
            <v>0</v>
          </cell>
          <cell r="K229">
            <v>21650</v>
          </cell>
          <cell r="L229">
            <v>21650</v>
          </cell>
          <cell r="M229">
            <v>0</v>
          </cell>
          <cell r="N229">
            <v>0</v>
          </cell>
          <cell r="O229" t="str">
            <v>Опл. лотереи "Инсон манфаатлари учун" (5 разряд)</v>
          </cell>
        </row>
        <row r="230">
          <cell r="A230">
            <v>9</v>
          </cell>
          <cell r="B230">
            <v>214</v>
          </cell>
          <cell r="C230">
            <v>7845</v>
          </cell>
          <cell r="D230">
            <v>195.26</v>
          </cell>
          <cell r="E230">
            <v>9</v>
          </cell>
          <cell r="F230">
            <v>19997.259999999998</v>
          </cell>
          <cell r="H230">
            <v>1</v>
          </cell>
          <cell r="I230">
            <v>0</v>
          </cell>
          <cell r="J230">
            <v>0</v>
          </cell>
          <cell r="K230">
            <v>46450</v>
          </cell>
          <cell r="L230">
            <v>46450</v>
          </cell>
          <cell r="M230">
            <v>0</v>
          </cell>
          <cell r="N230">
            <v>0</v>
          </cell>
          <cell r="O230" t="str">
            <v>Опл. лотереи "Инсон манфаатлари учун" (5 разряд)</v>
          </cell>
        </row>
        <row r="231">
          <cell r="A231">
            <v>9</v>
          </cell>
          <cell r="B231">
            <v>214</v>
          </cell>
          <cell r="C231">
            <v>7948</v>
          </cell>
          <cell r="D231">
            <v>195.26</v>
          </cell>
          <cell r="E231">
            <v>9</v>
          </cell>
          <cell r="F231">
            <v>19997.259999999998</v>
          </cell>
          <cell r="H231">
            <v>1</v>
          </cell>
          <cell r="I231">
            <v>0</v>
          </cell>
          <cell r="J231">
            <v>0</v>
          </cell>
          <cell r="K231">
            <v>47850</v>
          </cell>
          <cell r="L231">
            <v>47850</v>
          </cell>
          <cell r="M231">
            <v>0</v>
          </cell>
          <cell r="N231">
            <v>0</v>
          </cell>
          <cell r="O231" t="str">
            <v>Опл. лотереи "Инсон манфаатлари учун" (5 разряд)</v>
          </cell>
        </row>
        <row r="232">
          <cell r="A232">
            <v>9</v>
          </cell>
          <cell r="B232">
            <v>214</v>
          </cell>
          <cell r="C232">
            <v>8002</v>
          </cell>
          <cell r="D232">
            <v>195.26</v>
          </cell>
          <cell r="E232">
            <v>9</v>
          </cell>
          <cell r="F232">
            <v>19997.259999999998</v>
          </cell>
          <cell r="H232">
            <v>1</v>
          </cell>
          <cell r="I232">
            <v>0</v>
          </cell>
          <cell r="J232">
            <v>0</v>
          </cell>
          <cell r="K232">
            <v>7350</v>
          </cell>
          <cell r="L232">
            <v>7350</v>
          </cell>
          <cell r="M232">
            <v>0</v>
          </cell>
          <cell r="N232">
            <v>0</v>
          </cell>
          <cell r="O232" t="str">
            <v>Опл. лотереи "Инсон манфаатлари учун" (5 разряд)</v>
          </cell>
        </row>
        <row r="233">
          <cell r="A233">
            <v>9</v>
          </cell>
          <cell r="B233">
            <v>214</v>
          </cell>
          <cell r="C233">
            <v>8104</v>
          </cell>
          <cell r="D233">
            <v>195.26</v>
          </cell>
          <cell r="E233">
            <v>9</v>
          </cell>
          <cell r="F233">
            <v>19997.259999999998</v>
          </cell>
          <cell r="H233">
            <v>1</v>
          </cell>
          <cell r="I233">
            <v>0</v>
          </cell>
          <cell r="J233">
            <v>0</v>
          </cell>
          <cell r="K233">
            <v>6150</v>
          </cell>
          <cell r="L233">
            <v>6150</v>
          </cell>
          <cell r="M233">
            <v>0</v>
          </cell>
          <cell r="N233">
            <v>0</v>
          </cell>
          <cell r="O233" t="str">
            <v>Опл. лотереи "Инсон манфаатлари учун" (5 разряд)</v>
          </cell>
        </row>
        <row r="234">
          <cell r="A234">
            <v>9</v>
          </cell>
          <cell r="B234">
            <v>214</v>
          </cell>
          <cell r="C234">
            <v>8137</v>
          </cell>
          <cell r="D234">
            <v>195.26</v>
          </cell>
          <cell r="E234">
            <v>9</v>
          </cell>
          <cell r="F234">
            <v>19997.259999999998</v>
          </cell>
          <cell r="H234">
            <v>1</v>
          </cell>
          <cell r="I234">
            <v>0</v>
          </cell>
          <cell r="J234">
            <v>0</v>
          </cell>
          <cell r="K234">
            <v>6300</v>
          </cell>
          <cell r="L234">
            <v>6300</v>
          </cell>
          <cell r="M234">
            <v>0</v>
          </cell>
          <cell r="N234">
            <v>0</v>
          </cell>
          <cell r="O234" t="str">
            <v>Опл. лотереи "Инсон манфаатлари учун" (5 разряд)</v>
          </cell>
        </row>
        <row r="235">
          <cell r="A235">
            <v>9</v>
          </cell>
          <cell r="B235">
            <v>214</v>
          </cell>
          <cell r="C235">
            <v>8298</v>
          </cell>
          <cell r="D235">
            <v>195.26</v>
          </cell>
          <cell r="E235">
            <v>9</v>
          </cell>
          <cell r="F235">
            <v>19997.259999999998</v>
          </cell>
          <cell r="H235">
            <v>1</v>
          </cell>
          <cell r="I235">
            <v>0</v>
          </cell>
          <cell r="J235">
            <v>0</v>
          </cell>
          <cell r="K235">
            <v>29000</v>
          </cell>
          <cell r="L235">
            <v>29000</v>
          </cell>
          <cell r="M235">
            <v>0</v>
          </cell>
          <cell r="N235">
            <v>0</v>
          </cell>
          <cell r="O235" t="str">
            <v>Опл. лотереи "Инсон манфаатлари учун" (5 разряд)</v>
          </cell>
        </row>
        <row r="236">
          <cell r="A236">
            <v>9</v>
          </cell>
          <cell r="B236">
            <v>214</v>
          </cell>
          <cell r="C236">
            <v>8533</v>
          </cell>
          <cell r="D236">
            <v>195.26</v>
          </cell>
          <cell r="E236">
            <v>9</v>
          </cell>
          <cell r="F236">
            <v>19997.259999999998</v>
          </cell>
          <cell r="H236">
            <v>1</v>
          </cell>
          <cell r="I236">
            <v>0</v>
          </cell>
          <cell r="J236">
            <v>0</v>
          </cell>
          <cell r="K236">
            <v>37950</v>
          </cell>
          <cell r="L236">
            <v>37950</v>
          </cell>
          <cell r="M236">
            <v>0</v>
          </cell>
          <cell r="N236">
            <v>0</v>
          </cell>
          <cell r="O236" t="str">
            <v>Опл. лотереи "Инсон манфаатлари учун" (5 разряд)</v>
          </cell>
        </row>
        <row r="237">
          <cell r="A237">
            <v>9</v>
          </cell>
          <cell r="B237">
            <v>214</v>
          </cell>
          <cell r="C237">
            <v>8659</v>
          </cell>
          <cell r="D237">
            <v>195.26</v>
          </cell>
          <cell r="E237">
            <v>9</v>
          </cell>
          <cell r="F237">
            <v>19997.259999999998</v>
          </cell>
          <cell r="H237">
            <v>1</v>
          </cell>
          <cell r="I237">
            <v>0</v>
          </cell>
          <cell r="J237">
            <v>0</v>
          </cell>
          <cell r="K237">
            <v>31150</v>
          </cell>
          <cell r="L237">
            <v>31150</v>
          </cell>
          <cell r="M237">
            <v>0</v>
          </cell>
          <cell r="N237">
            <v>0</v>
          </cell>
          <cell r="O237" t="str">
            <v>Опл. лотереи "Инсон манфаатлари учун" (5 разряд)</v>
          </cell>
        </row>
        <row r="238">
          <cell r="A238">
            <v>9</v>
          </cell>
          <cell r="B238">
            <v>214</v>
          </cell>
          <cell r="C238">
            <v>3563</v>
          </cell>
          <cell r="D238">
            <v>195.27</v>
          </cell>
          <cell r="E238">
            <v>9</v>
          </cell>
          <cell r="F238">
            <v>19997.27</v>
          </cell>
          <cell r="H238">
            <v>1</v>
          </cell>
          <cell r="I238">
            <v>0</v>
          </cell>
          <cell r="J238">
            <v>0</v>
          </cell>
          <cell r="K238">
            <v>132450</v>
          </cell>
          <cell r="L238">
            <v>132450</v>
          </cell>
          <cell r="M238">
            <v>0</v>
          </cell>
          <cell r="N238">
            <v>0</v>
          </cell>
          <cell r="O238" t="str">
            <v>Опл. лотереи "Эколот-6"</v>
          </cell>
        </row>
        <row r="239">
          <cell r="A239">
            <v>9</v>
          </cell>
          <cell r="B239">
            <v>214</v>
          </cell>
          <cell r="C239">
            <v>7783</v>
          </cell>
          <cell r="D239">
            <v>195.27</v>
          </cell>
          <cell r="E239">
            <v>9</v>
          </cell>
          <cell r="F239">
            <v>19997.27</v>
          </cell>
          <cell r="H239">
            <v>1</v>
          </cell>
          <cell r="I239">
            <v>0</v>
          </cell>
          <cell r="J239">
            <v>0</v>
          </cell>
          <cell r="K239">
            <v>86900</v>
          </cell>
          <cell r="L239">
            <v>86900</v>
          </cell>
          <cell r="M239">
            <v>0</v>
          </cell>
          <cell r="N239">
            <v>0</v>
          </cell>
          <cell r="O239" t="str">
            <v>Опл. лотереи "Эколот-6"</v>
          </cell>
        </row>
        <row r="240">
          <cell r="A240">
            <v>9</v>
          </cell>
          <cell r="B240">
            <v>214</v>
          </cell>
          <cell r="C240">
            <v>7948</v>
          </cell>
          <cell r="D240">
            <v>195.27</v>
          </cell>
          <cell r="E240">
            <v>9</v>
          </cell>
          <cell r="F240">
            <v>19997.27</v>
          </cell>
          <cell r="H240">
            <v>1</v>
          </cell>
          <cell r="I240">
            <v>0</v>
          </cell>
          <cell r="J240">
            <v>0</v>
          </cell>
          <cell r="K240">
            <v>66850</v>
          </cell>
          <cell r="L240">
            <v>66850</v>
          </cell>
          <cell r="M240">
            <v>0</v>
          </cell>
          <cell r="N240">
            <v>0</v>
          </cell>
          <cell r="O240" t="str">
            <v>Опл. лотереи "Эколот-6"</v>
          </cell>
        </row>
        <row r="241">
          <cell r="A241">
            <v>9</v>
          </cell>
          <cell r="B241">
            <v>214</v>
          </cell>
          <cell r="C241">
            <v>8104</v>
          </cell>
          <cell r="D241">
            <v>195.27</v>
          </cell>
          <cell r="E241">
            <v>9</v>
          </cell>
          <cell r="F241">
            <v>19997.27</v>
          </cell>
          <cell r="H241">
            <v>1</v>
          </cell>
          <cell r="I241">
            <v>0</v>
          </cell>
          <cell r="J241">
            <v>0</v>
          </cell>
          <cell r="K241">
            <v>121500</v>
          </cell>
          <cell r="L241">
            <v>121500</v>
          </cell>
          <cell r="M241">
            <v>0</v>
          </cell>
          <cell r="N241">
            <v>0</v>
          </cell>
          <cell r="O241" t="str">
            <v>Опл. лотереи "Эколот-6"</v>
          </cell>
        </row>
        <row r="242">
          <cell r="A242">
            <v>9</v>
          </cell>
          <cell r="B242">
            <v>214</v>
          </cell>
          <cell r="C242">
            <v>8137</v>
          </cell>
          <cell r="D242">
            <v>195.27</v>
          </cell>
          <cell r="E242">
            <v>9</v>
          </cell>
          <cell r="F242">
            <v>19997.27</v>
          </cell>
          <cell r="H242">
            <v>1</v>
          </cell>
          <cell r="I242">
            <v>0</v>
          </cell>
          <cell r="J242">
            <v>0</v>
          </cell>
          <cell r="K242">
            <v>55550</v>
          </cell>
          <cell r="L242">
            <v>55550</v>
          </cell>
          <cell r="M242">
            <v>0</v>
          </cell>
          <cell r="N242">
            <v>0</v>
          </cell>
          <cell r="O242" t="str">
            <v>Опл. лотереи "Эколот-6"</v>
          </cell>
        </row>
        <row r="243">
          <cell r="A243">
            <v>9</v>
          </cell>
          <cell r="B243">
            <v>214</v>
          </cell>
          <cell r="C243">
            <v>3563</v>
          </cell>
          <cell r="D243">
            <v>195.28</v>
          </cell>
          <cell r="E243">
            <v>0</v>
          </cell>
          <cell r="F243">
            <v>19997.28</v>
          </cell>
          <cell r="H243">
            <v>0</v>
          </cell>
          <cell r="I243">
            <v>0</v>
          </cell>
          <cell r="J243">
            <v>0</v>
          </cell>
          <cell r="K243">
            <v>312950</v>
          </cell>
          <cell r="L243">
            <v>312950</v>
          </cell>
          <cell r="M243">
            <v>0</v>
          </cell>
          <cell r="N243">
            <v>0</v>
          </cell>
          <cell r="O243" t="str">
            <v>Опл. лотереи "Эколот-7"</v>
          </cell>
        </row>
        <row r="244">
          <cell r="A244">
            <v>9</v>
          </cell>
          <cell r="B244">
            <v>214</v>
          </cell>
          <cell r="C244">
            <v>5996</v>
          </cell>
          <cell r="D244">
            <v>195.28</v>
          </cell>
          <cell r="E244">
            <v>0</v>
          </cell>
          <cell r="F244">
            <v>19997.28</v>
          </cell>
          <cell r="H244">
            <v>0</v>
          </cell>
          <cell r="I244">
            <v>0</v>
          </cell>
          <cell r="J244">
            <v>0</v>
          </cell>
          <cell r="K244">
            <v>70000</v>
          </cell>
          <cell r="L244">
            <v>70000</v>
          </cell>
          <cell r="M244">
            <v>0</v>
          </cell>
          <cell r="N244">
            <v>0</v>
          </cell>
          <cell r="O244" t="str">
            <v>Опл. лотереи "Эколот-7"</v>
          </cell>
        </row>
        <row r="245">
          <cell r="A245">
            <v>9</v>
          </cell>
          <cell r="B245">
            <v>214</v>
          </cell>
          <cell r="C245">
            <v>7783</v>
          </cell>
          <cell r="D245">
            <v>195.28</v>
          </cell>
          <cell r="E245">
            <v>0</v>
          </cell>
          <cell r="F245">
            <v>19997.28</v>
          </cell>
          <cell r="H245">
            <v>0</v>
          </cell>
          <cell r="I245">
            <v>0</v>
          </cell>
          <cell r="J245">
            <v>0</v>
          </cell>
          <cell r="K245">
            <v>453000</v>
          </cell>
          <cell r="L245">
            <v>453000</v>
          </cell>
          <cell r="M245">
            <v>0</v>
          </cell>
          <cell r="N245">
            <v>0</v>
          </cell>
          <cell r="O245" t="str">
            <v>Опл. лотереи "Эколот-7"</v>
          </cell>
        </row>
        <row r="246">
          <cell r="A246">
            <v>9</v>
          </cell>
          <cell r="B246">
            <v>214</v>
          </cell>
          <cell r="C246">
            <v>7948</v>
          </cell>
          <cell r="D246">
            <v>195.28</v>
          </cell>
          <cell r="E246">
            <v>0</v>
          </cell>
          <cell r="F246">
            <v>19997.28</v>
          </cell>
          <cell r="H246">
            <v>0</v>
          </cell>
          <cell r="I246">
            <v>0</v>
          </cell>
          <cell r="J246">
            <v>0</v>
          </cell>
          <cell r="K246">
            <v>442000</v>
          </cell>
          <cell r="L246">
            <v>442000</v>
          </cell>
          <cell r="M246">
            <v>0</v>
          </cell>
          <cell r="N246">
            <v>0</v>
          </cell>
          <cell r="O246" t="str">
            <v>Опл. лотереи "Эколот-7"</v>
          </cell>
        </row>
        <row r="247">
          <cell r="A247">
            <v>9</v>
          </cell>
          <cell r="B247">
            <v>214</v>
          </cell>
          <cell r="C247">
            <v>8002</v>
          </cell>
          <cell r="D247">
            <v>195.28</v>
          </cell>
          <cell r="E247">
            <v>0</v>
          </cell>
          <cell r="F247">
            <v>19997.28</v>
          </cell>
          <cell r="H247">
            <v>0</v>
          </cell>
          <cell r="I247">
            <v>0</v>
          </cell>
          <cell r="J247">
            <v>0</v>
          </cell>
          <cell r="K247">
            <v>411000</v>
          </cell>
          <cell r="L247">
            <v>411000</v>
          </cell>
          <cell r="M247">
            <v>0</v>
          </cell>
          <cell r="N247">
            <v>0</v>
          </cell>
          <cell r="O247" t="str">
            <v>Опл. лотереи "Эколот-7"</v>
          </cell>
        </row>
        <row r="248">
          <cell r="A248">
            <v>9</v>
          </cell>
          <cell r="B248">
            <v>214</v>
          </cell>
          <cell r="C248">
            <v>8104</v>
          </cell>
          <cell r="D248">
            <v>195.28</v>
          </cell>
          <cell r="E248">
            <v>0</v>
          </cell>
          <cell r="F248">
            <v>19997.28</v>
          </cell>
          <cell r="H248">
            <v>0</v>
          </cell>
          <cell r="I248">
            <v>0</v>
          </cell>
          <cell r="J248">
            <v>0</v>
          </cell>
          <cell r="K248">
            <v>452000</v>
          </cell>
          <cell r="L248">
            <v>452000</v>
          </cell>
          <cell r="M248">
            <v>0</v>
          </cell>
          <cell r="N248">
            <v>0</v>
          </cell>
          <cell r="O248" t="str">
            <v>Опл. лотереи "Эколот-7"</v>
          </cell>
        </row>
        <row r="249">
          <cell r="A249">
            <v>9</v>
          </cell>
          <cell r="B249">
            <v>214</v>
          </cell>
          <cell r="C249">
            <v>8137</v>
          </cell>
          <cell r="D249">
            <v>195.28</v>
          </cell>
          <cell r="E249">
            <v>0</v>
          </cell>
          <cell r="F249">
            <v>19997.28</v>
          </cell>
          <cell r="H249">
            <v>0</v>
          </cell>
          <cell r="I249">
            <v>0</v>
          </cell>
          <cell r="J249">
            <v>0</v>
          </cell>
          <cell r="K249">
            <v>261000</v>
          </cell>
          <cell r="L249">
            <v>261000</v>
          </cell>
          <cell r="M249">
            <v>0</v>
          </cell>
          <cell r="N249">
            <v>0</v>
          </cell>
          <cell r="O249" t="str">
            <v>Опл. лотереи "Эколот-7"</v>
          </cell>
        </row>
        <row r="250">
          <cell r="A250">
            <v>9</v>
          </cell>
          <cell r="B250">
            <v>214</v>
          </cell>
          <cell r="C250">
            <v>8298</v>
          </cell>
          <cell r="D250">
            <v>195.28</v>
          </cell>
          <cell r="E250">
            <v>0</v>
          </cell>
          <cell r="F250">
            <v>19997.28</v>
          </cell>
          <cell r="H250">
            <v>0</v>
          </cell>
          <cell r="I250">
            <v>0</v>
          </cell>
          <cell r="J250">
            <v>0</v>
          </cell>
          <cell r="K250">
            <v>10000</v>
          </cell>
          <cell r="L250">
            <v>10000</v>
          </cell>
          <cell r="M250">
            <v>0</v>
          </cell>
          <cell r="N250">
            <v>0</v>
          </cell>
          <cell r="O250" t="str">
            <v>Опл. лотереи "Эколот-7"</v>
          </cell>
        </row>
        <row r="251">
          <cell r="A251">
            <v>9</v>
          </cell>
          <cell r="B251">
            <v>214</v>
          </cell>
          <cell r="C251">
            <v>3563</v>
          </cell>
          <cell r="D251">
            <v>195.3</v>
          </cell>
          <cell r="E251">
            <v>0</v>
          </cell>
          <cell r="F251">
            <v>19997.3</v>
          </cell>
          <cell r="H251">
            <v>0</v>
          </cell>
          <cell r="I251">
            <v>0</v>
          </cell>
          <cell r="J251">
            <v>0</v>
          </cell>
          <cell r="K251">
            <v>401700</v>
          </cell>
          <cell r="L251">
            <v>401700</v>
          </cell>
          <cell r="M251">
            <v>0</v>
          </cell>
          <cell r="N251">
            <v>0</v>
          </cell>
          <cell r="O251" t="str">
            <v>Опл. лотереи "Эколот-8"</v>
          </cell>
        </row>
        <row r="252">
          <cell r="A252">
            <v>9</v>
          </cell>
          <cell r="B252">
            <v>214</v>
          </cell>
          <cell r="C252">
            <v>5996</v>
          </cell>
          <cell r="D252">
            <v>195.3</v>
          </cell>
          <cell r="E252">
            <v>0</v>
          </cell>
          <cell r="F252">
            <v>19997.3</v>
          </cell>
          <cell r="H252">
            <v>0</v>
          </cell>
          <cell r="I252">
            <v>0</v>
          </cell>
          <cell r="J252">
            <v>0</v>
          </cell>
          <cell r="K252">
            <v>77800</v>
          </cell>
          <cell r="L252">
            <v>77800</v>
          </cell>
          <cell r="M252">
            <v>0</v>
          </cell>
          <cell r="N252">
            <v>0</v>
          </cell>
          <cell r="O252" t="str">
            <v>Опл. лотереи "Эколот-8"</v>
          </cell>
        </row>
        <row r="253">
          <cell r="A253">
            <v>9</v>
          </cell>
          <cell r="B253">
            <v>214</v>
          </cell>
          <cell r="C253">
            <v>7783</v>
          </cell>
          <cell r="D253">
            <v>195.3</v>
          </cell>
          <cell r="E253">
            <v>0</v>
          </cell>
          <cell r="F253">
            <v>19997.3</v>
          </cell>
          <cell r="H253">
            <v>0</v>
          </cell>
          <cell r="I253">
            <v>0</v>
          </cell>
          <cell r="J253">
            <v>0</v>
          </cell>
          <cell r="K253">
            <v>174700</v>
          </cell>
          <cell r="L253">
            <v>174700</v>
          </cell>
          <cell r="M253">
            <v>0</v>
          </cell>
          <cell r="N253">
            <v>0</v>
          </cell>
          <cell r="O253" t="str">
            <v>Опл. лотереи "Эколот-8"</v>
          </cell>
        </row>
        <row r="254">
          <cell r="A254">
            <v>9</v>
          </cell>
          <cell r="B254">
            <v>214</v>
          </cell>
          <cell r="C254">
            <v>7948</v>
          </cell>
          <cell r="D254">
            <v>195.3</v>
          </cell>
          <cell r="E254">
            <v>0</v>
          </cell>
          <cell r="F254">
            <v>19997.3</v>
          </cell>
          <cell r="H254">
            <v>0</v>
          </cell>
          <cell r="I254">
            <v>0</v>
          </cell>
          <cell r="J254">
            <v>0</v>
          </cell>
          <cell r="K254">
            <v>455500</v>
          </cell>
          <cell r="L254">
            <v>455500</v>
          </cell>
          <cell r="M254">
            <v>0</v>
          </cell>
          <cell r="N254">
            <v>0</v>
          </cell>
          <cell r="O254" t="str">
            <v>Опл. лотереи "Эколот-8"</v>
          </cell>
        </row>
        <row r="255">
          <cell r="A255">
            <v>9</v>
          </cell>
          <cell r="B255">
            <v>214</v>
          </cell>
          <cell r="C255">
            <v>8002</v>
          </cell>
          <cell r="D255">
            <v>195.3</v>
          </cell>
          <cell r="E255">
            <v>0</v>
          </cell>
          <cell r="F255">
            <v>19997.3</v>
          </cell>
          <cell r="H255">
            <v>0</v>
          </cell>
          <cell r="I255">
            <v>0</v>
          </cell>
          <cell r="J255">
            <v>0</v>
          </cell>
          <cell r="K255">
            <v>176800</v>
          </cell>
          <cell r="L255">
            <v>176800</v>
          </cell>
          <cell r="M255">
            <v>0</v>
          </cell>
          <cell r="N255">
            <v>0</v>
          </cell>
          <cell r="O255" t="str">
            <v>Опл. лотереи "Эколот-8"</v>
          </cell>
        </row>
        <row r="256">
          <cell r="A256">
            <v>9</v>
          </cell>
          <cell r="B256">
            <v>214</v>
          </cell>
          <cell r="C256">
            <v>8104</v>
          </cell>
          <cell r="D256">
            <v>195.3</v>
          </cell>
          <cell r="E256">
            <v>0</v>
          </cell>
          <cell r="F256">
            <v>19997.3</v>
          </cell>
          <cell r="H256">
            <v>0</v>
          </cell>
          <cell r="I256">
            <v>0</v>
          </cell>
          <cell r="J256">
            <v>0</v>
          </cell>
          <cell r="K256">
            <v>223300</v>
          </cell>
          <cell r="L256">
            <v>223300</v>
          </cell>
          <cell r="M256">
            <v>0</v>
          </cell>
          <cell r="N256">
            <v>0</v>
          </cell>
          <cell r="O256" t="str">
            <v>Опл. лотереи "Эколот-8"</v>
          </cell>
        </row>
        <row r="257">
          <cell r="A257">
            <v>9</v>
          </cell>
          <cell r="B257">
            <v>214</v>
          </cell>
          <cell r="C257">
            <v>8137</v>
          </cell>
          <cell r="D257">
            <v>195.3</v>
          </cell>
          <cell r="E257">
            <v>0</v>
          </cell>
          <cell r="F257">
            <v>19997.3</v>
          </cell>
          <cell r="H257">
            <v>0</v>
          </cell>
          <cell r="I257">
            <v>0</v>
          </cell>
          <cell r="J257">
            <v>0</v>
          </cell>
          <cell r="K257">
            <v>179200</v>
          </cell>
          <cell r="L257">
            <v>179200</v>
          </cell>
          <cell r="M257">
            <v>0</v>
          </cell>
          <cell r="N257">
            <v>0</v>
          </cell>
          <cell r="O257" t="str">
            <v>Опл. лотереи "Эколот-8"</v>
          </cell>
        </row>
        <row r="258">
          <cell r="A258">
            <v>9</v>
          </cell>
          <cell r="B258">
            <v>214</v>
          </cell>
          <cell r="C258">
            <v>8298</v>
          </cell>
          <cell r="D258">
            <v>195.3</v>
          </cell>
          <cell r="E258">
            <v>0</v>
          </cell>
          <cell r="F258">
            <v>19997.3</v>
          </cell>
          <cell r="H258">
            <v>0</v>
          </cell>
          <cell r="I258">
            <v>0</v>
          </cell>
          <cell r="J258">
            <v>0</v>
          </cell>
          <cell r="K258">
            <v>209400</v>
          </cell>
          <cell r="L258">
            <v>209400</v>
          </cell>
          <cell r="M258">
            <v>0</v>
          </cell>
          <cell r="N258">
            <v>0</v>
          </cell>
          <cell r="O258" t="str">
            <v>Опл. лотереи "Эколот-8"</v>
          </cell>
        </row>
        <row r="259">
          <cell r="A259">
            <v>9</v>
          </cell>
          <cell r="B259">
            <v>214</v>
          </cell>
          <cell r="C259">
            <v>3563</v>
          </cell>
          <cell r="D259">
            <v>195.31</v>
          </cell>
          <cell r="E259">
            <v>0</v>
          </cell>
          <cell r="F259">
            <v>19997.310000000001</v>
          </cell>
          <cell r="H259">
            <v>0</v>
          </cell>
          <cell r="I259">
            <v>0</v>
          </cell>
          <cell r="J259">
            <v>0</v>
          </cell>
          <cell r="K259">
            <v>451975</v>
          </cell>
          <cell r="L259">
            <v>451975</v>
          </cell>
          <cell r="M259">
            <v>0</v>
          </cell>
          <cell r="N259">
            <v>0</v>
          </cell>
          <cell r="O259" t="str">
            <v>Опл. лотереи "Эколот-9"</v>
          </cell>
        </row>
        <row r="260">
          <cell r="A260">
            <v>9</v>
          </cell>
          <cell r="B260">
            <v>214</v>
          </cell>
          <cell r="C260">
            <v>5996</v>
          </cell>
          <cell r="D260">
            <v>195.31</v>
          </cell>
          <cell r="E260">
            <v>0</v>
          </cell>
          <cell r="F260">
            <v>19997.310000000001</v>
          </cell>
          <cell r="H260">
            <v>0</v>
          </cell>
          <cell r="I260">
            <v>0</v>
          </cell>
          <cell r="J260">
            <v>0</v>
          </cell>
          <cell r="K260">
            <v>634900</v>
          </cell>
          <cell r="L260">
            <v>634900</v>
          </cell>
          <cell r="M260">
            <v>0</v>
          </cell>
          <cell r="N260">
            <v>0</v>
          </cell>
          <cell r="O260" t="str">
            <v>Опл. лотереи "Эколот-9"</v>
          </cell>
        </row>
        <row r="261">
          <cell r="A261">
            <v>9</v>
          </cell>
          <cell r="B261">
            <v>214</v>
          </cell>
          <cell r="C261">
            <v>7783</v>
          </cell>
          <cell r="D261">
            <v>195.31</v>
          </cell>
          <cell r="E261">
            <v>0</v>
          </cell>
          <cell r="F261">
            <v>19997.310000000001</v>
          </cell>
          <cell r="H261">
            <v>0</v>
          </cell>
          <cell r="I261">
            <v>0</v>
          </cell>
          <cell r="J261">
            <v>0</v>
          </cell>
          <cell r="K261">
            <v>435550</v>
          </cell>
          <cell r="L261">
            <v>435550</v>
          </cell>
          <cell r="M261">
            <v>0</v>
          </cell>
          <cell r="N261">
            <v>0</v>
          </cell>
          <cell r="O261" t="str">
            <v>Опл. лотереи "Эколот-9"</v>
          </cell>
        </row>
        <row r="262">
          <cell r="A262">
            <v>9</v>
          </cell>
          <cell r="B262">
            <v>214</v>
          </cell>
          <cell r="C262">
            <v>7845</v>
          </cell>
          <cell r="D262">
            <v>195.31</v>
          </cell>
          <cell r="E262">
            <v>0</v>
          </cell>
          <cell r="F262">
            <v>19997.310000000001</v>
          </cell>
          <cell r="H262">
            <v>0</v>
          </cell>
          <cell r="I262">
            <v>0</v>
          </cell>
          <cell r="J262">
            <v>0</v>
          </cell>
          <cell r="K262">
            <v>851475</v>
          </cell>
          <cell r="L262">
            <v>851475</v>
          </cell>
          <cell r="M262">
            <v>0</v>
          </cell>
          <cell r="N262">
            <v>0</v>
          </cell>
          <cell r="O262" t="str">
            <v>Опл. лотереи "Эколот-9"</v>
          </cell>
        </row>
        <row r="263">
          <cell r="A263">
            <v>9</v>
          </cell>
          <cell r="B263">
            <v>214</v>
          </cell>
          <cell r="C263">
            <v>7948</v>
          </cell>
          <cell r="D263">
            <v>195.31</v>
          </cell>
          <cell r="E263">
            <v>0</v>
          </cell>
          <cell r="F263">
            <v>19997.310000000001</v>
          </cell>
          <cell r="H263">
            <v>0</v>
          </cell>
          <cell r="I263">
            <v>0</v>
          </cell>
          <cell r="J263">
            <v>0</v>
          </cell>
          <cell r="K263">
            <v>934900</v>
          </cell>
          <cell r="L263">
            <v>934900</v>
          </cell>
          <cell r="M263">
            <v>0</v>
          </cell>
          <cell r="N263">
            <v>0</v>
          </cell>
          <cell r="O263" t="str">
            <v>Опл. лотереи "Эколот-9"</v>
          </cell>
        </row>
        <row r="264">
          <cell r="A264">
            <v>9</v>
          </cell>
          <cell r="B264">
            <v>214</v>
          </cell>
          <cell r="C264">
            <v>8002</v>
          </cell>
          <cell r="D264">
            <v>195.31</v>
          </cell>
          <cell r="E264">
            <v>0</v>
          </cell>
          <cell r="F264">
            <v>19997.310000000001</v>
          </cell>
          <cell r="H264">
            <v>0</v>
          </cell>
          <cell r="I264">
            <v>0</v>
          </cell>
          <cell r="J264">
            <v>0</v>
          </cell>
          <cell r="K264">
            <v>677500</v>
          </cell>
          <cell r="L264">
            <v>677500</v>
          </cell>
          <cell r="M264">
            <v>0</v>
          </cell>
          <cell r="N264">
            <v>0</v>
          </cell>
          <cell r="O264" t="str">
            <v>Опл. лотереи "Эколот-9"</v>
          </cell>
        </row>
        <row r="265">
          <cell r="A265">
            <v>9</v>
          </cell>
          <cell r="B265">
            <v>214</v>
          </cell>
          <cell r="C265">
            <v>8104</v>
          </cell>
          <cell r="D265">
            <v>195.31</v>
          </cell>
          <cell r="E265">
            <v>0</v>
          </cell>
          <cell r="F265">
            <v>19997.310000000001</v>
          </cell>
          <cell r="H265">
            <v>0</v>
          </cell>
          <cell r="I265">
            <v>0</v>
          </cell>
          <cell r="J265">
            <v>0</v>
          </cell>
          <cell r="K265">
            <v>140500</v>
          </cell>
          <cell r="L265">
            <v>140500</v>
          </cell>
          <cell r="M265">
            <v>0</v>
          </cell>
          <cell r="N265">
            <v>0</v>
          </cell>
          <cell r="O265" t="str">
            <v>Опл. лотереи "Эколот-9"</v>
          </cell>
        </row>
        <row r="266">
          <cell r="A266">
            <v>9</v>
          </cell>
          <cell r="B266">
            <v>214</v>
          </cell>
          <cell r="C266">
            <v>8137</v>
          </cell>
          <cell r="D266">
            <v>195.31</v>
          </cell>
          <cell r="E266">
            <v>0</v>
          </cell>
          <cell r="F266">
            <v>19997.310000000001</v>
          </cell>
          <cell r="H266">
            <v>0</v>
          </cell>
          <cell r="I266">
            <v>0</v>
          </cell>
          <cell r="J266">
            <v>0</v>
          </cell>
          <cell r="K266">
            <v>221850</v>
          </cell>
          <cell r="L266">
            <v>221850</v>
          </cell>
          <cell r="M266">
            <v>0</v>
          </cell>
          <cell r="N266">
            <v>0</v>
          </cell>
          <cell r="O266" t="str">
            <v>Опл. лотереи "Эколот-9"</v>
          </cell>
        </row>
        <row r="267">
          <cell r="A267">
            <v>9</v>
          </cell>
          <cell r="B267">
            <v>214</v>
          </cell>
          <cell r="C267">
            <v>8298</v>
          </cell>
          <cell r="D267">
            <v>195.31</v>
          </cell>
          <cell r="E267">
            <v>0</v>
          </cell>
          <cell r="F267">
            <v>19997.310000000001</v>
          </cell>
          <cell r="H267">
            <v>0</v>
          </cell>
          <cell r="I267">
            <v>0</v>
          </cell>
          <cell r="J267">
            <v>0</v>
          </cell>
          <cell r="K267">
            <v>362300</v>
          </cell>
          <cell r="L267">
            <v>362300</v>
          </cell>
          <cell r="M267">
            <v>0</v>
          </cell>
          <cell r="N267">
            <v>0</v>
          </cell>
          <cell r="O267" t="str">
            <v>Опл. лотереи "Эколот-9"</v>
          </cell>
        </row>
        <row r="268">
          <cell r="A268">
            <v>9</v>
          </cell>
          <cell r="B268">
            <v>214</v>
          </cell>
          <cell r="C268">
            <v>8533</v>
          </cell>
          <cell r="D268">
            <v>195.31</v>
          </cell>
          <cell r="E268">
            <v>0</v>
          </cell>
          <cell r="F268">
            <v>19997.310000000001</v>
          </cell>
          <cell r="H268">
            <v>0</v>
          </cell>
          <cell r="I268">
            <v>0</v>
          </cell>
          <cell r="J268">
            <v>0</v>
          </cell>
          <cell r="K268">
            <v>61600</v>
          </cell>
          <cell r="L268">
            <v>61600</v>
          </cell>
          <cell r="M268">
            <v>0</v>
          </cell>
          <cell r="N268">
            <v>0</v>
          </cell>
          <cell r="O268" t="str">
            <v>Опл. лотереи "Эколот-9"</v>
          </cell>
        </row>
        <row r="269">
          <cell r="A269">
            <v>9</v>
          </cell>
          <cell r="B269">
            <v>214</v>
          </cell>
          <cell r="C269">
            <v>8659</v>
          </cell>
          <cell r="D269">
            <v>195.31</v>
          </cell>
          <cell r="E269">
            <v>0</v>
          </cell>
          <cell r="F269">
            <v>19997.310000000001</v>
          </cell>
          <cell r="H269">
            <v>0</v>
          </cell>
          <cell r="I269">
            <v>0</v>
          </cell>
          <cell r="J269">
            <v>0</v>
          </cell>
          <cell r="K269">
            <v>431350</v>
          </cell>
          <cell r="L269">
            <v>431350</v>
          </cell>
          <cell r="M269">
            <v>0</v>
          </cell>
          <cell r="N269">
            <v>0</v>
          </cell>
          <cell r="O269" t="str">
            <v>Опл. лотереи "Эколот-9"</v>
          </cell>
        </row>
        <row r="270">
          <cell r="A270">
            <v>9</v>
          </cell>
          <cell r="B270">
            <v>214</v>
          </cell>
          <cell r="C270">
            <v>3563</v>
          </cell>
          <cell r="D270">
            <v>198.07</v>
          </cell>
          <cell r="E270">
            <v>9</v>
          </cell>
          <cell r="F270">
            <v>29896.07</v>
          </cell>
          <cell r="H270">
            <v>2</v>
          </cell>
          <cell r="I270">
            <v>0</v>
          </cell>
          <cell r="J270">
            <v>10650</v>
          </cell>
          <cell r="K270">
            <v>10650</v>
          </cell>
          <cell r="L270">
            <v>0</v>
          </cell>
          <cell r="M270">
            <v>0</v>
          </cell>
          <cell r="N270">
            <v>0</v>
          </cell>
          <cell r="O270" t="str">
            <v>Расчеты по местным лотереям</v>
          </cell>
        </row>
        <row r="271">
          <cell r="A271">
            <v>9</v>
          </cell>
          <cell r="B271">
            <v>214</v>
          </cell>
          <cell r="C271">
            <v>7948</v>
          </cell>
          <cell r="D271">
            <v>198.07</v>
          </cell>
          <cell r="E271">
            <v>9</v>
          </cell>
          <cell r="F271">
            <v>29896.07</v>
          </cell>
          <cell r="H271">
            <v>2</v>
          </cell>
          <cell r="I271">
            <v>0</v>
          </cell>
          <cell r="J271">
            <v>8000</v>
          </cell>
          <cell r="K271">
            <v>8000</v>
          </cell>
          <cell r="L271">
            <v>0</v>
          </cell>
          <cell r="M271">
            <v>0</v>
          </cell>
          <cell r="N271">
            <v>0</v>
          </cell>
          <cell r="O271" t="str">
            <v>Расчеты по местным лотереям</v>
          </cell>
        </row>
        <row r="272">
          <cell r="A272">
            <v>9</v>
          </cell>
          <cell r="B272">
            <v>214</v>
          </cell>
          <cell r="C272">
            <v>8104</v>
          </cell>
          <cell r="D272">
            <v>198.07</v>
          </cell>
          <cell r="E272">
            <v>9</v>
          </cell>
          <cell r="F272">
            <v>29896.07</v>
          </cell>
          <cell r="H272">
            <v>2</v>
          </cell>
          <cell r="I272">
            <v>0</v>
          </cell>
          <cell r="J272">
            <v>27100</v>
          </cell>
          <cell r="K272">
            <v>27100</v>
          </cell>
          <cell r="L272">
            <v>0</v>
          </cell>
          <cell r="M272">
            <v>0</v>
          </cell>
          <cell r="N272">
            <v>0</v>
          </cell>
          <cell r="O272" t="str">
            <v>Расчеты по местным лотереям</v>
          </cell>
        </row>
        <row r="273">
          <cell r="A273">
            <v>9</v>
          </cell>
          <cell r="B273">
            <v>214</v>
          </cell>
          <cell r="C273">
            <v>8533</v>
          </cell>
          <cell r="D273">
            <v>198.07</v>
          </cell>
          <cell r="E273">
            <v>9</v>
          </cell>
          <cell r="F273">
            <v>29896.07</v>
          </cell>
          <cell r="H273">
            <v>2</v>
          </cell>
          <cell r="I273">
            <v>0</v>
          </cell>
          <cell r="J273">
            <v>1100</v>
          </cell>
          <cell r="K273">
            <v>1100</v>
          </cell>
          <cell r="L273">
            <v>0</v>
          </cell>
          <cell r="M273">
            <v>0</v>
          </cell>
          <cell r="N273">
            <v>0</v>
          </cell>
          <cell r="O273" t="str">
            <v>Расчеты по местным лотереям</v>
          </cell>
        </row>
        <row r="274">
          <cell r="A274">
            <v>9</v>
          </cell>
          <cell r="B274">
            <v>214</v>
          </cell>
          <cell r="C274">
            <v>8659</v>
          </cell>
          <cell r="D274">
            <v>198.07</v>
          </cell>
          <cell r="E274">
            <v>9</v>
          </cell>
          <cell r="F274">
            <v>29896.07</v>
          </cell>
          <cell r="H274">
            <v>2</v>
          </cell>
          <cell r="I274">
            <v>0</v>
          </cell>
          <cell r="J274">
            <v>2000</v>
          </cell>
          <cell r="K274">
            <v>2000</v>
          </cell>
          <cell r="L274">
            <v>0</v>
          </cell>
          <cell r="M274">
            <v>0</v>
          </cell>
          <cell r="N274">
            <v>0</v>
          </cell>
          <cell r="O274" t="str">
            <v>Расчеты по местным лотереям</v>
          </cell>
        </row>
        <row r="275">
          <cell r="A275">
            <v>9</v>
          </cell>
          <cell r="B275">
            <v>214</v>
          </cell>
          <cell r="C275">
            <v>7845</v>
          </cell>
          <cell r="D275">
            <v>198.11</v>
          </cell>
          <cell r="E275">
            <v>9</v>
          </cell>
          <cell r="F275">
            <v>29896.11</v>
          </cell>
          <cell r="H275">
            <v>2</v>
          </cell>
          <cell r="I275">
            <v>0</v>
          </cell>
          <cell r="J275">
            <v>14931.44</v>
          </cell>
          <cell r="K275">
            <v>14931.44</v>
          </cell>
          <cell r="L275">
            <v>0</v>
          </cell>
          <cell r="M275">
            <v>0</v>
          </cell>
          <cell r="N275">
            <v>0</v>
          </cell>
          <cell r="O275" t="str">
            <v>"Sprint-Mexribonlik-2" lotereyasi bo`yicha xisob-kitoblar</v>
          </cell>
        </row>
        <row r="276">
          <cell r="A276">
            <v>9</v>
          </cell>
          <cell r="B276">
            <v>214</v>
          </cell>
          <cell r="C276">
            <v>8104</v>
          </cell>
          <cell r="D276">
            <v>198.11</v>
          </cell>
          <cell r="E276">
            <v>9</v>
          </cell>
          <cell r="F276">
            <v>29896.11</v>
          </cell>
          <cell r="H276">
            <v>2</v>
          </cell>
          <cell r="I276">
            <v>0</v>
          </cell>
          <cell r="J276">
            <v>273775</v>
          </cell>
          <cell r="K276">
            <v>273775</v>
          </cell>
          <cell r="L276">
            <v>0</v>
          </cell>
          <cell r="M276">
            <v>0</v>
          </cell>
          <cell r="N276">
            <v>0</v>
          </cell>
          <cell r="O276" t="str">
            <v>"Sprint-Mexribonlik-2" lotereyasi bo`yicha xisob-kitoblar</v>
          </cell>
        </row>
        <row r="277">
          <cell r="A277">
            <v>9</v>
          </cell>
          <cell r="B277">
            <v>214</v>
          </cell>
          <cell r="C277">
            <v>8137</v>
          </cell>
          <cell r="D277">
            <v>198.11</v>
          </cell>
          <cell r="E277">
            <v>9</v>
          </cell>
          <cell r="F277">
            <v>29896.11</v>
          </cell>
          <cell r="H277">
            <v>2</v>
          </cell>
          <cell r="I277">
            <v>0</v>
          </cell>
          <cell r="J277">
            <v>80432</v>
          </cell>
          <cell r="K277">
            <v>80432</v>
          </cell>
          <cell r="L277">
            <v>0</v>
          </cell>
          <cell r="M277">
            <v>0</v>
          </cell>
          <cell r="N277">
            <v>0</v>
          </cell>
          <cell r="O277" t="str">
            <v>"Sprint-Mexribonlik-2" lotereyasi bo`yicha xisob-kitoblar</v>
          </cell>
        </row>
        <row r="278">
          <cell r="A278">
            <v>9</v>
          </cell>
          <cell r="B278">
            <v>214</v>
          </cell>
          <cell r="C278">
            <v>8298</v>
          </cell>
          <cell r="D278">
            <v>198.11</v>
          </cell>
          <cell r="E278">
            <v>9</v>
          </cell>
          <cell r="F278">
            <v>29896.11</v>
          </cell>
          <cell r="H278">
            <v>2</v>
          </cell>
          <cell r="I278">
            <v>0</v>
          </cell>
          <cell r="J278">
            <v>129550</v>
          </cell>
          <cell r="K278">
            <v>0</v>
          </cell>
          <cell r="L278">
            <v>0</v>
          </cell>
          <cell r="M278">
            <v>0</v>
          </cell>
          <cell r="N278">
            <v>129550</v>
          </cell>
          <cell r="O278" t="str">
            <v>"Sprint-Mexribonlik-2" lotereyasi bo`yicha xisob-kitoblar</v>
          </cell>
        </row>
        <row r="279">
          <cell r="A279">
            <v>9</v>
          </cell>
          <cell r="B279">
            <v>214</v>
          </cell>
          <cell r="C279">
            <v>8533</v>
          </cell>
          <cell r="D279">
            <v>198.11</v>
          </cell>
          <cell r="E279">
            <v>9</v>
          </cell>
          <cell r="F279">
            <v>29896.11</v>
          </cell>
          <cell r="H279">
            <v>2</v>
          </cell>
          <cell r="I279">
            <v>0</v>
          </cell>
          <cell r="J279">
            <v>16200</v>
          </cell>
          <cell r="K279">
            <v>39325</v>
          </cell>
          <cell r="L279">
            <v>23125</v>
          </cell>
          <cell r="M279">
            <v>0</v>
          </cell>
          <cell r="N279">
            <v>0</v>
          </cell>
          <cell r="O279" t="str">
            <v>"Sprint-Mexribonlik-2" lotereyasi bo`yicha xisob-kitoblar</v>
          </cell>
        </row>
        <row r="280">
          <cell r="A280">
            <v>9</v>
          </cell>
          <cell r="B280">
            <v>214</v>
          </cell>
          <cell r="C280">
            <v>8659</v>
          </cell>
          <cell r="D280">
            <v>198.11</v>
          </cell>
          <cell r="E280">
            <v>9</v>
          </cell>
          <cell r="F280">
            <v>29896.11</v>
          </cell>
          <cell r="H280">
            <v>2</v>
          </cell>
          <cell r="I280">
            <v>0</v>
          </cell>
          <cell r="J280">
            <v>46030.25</v>
          </cell>
          <cell r="K280">
            <v>46050.12</v>
          </cell>
          <cell r="L280">
            <v>19.87</v>
          </cell>
          <cell r="M280">
            <v>0</v>
          </cell>
          <cell r="N280">
            <v>0</v>
          </cell>
          <cell r="O280" t="str">
            <v>"Sprint-Mexribonlik-2" lotereyasi bo`yicha xisob-kitoblar</v>
          </cell>
        </row>
        <row r="281">
          <cell r="A281">
            <v>9</v>
          </cell>
          <cell r="B281">
            <v>214</v>
          </cell>
          <cell r="C281">
            <v>3563</v>
          </cell>
          <cell r="D281">
            <v>198.12</v>
          </cell>
          <cell r="E281">
            <v>9</v>
          </cell>
          <cell r="F281">
            <v>29896.12</v>
          </cell>
          <cell r="H281">
            <v>2</v>
          </cell>
          <cell r="I281">
            <v>0</v>
          </cell>
          <cell r="J281">
            <v>3067.7</v>
          </cell>
          <cell r="K281">
            <v>3067.7</v>
          </cell>
          <cell r="L281">
            <v>0</v>
          </cell>
          <cell r="M281">
            <v>0</v>
          </cell>
          <cell r="N281">
            <v>0</v>
          </cell>
          <cell r="O281" t="str">
            <v>"Baxt qushi" lotereyasi bo`yicha xisob-kitoblar</v>
          </cell>
        </row>
        <row r="282">
          <cell r="A282">
            <v>9</v>
          </cell>
          <cell r="B282">
            <v>214</v>
          </cell>
          <cell r="C282">
            <v>7948</v>
          </cell>
          <cell r="D282">
            <v>198.12</v>
          </cell>
          <cell r="E282">
            <v>9</v>
          </cell>
          <cell r="F282">
            <v>29896.12</v>
          </cell>
          <cell r="H282">
            <v>2</v>
          </cell>
          <cell r="I282">
            <v>0</v>
          </cell>
          <cell r="J282">
            <v>79580</v>
          </cell>
          <cell r="K282">
            <v>79580</v>
          </cell>
          <cell r="L282">
            <v>0</v>
          </cell>
          <cell r="M282">
            <v>0</v>
          </cell>
          <cell r="N282">
            <v>0</v>
          </cell>
          <cell r="O282" t="str">
            <v>"Baxt qushi" lotereyasi bo`yicha xisob-kitoblar</v>
          </cell>
        </row>
        <row r="283">
          <cell r="A283">
            <v>9</v>
          </cell>
          <cell r="B283">
            <v>214</v>
          </cell>
          <cell r="C283">
            <v>8298</v>
          </cell>
          <cell r="D283">
            <v>198.12</v>
          </cell>
          <cell r="E283">
            <v>9</v>
          </cell>
          <cell r="F283">
            <v>29896.12</v>
          </cell>
          <cell r="H283">
            <v>2</v>
          </cell>
          <cell r="I283">
            <v>0</v>
          </cell>
          <cell r="J283">
            <v>0</v>
          </cell>
          <cell r="K283">
            <v>600</v>
          </cell>
          <cell r="L283">
            <v>600</v>
          </cell>
          <cell r="M283">
            <v>0</v>
          </cell>
          <cell r="N283">
            <v>0</v>
          </cell>
          <cell r="O283" t="str">
            <v>"Baxt qushi" lotereyasi bo`yicha xisob-kitoblar</v>
          </cell>
        </row>
        <row r="284">
          <cell r="A284">
            <v>9</v>
          </cell>
          <cell r="B284">
            <v>214</v>
          </cell>
          <cell r="C284">
            <v>8533</v>
          </cell>
          <cell r="D284">
            <v>198.12</v>
          </cell>
          <cell r="E284">
            <v>9</v>
          </cell>
          <cell r="F284">
            <v>29896.12</v>
          </cell>
          <cell r="H284">
            <v>2</v>
          </cell>
          <cell r="I284">
            <v>0</v>
          </cell>
          <cell r="J284">
            <v>20500</v>
          </cell>
          <cell r="K284">
            <v>66000</v>
          </cell>
          <cell r="L284">
            <v>45500</v>
          </cell>
          <cell r="M284">
            <v>0</v>
          </cell>
          <cell r="N284">
            <v>0</v>
          </cell>
          <cell r="O284" t="str">
            <v>"Baxt qushi" lotereyasi bo`yicha xisob-kitoblar</v>
          </cell>
        </row>
        <row r="285">
          <cell r="A285">
            <v>9</v>
          </cell>
          <cell r="B285">
            <v>214</v>
          </cell>
          <cell r="C285">
            <v>8659</v>
          </cell>
          <cell r="D285">
            <v>198.12</v>
          </cell>
          <cell r="E285">
            <v>9</v>
          </cell>
          <cell r="F285">
            <v>29896.12</v>
          </cell>
          <cell r="H285">
            <v>2</v>
          </cell>
          <cell r="I285">
            <v>0</v>
          </cell>
          <cell r="J285">
            <v>5909.12</v>
          </cell>
          <cell r="K285">
            <v>5909.12</v>
          </cell>
          <cell r="L285">
            <v>0</v>
          </cell>
          <cell r="M285">
            <v>0</v>
          </cell>
          <cell r="N285">
            <v>0</v>
          </cell>
          <cell r="O285" t="str">
            <v>"Baxt qushi" lotereyasi bo`yicha xisob-kitoblar</v>
          </cell>
        </row>
        <row r="286">
          <cell r="A286">
            <v>9</v>
          </cell>
          <cell r="B286">
            <v>214</v>
          </cell>
          <cell r="C286">
            <v>8002</v>
          </cell>
          <cell r="D286">
            <v>198.13</v>
          </cell>
          <cell r="E286">
            <v>9</v>
          </cell>
          <cell r="F286">
            <v>29896.13</v>
          </cell>
          <cell r="H286">
            <v>2</v>
          </cell>
          <cell r="I286">
            <v>0</v>
          </cell>
          <cell r="J286">
            <v>1823.5</v>
          </cell>
          <cell r="K286">
            <v>1823.5</v>
          </cell>
          <cell r="L286">
            <v>0</v>
          </cell>
          <cell r="M286">
            <v>0</v>
          </cell>
          <cell r="N286">
            <v>0</v>
          </cell>
          <cell r="O286" t="str">
            <v>"Umid" lotereyasi bo`yicha xisob-kitoblar</v>
          </cell>
        </row>
        <row r="287">
          <cell r="A287">
            <v>9</v>
          </cell>
          <cell r="B287">
            <v>214</v>
          </cell>
          <cell r="C287">
            <v>8298</v>
          </cell>
          <cell r="D287">
            <v>198.13</v>
          </cell>
          <cell r="E287">
            <v>9</v>
          </cell>
          <cell r="F287">
            <v>29896.13</v>
          </cell>
          <cell r="H287">
            <v>2</v>
          </cell>
          <cell r="I287">
            <v>0</v>
          </cell>
          <cell r="J287">
            <v>0</v>
          </cell>
          <cell r="K287">
            <v>900</v>
          </cell>
          <cell r="L287">
            <v>900</v>
          </cell>
          <cell r="M287">
            <v>0</v>
          </cell>
          <cell r="N287">
            <v>0</v>
          </cell>
          <cell r="O287" t="str">
            <v>"Umid" lotereyasi bo`yicha xisob-kitoblar</v>
          </cell>
        </row>
        <row r="288">
          <cell r="A288">
            <v>9</v>
          </cell>
          <cell r="B288">
            <v>214</v>
          </cell>
          <cell r="C288">
            <v>7845</v>
          </cell>
          <cell r="D288">
            <v>198.14</v>
          </cell>
          <cell r="E288">
            <v>9</v>
          </cell>
          <cell r="F288">
            <v>29896.14</v>
          </cell>
          <cell r="H288">
            <v>2</v>
          </cell>
          <cell r="I288">
            <v>0</v>
          </cell>
          <cell r="J288">
            <v>300</v>
          </cell>
          <cell r="K288">
            <v>300</v>
          </cell>
          <cell r="L288">
            <v>0</v>
          </cell>
          <cell r="M288">
            <v>0</v>
          </cell>
          <cell r="N288">
            <v>0</v>
          </cell>
          <cell r="O288" t="str">
            <v>"Xazina-3" lotereyasi bo`yicha xisob-kitoblar</v>
          </cell>
        </row>
        <row r="289">
          <cell r="A289">
            <v>9</v>
          </cell>
          <cell r="B289">
            <v>214</v>
          </cell>
          <cell r="C289">
            <v>8298</v>
          </cell>
          <cell r="D289">
            <v>198.14</v>
          </cell>
          <cell r="E289">
            <v>9</v>
          </cell>
          <cell r="F289">
            <v>29896.14</v>
          </cell>
          <cell r="H289">
            <v>2</v>
          </cell>
          <cell r="I289">
            <v>0</v>
          </cell>
          <cell r="J289">
            <v>0</v>
          </cell>
          <cell r="K289">
            <v>300</v>
          </cell>
          <cell r="L289">
            <v>300</v>
          </cell>
          <cell r="M289">
            <v>0</v>
          </cell>
          <cell r="N289">
            <v>0</v>
          </cell>
          <cell r="O289" t="str">
            <v>"Xazina-3" lotereyasi bo`yicha xisob-kitoblar</v>
          </cell>
        </row>
        <row r="290">
          <cell r="A290">
            <v>9</v>
          </cell>
          <cell r="B290">
            <v>214</v>
          </cell>
          <cell r="C290">
            <v>8002</v>
          </cell>
          <cell r="D290">
            <v>198.15</v>
          </cell>
          <cell r="E290">
            <v>9</v>
          </cell>
          <cell r="F290">
            <v>29896.15</v>
          </cell>
          <cell r="H290">
            <v>2</v>
          </cell>
          <cell r="I290">
            <v>0</v>
          </cell>
          <cell r="J290">
            <v>2990</v>
          </cell>
          <cell r="K290">
            <v>2990</v>
          </cell>
          <cell r="L290">
            <v>0</v>
          </cell>
          <cell r="M290">
            <v>0</v>
          </cell>
          <cell r="N290">
            <v>0</v>
          </cell>
          <cell r="O290" t="str">
            <v>"Inson manfaatlari uchun-2" lotereyasi bo`yicha xisob-kitobl</v>
          </cell>
        </row>
        <row r="291">
          <cell r="A291">
            <v>9</v>
          </cell>
          <cell r="B291">
            <v>214</v>
          </cell>
          <cell r="C291">
            <v>8104</v>
          </cell>
          <cell r="D291">
            <v>198.15</v>
          </cell>
          <cell r="E291">
            <v>9</v>
          </cell>
          <cell r="F291">
            <v>29896.15</v>
          </cell>
          <cell r="H291">
            <v>2</v>
          </cell>
          <cell r="I291">
            <v>0</v>
          </cell>
          <cell r="J291">
            <v>0</v>
          </cell>
          <cell r="K291">
            <v>190000</v>
          </cell>
          <cell r="L291">
            <v>190000</v>
          </cell>
          <cell r="M291">
            <v>0</v>
          </cell>
          <cell r="N291">
            <v>0</v>
          </cell>
          <cell r="O291" t="str">
            <v>"Inson manfaatlari uchun-2" lotereyasi bo`yicha xisob-kitobl</v>
          </cell>
        </row>
        <row r="292">
          <cell r="A292">
            <v>9</v>
          </cell>
          <cell r="B292">
            <v>214</v>
          </cell>
          <cell r="C292">
            <v>8298</v>
          </cell>
          <cell r="D292">
            <v>198.15</v>
          </cell>
          <cell r="E292">
            <v>9</v>
          </cell>
          <cell r="F292">
            <v>29896.15</v>
          </cell>
          <cell r="H292">
            <v>2</v>
          </cell>
          <cell r="I292">
            <v>0</v>
          </cell>
          <cell r="J292">
            <v>0</v>
          </cell>
          <cell r="K292">
            <v>2700</v>
          </cell>
          <cell r="L292">
            <v>2700</v>
          </cell>
          <cell r="M292">
            <v>0</v>
          </cell>
          <cell r="N292">
            <v>0</v>
          </cell>
          <cell r="O292" t="str">
            <v>"Inson manfaatlari uchun-2" lotereyasi bo`yicha xisob-kitobl</v>
          </cell>
        </row>
        <row r="293">
          <cell r="A293">
            <v>9</v>
          </cell>
          <cell r="B293">
            <v>214</v>
          </cell>
          <cell r="C293">
            <v>8104</v>
          </cell>
          <cell r="D293">
            <v>198.17</v>
          </cell>
          <cell r="E293">
            <v>9</v>
          </cell>
          <cell r="F293">
            <v>29896.17</v>
          </cell>
          <cell r="H293">
            <v>2</v>
          </cell>
          <cell r="I293">
            <v>0</v>
          </cell>
          <cell r="J293">
            <v>3300</v>
          </cell>
          <cell r="K293">
            <v>3300</v>
          </cell>
          <cell r="L293">
            <v>0</v>
          </cell>
          <cell r="M293">
            <v>0</v>
          </cell>
          <cell r="N293">
            <v>0</v>
          </cell>
          <cell r="O293" t="str">
            <v>"Oila quvonchi" lotereyasi bo`yicha xisob-kitoblar</v>
          </cell>
        </row>
        <row r="294">
          <cell r="A294">
            <v>9</v>
          </cell>
          <cell r="B294">
            <v>214</v>
          </cell>
          <cell r="C294">
            <v>8298</v>
          </cell>
          <cell r="D294">
            <v>198.17</v>
          </cell>
          <cell r="E294">
            <v>9</v>
          </cell>
          <cell r="F294">
            <v>29896.17</v>
          </cell>
          <cell r="H294">
            <v>2</v>
          </cell>
          <cell r="I294">
            <v>0</v>
          </cell>
          <cell r="J294">
            <v>0</v>
          </cell>
          <cell r="K294">
            <v>200</v>
          </cell>
          <cell r="L294">
            <v>200</v>
          </cell>
          <cell r="M294">
            <v>0</v>
          </cell>
          <cell r="N294">
            <v>0</v>
          </cell>
          <cell r="O294" t="str">
            <v>"Oila quvonchi" lotereyasi bo`yicha xisob-kitoblar</v>
          </cell>
        </row>
        <row r="295">
          <cell r="A295">
            <v>9</v>
          </cell>
          <cell r="B295">
            <v>214</v>
          </cell>
          <cell r="C295">
            <v>8002</v>
          </cell>
          <cell r="D295">
            <v>198.19</v>
          </cell>
          <cell r="E295">
            <v>9</v>
          </cell>
          <cell r="F295">
            <v>29896.19</v>
          </cell>
          <cell r="H295">
            <v>2</v>
          </cell>
          <cell r="I295">
            <v>0</v>
          </cell>
          <cell r="J295">
            <v>4650</v>
          </cell>
          <cell r="K295">
            <v>4650</v>
          </cell>
          <cell r="L295">
            <v>0</v>
          </cell>
          <cell r="M295">
            <v>0</v>
          </cell>
          <cell r="N295">
            <v>0</v>
          </cell>
          <cell r="O295" t="str">
            <v>"Maxalla" lotereyasi bo`yicha xisob-kitoblar</v>
          </cell>
        </row>
        <row r="296">
          <cell r="A296">
            <v>9</v>
          </cell>
          <cell r="B296">
            <v>214</v>
          </cell>
          <cell r="C296">
            <v>8298</v>
          </cell>
          <cell r="D296">
            <v>198.19</v>
          </cell>
          <cell r="E296">
            <v>9</v>
          </cell>
          <cell r="F296">
            <v>29896.19</v>
          </cell>
          <cell r="H296">
            <v>2</v>
          </cell>
          <cell r="I296">
            <v>0</v>
          </cell>
          <cell r="J296">
            <v>0</v>
          </cell>
          <cell r="K296">
            <v>8500</v>
          </cell>
          <cell r="L296">
            <v>8750</v>
          </cell>
          <cell r="M296">
            <v>0</v>
          </cell>
          <cell r="N296">
            <v>250</v>
          </cell>
          <cell r="O296" t="str">
            <v>"Maxalla" lotereyasi bo`yicha xisob-kitoblar</v>
          </cell>
        </row>
        <row r="297">
          <cell r="A297">
            <v>9</v>
          </cell>
          <cell r="B297">
            <v>214</v>
          </cell>
          <cell r="C297">
            <v>3563</v>
          </cell>
          <cell r="D297">
            <v>198.2</v>
          </cell>
          <cell r="E297">
            <v>9</v>
          </cell>
          <cell r="F297">
            <v>29896.2</v>
          </cell>
          <cell r="H297">
            <v>2</v>
          </cell>
          <cell r="I297">
            <v>0</v>
          </cell>
          <cell r="J297">
            <v>65239.6</v>
          </cell>
          <cell r="K297">
            <v>100535.6</v>
          </cell>
          <cell r="L297">
            <v>52440</v>
          </cell>
          <cell r="M297">
            <v>0</v>
          </cell>
          <cell r="N297">
            <v>17144</v>
          </cell>
          <cell r="O297" t="str">
            <v>"Toshkent" lotereyasi bo`yicha xisob-kitoblar</v>
          </cell>
        </row>
        <row r="298">
          <cell r="A298">
            <v>9</v>
          </cell>
          <cell r="B298">
            <v>214</v>
          </cell>
          <cell r="C298">
            <v>5996</v>
          </cell>
          <cell r="D298">
            <v>198.2</v>
          </cell>
          <cell r="E298">
            <v>9</v>
          </cell>
          <cell r="F298">
            <v>29896.2</v>
          </cell>
          <cell r="H298">
            <v>2</v>
          </cell>
          <cell r="I298">
            <v>0</v>
          </cell>
          <cell r="J298">
            <v>1260</v>
          </cell>
          <cell r="K298">
            <v>109860</v>
          </cell>
          <cell r="L298">
            <v>216000</v>
          </cell>
          <cell r="M298">
            <v>0</v>
          </cell>
          <cell r="N298">
            <v>107400</v>
          </cell>
          <cell r="O298" t="str">
            <v>"Toshkent" lotereyasi bo`yicha xisob-kitoblar</v>
          </cell>
        </row>
        <row r="299">
          <cell r="A299">
            <v>9</v>
          </cell>
          <cell r="B299">
            <v>214</v>
          </cell>
          <cell r="C299">
            <v>7783</v>
          </cell>
          <cell r="D299">
            <v>198.2</v>
          </cell>
          <cell r="E299">
            <v>9</v>
          </cell>
          <cell r="F299">
            <v>29896.2</v>
          </cell>
          <cell r="H299">
            <v>2</v>
          </cell>
          <cell r="I299">
            <v>0</v>
          </cell>
          <cell r="J299">
            <v>13071.2</v>
          </cell>
          <cell r="K299">
            <v>205435</v>
          </cell>
          <cell r="L299">
            <v>415320</v>
          </cell>
          <cell r="M299">
            <v>0</v>
          </cell>
          <cell r="N299">
            <v>222956.2</v>
          </cell>
          <cell r="O299" t="str">
            <v>"Toshkent" lotereyasi bo`yicha xisob-kitoblar</v>
          </cell>
        </row>
        <row r="300">
          <cell r="A300">
            <v>9</v>
          </cell>
          <cell r="B300">
            <v>214</v>
          </cell>
          <cell r="C300">
            <v>7845</v>
          </cell>
          <cell r="D300">
            <v>198.2</v>
          </cell>
          <cell r="E300">
            <v>9</v>
          </cell>
          <cell r="F300">
            <v>29896.2</v>
          </cell>
          <cell r="H300">
            <v>2</v>
          </cell>
          <cell r="I300">
            <v>0</v>
          </cell>
          <cell r="J300">
            <v>20</v>
          </cell>
          <cell r="K300">
            <v>12415</v>
          </cell>
          <cell r="L300">
            <v>26400</v>
          </cell>
          <cell r="M300">
            <v>0</v>
          </cell>
          <cell r="N300">
            <v>14005</v>
          </cell>
          <cell r="O300" t="str">
            <v>"Toshkent" lotereyasi bo`yicha xisob-kitoblar</v>
          </cell>
        </row>
        <row r="301">
          <cell r="A301">
            <v>9</v>
          </cell>
          <cell r="B301">
            <v>214</v>
          </cell>
          <cell r="C301">
            <v>7948</v>
          </cell>
          <cell r="D301">
            <v>198.2</v>
          </cell>
          <cell r="E301">
            <v>9</v>
          </cell>
          <cell r="F301">
            <v>29896.2</v>
          </cell>
          <cell r="H301">
            <v>2</v>
          </cell>
          <cell r="I301">
            <v>0</v>
          </cell>
          <cell r="J301">
            <v>45170</v>
          </cell>
          <cell r="K301">
            <v>254054.39999999999</v>
          </cell>
          <cell r="L301">
            <v>557700</v>
          </cell>
          <cell r="M301">
            <v>0</v>
          </cell>
          <cell r="N301">
            <v>348815.6</v>
          </cell>
          <cell r="O301" t="str">
            <v>"Toshkent" lotereyasi bo`yicha xisob-kitoblar</v>
          </cell>
        </row>
        <row r="302">
          <cell r="A302">
            <v>9</v>
          </cell>
          <cell r="B302">
            <v>214</v>
          </cell>
          <cell r="C302">
            <v>8002</v>
          </cell>
          <cell r="D302">
            <v>198.2</v>
          </cell>
          <cell r="E302">
            <v>9</v>
          </cell>
          <cell r="F302">
            <v>29896.2</v>
          </cell>
          <cell r="H302">
            <v>2</v>
          </cell>
          <cell r="I302">
            <v>0</v>
          </cell>
          <cell r="J302">
            <v>20000.8</v>
          </cell>
          <cell r="K302">
            <v>204333</v>
          </cell>
          <cell r="L302">
            <v>275640</v>
          </cell>
          <cell r="M302">
            <v>0</v>
          </cell>
          <cell r="N302">
            <v>91307.8</v>
          </cell>
          <cell r="O302" t="str">
            <v>"Toshkent" lotereyasi bo`yicha xisob-kitoblar</v>
          </cell>
        </row>
        <row r="303">
          <cell r="A303">
            <v>9</v>
          </cell>
          <cell r="B303">
            <v>214</v>
          </cell>
          <cell r="C303">
            <v>8104</v>
          </cell>
          <cell r="D303">
            <v>198.2</v>
          </cell>
          <cell r="E303">
            <v>9</v>
          </cell>
          <cell r="F303">
            <v>29896.2</v>
          </cell>
          <cell r="H303">
            <v>2</v>
          </cell>
          <cell r="I303">
            <v>0</v>
          </cell>
          <cell r="J303">
            <v>4800</v>
          </cell>
          <cell r="K303">
            <v>109380</v>
          </cell>
          <cell r="L303">
            <v>191460</v>
          </cell>
          <cell r="M303">
            <v>0</v>
          </cell>
          <cell r="N303">
            <v>86880</v>
          </cell>
          <cell r="O303" t="str">
            <v>"Toshkent" lotereyasi bo`yicha xisob-kitoblar</v>
          </cell>
        </row>
        <row r="304">
          <cell r="A304">
            <v>9</v>
          </cell>
          <cell r="B304">
            <v>214</v>
          </cell>
          <cell r="C304">
            <v>8137</v>
          </cell>
          <cell r="D304">
            <v>198.2</v>
          </cell>
          <cell r="E304">
            <v>9</v>
          </cell>
          <cell r="F304">
            <v>29896.2</v>
          </cell>
          <cell r="H304">
            <v>2</v>
          </cell>
          <cell r="I304">
            <v>0</v>
          </cell>
          <cell r="J304">
            <v>4189.83</v>
          </cell>
          <cell r="K304">
            <v>88713</v>
          </cell>
          <cell r="L304">
            <v>205860</v>
          </cell>
          <cell r="M304">
            <v>0</v>
          </cell>
          <cell r="N304">
            <v>121336.83</v>
          </cell>
          <cell r="O304" t="str">
            <v>Расчеты по лотерее "Тошкент"</v>
          </cell>
        </row>
        <row r="305">
          <cell r="A305">
            <v>9</v>
          </cell>
          <cell r="B305">
            <v>214</v>
          </cell>
          <cell r="C305">
            <v>8298</v>
          </cell>
          <cell r="D305">
            <v>198.2</v>
          </cell>
          <cell r="E305">
            <v>9</v>
          </cell>
          <cell r="F305">
            <v>29896.2</v>
          </cell>
          <cell r="H305">
            <v>2</v>
          </cell>
          <cell r="I305">
            <v>0</v>
          </cell>
          <cell r="J305">
            <v>14396.4</v>
          </cell>
          <cell r="K305">
            <v>0</v>
          </cell>
          <cell r="L305">
            <v>0</v>
          </cell>
          <cell r="M305">
            <v>0</v>
          </cell>
          <cell r="N305">
            <v>14396.4</v>
          </cell>
          <cell r="O305" t="str">
            <v>"Toshkent" lotereyasi bo`yicha xisob-kitoblar</v>
          </cell>
        </row>
        <row r="306">
          <cell r="A306">
            <v>9</v>
          </cell>
          <cell r="B306">
            <v>214</v>
          </cell>
          <cell r="C306">
            <v>8533</v>
          </cell>
          <cell r="D306">
            <v>198.2</v>
          </cell>
          <cell r="E306">
            <v>9</v>
          </cell>
          <cell r="F306">
            <v>29896.2</v>
          </cell>
          <cell r="H306">
            <v>2</v>
          </cell>
          <cell r="I306">
            <v>0</v>
          </cell>
          <cell r="J306">
            <v>9058.7999999999993</v>
          </cell>
          <cell r="K306">
            <v>16838.8</v>
          </cell>
          <cell r="L306">
            <v>7780</v>
          </cell>
          <cell r="M306">
            <v>0</v>
          </cell>
          <cell r="N306">
            <v>0</v>
          </cell>
          <cell r="O306" t="str">
            <v>"Toshkent" lotereyasi bo`yicha xisob-kitoblar</v>
          </cell>
        </row>
        <row r="307">
          <cell r="A307">
            <v>9</v>
          </cell>
          <cell r="B307">
            <v>214</v>
          </cell>
          <cell r="C307">
            <v>8659</v>
          </cell>
          <cell r="D307">
            <v>198.2</v>
          </cell>
          <cell r="E307">
            <v>9</v>
          </cell>
          <cell r="F307">
            <v>29896.2</v>
          </cell>
          <cell r="H307">
            <v>2</v>
          </cell>
          <cell r="I307">
            <v>0</v>
          </cell>
          <cell r="J307">
            <v>2540</v>
          </cell>
          <cell r="K307">
            <v>17995</v>
          </cell>
          <cell r="L307">
            <v>42420</v>
          </cell>
          <cell r="M307">
            <v>0</v>
          </cell>
          <cell r="N307">
            <v>26965</v>
          </cell>
          <cell r="O307" t="str">
            <v>"Toshkent" lotereyasi bo`yicha xisob-kitoblar</v>
          </cell>
        </row>
        <row r="308">
          <cell r="A308">
            <v>9</v>
          </cell>
          <cell r="B308">
            <v>214</v>
          </cell>
          <cell r="C308">
            <v>8002</v>
          </cell>
          <cell r="D308">
            <v>198.21</v>
          </cell>
          <cell r="E308">
            <v>9</v>
          </cell>
          <cell r="F308">
            <v>29896.21</v>
          </cell>
          <cell r="H308">
            <v>2</v>
          </cell>
          <cell r="I308">
            <v>0</v>
          </cell>
          <cell r="J308">
            <v>1262</v>
          </cell>
          <cell r="K308">
            <v>1262</v>
          </cell>
          <cell r="L308">
            <v>0</v>
          </cell>
          <cell r="M308">
            <v>0</v>
          </cell>
          <cell r="N308">
            <v>0</v>
          </cell>
          <cell r="O308" t="str">
            <v>"Ekolot-3" lotereyasi bo`yicha xisob-kitoblar</v>
          </cell>
        </row>
        <row r="309">
          <cell r="A309">
            <v>9</v>
          </cell>
          <cell r="B309">
            <v>214</v>
          </cell>
          <cell r="C309">
            <v>8104</v>
          </cell>
          <cell r="D309">
            <v>198.21</v>
          </cell>
          <cell r="E309">
            <v>9</v>
          </cell>
          <cell r="F309">
            <v>29896.21</v>
          </cell>
          <cell r="H309">
            <v>2</v>
          </cell>
          <cell r="I309">
            <v>0</v>
          </cell>
          <cell r="J309">
            <v>25600</v>
          </cell>
          <cell r="K309">
            <v>25600</v>
          </cell>
          <cell r="L309">
            <v>0</v>
          </cell>
          <cell r="M309">
            <v>0</v>
          </cell>
          <cell r="N309">
            <v>0</v>
          </cell>
          <cell r="O309" t="str">
            <v>"Ekolot-3" lotereyasi bo`yicha xisob-kitoblar</v>
          </cell>
        </row>
        <row r="310">
          <cell r="A310">
            <v>9</v>
          </cell>
          <cell r="B310">
            <v>214</v>
          </cell>
          <cell r="C310">
            <v>3563</v>
          </cell>
          <cell r="D310">
            <v>198.22</v>
          </cell>
          <cell r="E310">
            <v>9</v>
          </cell>
          <cell r="F310">
            <v>29896.22</v>
          </cell>
          <cell r="H310">
            <v>2</v>
          </cell>
          <cell r="I310">
            <v>0</v>
          </cell>
          <cell r="J310">
            <v>705</v>
          </cell>
          <cell r="K310">
            <v>1555</v>
          </cell>
          <cell r="L310">
            <v>850</v>
          </cell>
          <cell r="M310">
            <v>0</v>
          </cell>
          <cell r="N310">
            <v>0</v>
          </cell>
          <cell r="O310" t="str">
            <v>"Ekolot-4" lotereyasi bo`yicha xisob-kitoblar</v>
          </cell>
        </row>
        <row r="311">
          <cell r="A311">
            <v>9</v>
          </cell>
          <cell r="B311">
            <v>214</v>
          </cell>
          <cell r="C311">
            <v>7783</v>
          </cell>
          <cell r="D311">
            <v>198.22</v>
          </cell>
          <cell r="E311">
            <v>9</v>
          </cell>
          <cell r="F311">
            <v>29896.22</v>
          </cell>
          <cell r="H311">
            <v>2</v>
          </cell>
          <cell r="I311">
            <v>0</v>
          </cell>
          <cell r="J311">
            <v>3948</v>
          </cell>
          <cell r="K311">
            <v>0</v>
          </cell>
          <cell r="L311">
            <v>0</v>
          </cell>
          <cell r="M311">
            <v>0</v>
          </cell>
          <cell r="N311">
            <v>3948</v>
          </cell>
          <cell r="O311" t="str">
            <v>"Ekolot-4" lotereyasi bo`yicha xisob-kitoblar</v>
          </cell>
        </row>
        <row r="312">
          <cell r="A312">
            <v>9</v>
          </cell>
          <cell r="B312">
            <v>214</v>
          </cell>
          <cell r="C312">
            <v>7845</v>
          </cell>
          <cell r="D312">
            <v>198.22</v>
          </cell>
          <cell r="E312">
            <v>9</v>
          </cell>
          <cell r="F312">
            <v>29896.22</v>
          </cell>
          <cell r="H312">
            <v>2</v>
          </cell>
          <cell r="I312">
            <v>0</v>
          </cell>
          <cell r="J312">
            <v>3300</v>
          </cell>
          <cell r="K312">
            <v>111500</v>
          </cell>
          <cell r="L312">
            <v>108200</v>
          </cell>
          <cell r="M312">
            <v>0</v>
          </cell>
          <cell r="N312">
            <v>0</v>
          </cell>
          <cell r="O312" t="str">
            <v>"Ekolot-4" lotereyasi bo`yicha xisob-kitoblar</v>
          </cell>
        </row>
        <row r="313">
          <cell r="A313">
            <v>9</v>
          </cell>
          <cell r="B313">
            <v>214</v>
          </cell>
          <cell r="C313">
            <v>7948</v>
          </cell>
          <cell r="D313">
            <v>198.22</v>
          </cell>
          <cell r="E313">
            <v>9</v>
          </cell>
          <cell r="F313">
            <v>29896.22</v>
          </cell>
          <cell r="H313">
            <v>2</v>
          </cell>
          <cell r="I313">
            <v>0</v>
          </cell>
          <cell r="J313">
            <v>47125</v>
          </cell>
          <cell r="K313">
            <v>501</v>
          </cell>
          <cell r="L313">
            <v>0</v>
          </cell>
          <cell r="M313">
            <v>0</v>
          </cell>
          <cell r="N313">
            <v>46624</v>
          </cell>
          <cell r="O313" t="str">
            <v>"Ekolot-4" lotereyasi bo`yicha xisob-kitoblar</v>
          </cell>
        </row>
        <row r="314">
          <cell r="A314">
            <v>9</v>
          </cell>
          <cell r="B314">
            <v>214</v>
          </cell>
          <cell r="C314">
            <v>8002</v>
          </cell>
          <cell r="D314">
            <v>198.22</v>
          </cell>
          <cell r="E314">
            <v>9</v>
          </cell>
          <cell r="F314">
            <v>29896.22</v>
          </cell>
          <cell r="H314">
            <v>2</v>
          </cell>
          <cell r="I314">
            <v>0</v>
          </cell>
          <cell r="J314">
            <v>750</v>
          </cell>
          <cell r="K314">
            <v>750</v>
          </cell>
          <cell r="L314">
            <v>0</v>
          </cell>
          <cell r="M314">
            <v>0</v>
          </cell>
          <cell r="N314">
            <v>0</v>
          </cell>
          <cell r="O314" t="str">
            <v>"Ekolot-4" lotereyasi bo`yicha xisob-kitoblar</v>
          </cell>
        </row>
        <row r="315">
          <cell r="A315">
            <v>9</v>
          </cell>
          <cell r="B315">
            <v>214</v>
          </cell>
          <cell r="C315">
            <v>8104</v>
          </cell>
          <cell r="D315">
            <v>198.22</v>
          </cell>
          <cell r="E315">
            <v>9</v>
          </cell>
          <cell r="F315">
            <v>29896.22</v>
          </cell>
          <cell r="H315">
            <v>2</v>
          </cell>
          <cell r="I315">
            <v>0</v>
          </cell>
          <cell r="J315">
            <v>100</v>
          </cell>
          <cell r="K315">
            <v>100</v>
          </cell>
          <cell r="L315">
            <v>0</v>
          </cell>
          <cell r="M315">
            <v>0</v>
          </cell>
          <cell r="N315">
            <v>0</v>
          </cell>
          <cell r="O315" t="str">
            <v>"Ekolot-4" lotereyasi bo`yicha xisob-kitoblar</v>
          </cell>
        </row>
        <row r="316">
          <cell r="A316">
            <v>9</v>
          </cell>
          <cell r="B316">
            <v>214</v>
          </cell>
          <cell r="C316">
            <v>8137</v>
          </cell>
          <cell r="D316">
            <v>198.22</v>
          </cell>
          <cell r="E316">
            <v>9</v>
          </cell>
          <cell r="F316">
            <v>29896.22</v>
          </cell>
          <cell r="H316">
            <v>2</v>
          </cell>
          <cell r="I316">
            <v>0</v>
          </cell>
          <cell r="J316">
            <v>1439</v>
          </cell>
          <cell r="K316">
            <v>1439</v>
          </cell>
          <cell r="L316">
            <v>0</v>
          </cell>
          <cell r="M316">
            <v>0</v>
          </cell>
          <cell r="N316">
            <v>0</v>
          </cell>
          <cell r="O316" t="str">
            <v>"Ekolot-4" lotereyasi bo`yicha xisob-kitoblar</v>
          </cell>
        </row>
        <row r="317">
          <cell r="A317">
            <v>9</v>
          </cell>
          <cell r="B317">
            <v>214</v>
          </cell>
          <cell r="C317">
            <v>8298</v>
          </cell>
          <cell r="D317">
            <v>198.22</v>
          </cell>
          <cell r="E317">
            <v>9</v>
          </cell>
          <cell r="F317">
            <v>29896.22</v>
          </cell>
          <cell r="H317">
            <v>2</v>
          </cell>
          <cell r="I317">
            <v>0</v>
          </cell>
          <cell r="J317">
            <v>9400</v>
          </cell>
          <cell r="K317">
            <v>6750</v>
          </cell>
          <cell r="L317">
            <v>0</v>
          </cell>
          <cell r="M317">
            <v>0</v>
          </cell>
          <cell r="N317">
            <v>2650</v>
          </cell>
          <cell r="O317" t="str">
            <v>"Ekolot-4" lotereyasi bo`yicha xisob-kitoblar</v>
          </cell>
        </row>
        <row r="318">
          <cell r="A318">
            <v>9</v>
          </cell>
          <cell r="B318">
            <v>214</v>
          </cell>
          <cell r="C318">
            <v>8659</v>
          </cell>
          <cell r="D318">
            <v>198.22</v>
          </cell>
          <cell r="E318">
            <v>9</v>
          </cell>
          <cell r="F318">
            <v>29896.22</v>
          </cell>
          <cell r="H318">
            <v>2</v>
          </cell>
          <cell r="I318">
            <v>0</v>
          </cell>
          <cell r="J318">
            <v>800</v>
          </cell>
          <cell r="K318">
            <v>21000</v>
          </cell>
          <cell r="L318">
            <v>50400</v>
          </cell>
          <cell r="M318">
            <v>0</v>
          </cell>
          <cell r="N318">
            <v>30200</v>
          </cell>
          <cell r="O318" t="str">
            <v>"Ekolot-4" lotereyasi bo`yicha xisob-kitoblar</v>
          </cell>
        </row>
        <row r="319">
          <cell r="A319">
            <v>9</v>
          </cell>
          <cell r="B319">
            <v>214</v>
          </cell>
          <cell r="C319">
            <v>3563</v>
          </cell>
          <cell r="D319">
            <v>198.23</v>
          </cell>
          <cell r="E319">
            <v>9</v>
          </cell>
          <cell r="F319">
            <v>29896.23</v>
          </cell>
          <cell r="H319">
            <v>2</v>
          </cell>
          <cell r="I319">
            <v>0</v>
          </cell>
          <cell r="J319">
            <v>28576</v>
          </cell>
          <cell r="K319">
            <v>76876</v>
          </cell>
          <cell r="L319">
            <v>48300</v>
          </cell>
          <cell r="M319">
            <v>0</v>
          </cell>
          <cell r="N319">
            <v>0</v>
          </cell>
          <cell r="O319" t="str">
            <v>"Ulug`bek yulduzlari" lotereyasi bo`yicha xisob-kitoblar</v>
          </cell>
        </row>
        <row r="320">
          <cell r="A320">
            <v>9</v>
          </cell>
          <cell r="B320">
            <v>214</v>
          </cell>
          <cell r="C320">
            <v>5996</v>
          </cell>
          <cell r="D320">
            <v>198.23</v>
          </cell>
          <cell r="E320">
            <v>9</v>
          </cell>
          <cell r="F320">
            <v>29896.23</v>
          </cell>
          <cell r="H320">
            <v>2</v>
          </cell>
          <cell r="I320">
            <v>0</v>
          </cell>
          <cell r="J320">
            <v>10100</v>
          </cell>
          <cell r="K320">
            <v>60400</v>
          </cell>
          <cell r="L320">
            <v>50300</v>
          </cell>
          <cell r="M320">
            <v>0</v>
          </cell>
          <cell r="N320">
            <v>0</v>
          </cell>
          <cell r="O320" t="str">
            <v>"Ulug`bek yulduzlari" lotereyasi bo`yicha xisob-kitoblar</v>
          </cell>
        </row>
        <row r="321">
          <cell r="A321">
            <v>9</v>
          </cell>
          <cell r="B321">
            <v>214</v>
          </cell>
          <cell r="C321">
            <v>7783</v>
          </cell>
          <cell r="D321">
            <v>198.23</v>
          </cell>
          <cell r="E321">
            <v>9</v>
          </cell>
          <cell r="F321">
            <v>29896.23</v>
          </cell>
          <cell r="H321">
            <v>2</v>
          </cell>
          <cell r="I321">
            <v>0</v>
          </cell>
          <cell r="J321">
            <v>27824</v>
          </cell>
          <cell r="K321">
            <v>54650</v>
          </cell>
          <cell r="L321">
            <v>27950</v>
          </cell>
          <cell r="M321">
            <v>0</v>
          </cell>
          <cell r="N321">
            <v>1124</v>
          </cell>
          <cell r="O321" t="str">
            <v>"Ulug`bek yulduzlari" lotereyasi bo`yicha xisob-kitoblar</v>
          </cell>
        </row>
        <row r="322">
          <cell r="A322">
            <v>9</v>
          </cell>
          <cell r="B322">
            <v>214</v>
          </cell>
          <cell r="C322">
            <v>7845</v>
          </cell>
          <cell r="D322">
            <v>198.23</v>
          </cell>
          <cell r="E322">
            <v>9</v>
          </cell>
          <cell r="F322">
            <v>29896.23</v>
          </cell>
          <cell r="H322">
            <v>2</v>
          </cell>
          <cell r="I322">
            <v>0</v>
          </cell>
          <cell r="J322">
            <v>119450</v>
          </cell>
          <cell r="K322">
            <v>206403</v>
          </cell>
          <cell r="L322">
            <v>135000</v>
          </cell>
          <cell r="M322">
            <v>0</v>
          </cell>
          <cell r="N322">
            <v>48047</v>
          </cell>
          <cell r="O322" t="str">
            <v>"Ulug`bek yulduzlari" lotereyasi bo`yicha xisob-kitoblar</v>
          </cell>
        </row>
        <row r="323">
          <cell r="A323">
            <v>9</v>
          </cell>
          <cell r="B323">
            <v>214</v>
          </cell>
          <cell r="C323">
            <v>7948</v>
          </cell>
          <cell r="D323">
            <v>198.23</v>
          </cell>
          <cell r="E323">
            <v>9</v>
          </cell>
          <cell r="F323">
            <v>29896.23</v>
          </cell>
          <cell r="H323">
            <v>2</v>
          </cell>
          <cell r="I323">
            <v>0</v>
          </cell>
          <cell r="J323">
            <v>85548</v>
          </cell>
          <cell r="K323">
            <v>56560.45</v>
          </cell>
          <cell r="L323">
            <v>127100</v>
          </cell>
          <cell r="M323">
            <v>0</v>
          </cell>
          <cell r="N323">
            <v>156087.54999999999</v>
          </cell>
          <cell r="O323" t="str">
            <v>"Ulug`bek yulduzlari" lotereyasi bo`yicha xisob-kitoblar</v>
          </cell>
        </row>
        <row r="324">
          <cell r="A324">
            <v>9</v>
          </cell>
          <cell r="B324">
            <v>214</v>
          </cell>
          <cell r="C324">
            <v>8002</v>
          </cell>
          <cell r="D324">
            <v>198.23</v>
          </cell>
          <cell r="E324">
            <v>9</v>
          </cell>
          <cell r="F324">
            <v>29896.23</v>
          </cell>
          <cell r="H324">
            <v>2</v>
          </cell>
          <cell r="I324">
            <v>0</v>
          </cell>
          <cell r="J324">
            <v>223999</v>
          </cell>
          <cell r="K324">
            <v>183748</v>
          </cell>
          <cell r="L324">
            <v>40850</v>
          </cell>
          <cell r="M324">
            <v>0</v>
          </cell>
          <cell r="N324">
            <v>81101</v>
          </cell>
          <cell r="O324" t="str">
            <v>"Ulug`bek yulduzlari" lotereyasi bo`yicha xisob-kitoblar</v>
          </cell>
        </row>
        <row r="325">
          <cell r="A325">
            <v>9</v>
          </cell>
          <cell r="B325">
            <v>214</v>
          </cell>
          <cell r="C325">
            <v>8104</v>
          </cell>
          <cell r="D325">
            <v>198.23</v>
          </cell>
          <cell r="E325">
            <v>9</v>
          </cell>
          <cell r="F325">
            <v>29896.23</v>
          </cell>
          <cell r="H325">
            <v>2</v>
          </cell>
          <cell r="I325">
            <v>0</v>
          </cell>
          <cell r="J325">
            <v>163654</v>
          </cell>
          <cell r="K325">
            <v>57000</v>
          </cell>
          <cell r="L325">
            <v>3950</v>
          </cell>
          <cell r="M325">
            <v>0</v>
          </cell>
          <cell r="N325">
            <v>110604</v>
          </cell>
          <cell r="O325" t="str">
            <v>"Ulug`bek yulduzlari" lotereyasi bo`yicha xisob-kitoblar</v>
          </cell>
        </row>
        <row r="326">
          <cell r="A326">
            <v>9</v>
          </cell>
          <cell r="B326">
            <v>214</v>
          </cell>
          <cell r="C326">
            <v>8137</v>
          </cell>
          <cell r="D326">
            <v>198.23</v>
          </cell>
          <cell r="E326">
            <v>9</v>
          </cell>
          <cell r="F326">
            <v>29896.23</v>
          </cell>
          <cell r="H326">
            <v>2</v>
          </cell>
          <cell r="I326">
            <v>0</v>
          </cell>
          <cell r="J326">
            <v>3431</v>
          </cell>
          <cell r="K326">
            <v>13081</v>
          </cell>
          <cell r="L326">
            <v>9650</v>
          </cell>
          <cell r="M326">
            <v>0</v>
          </cell>
          <cell r="N326">
            <v>0</v>
          </cell>
          <cell r="O326" t="str">
            <v>"Ulug`bek yulduzlari" lotereyasi bo`yicha xisob-kitoblar</v>
          </cell>
        </row>
        <row r="327">
          <cell r="A327">
            <v>9</v>
          </cell>
          <cell r="B327">
            <v>214</v>
          </cell>
          <cell r="C327">
            <v>8298</v>
          </cell>
          <cell r="D327">
            <v>198.23</v>
          </cell>
          <cell r="E327">
            <v>9</v>
          </cell>
          <cell r="F327">
            <v>29896.23</v>
          </cell>
          <cell r="H327">
            <v>2</v>
          </cell>
          <cell r="I327">
            <v>0</v>
          </cell>
          <cell r="J327">
            <v>44321</v>
          </cell>
          <cell r="K327">
            <v>64775</v>
          </cell>
          <cell r="L327">
            <v>56300</v>
          </cell>
          <cell r="M327">
            <v>0</v>
          </cell>
          <cell r="N327">
            <v>35846</v>
          </cell>
          <cell r="O327" t="str">
            <v>"Ulug`bek yulduzlari" lotereyasi bo`yicha xisob-kitoblar</v>
          </cell>
        </row>
        <row r="328">
          <cell r="A328">
            <v>9</v>
          </cell>
          <cell r="B328">
            <v>214</v>
          </cell>
          <cell r="C328">
            <v>8533</v>
          </cell>
          <cell r="D328">
            <v>198.23</v>
          </cell>
          <cell r="E328">
            <v>9</v>
          </cell>
          <cell r="F328">
            <v>29896.23</v>
          </cell>
          <cell r="H328">
            <v>2</v>
          </cell>
          <cell r="I328">
            <v>0</v>
          </cell>
          <cell r="J328">
            <v>8760</v>
          </cell>
          <cell r="K328">
            <v>17710</v>
          </cell>
          <cell r="L328">
            <v>8950</v>
          </cell>
          <cell r="M328">
            <v>0</v>
          </cell>
          <cell r="N328">
            <v>0</v>
          </cell>
          <cell r="O328" t="str">
            <v>"Ulug`bek yulduzlari" lotereyasi bo`yicha xisob-kitoblar</v>
          </cell>
        </row>
        <row r="329">
          <cell r="A329">
            <v>9</v>
          </cell>
          <cell r="B329">
            <v>214</v>
          </cell>
          <cell r="C329">
            <v>8659</v>
          </cell>
          <cell r="D329">
            <v>198.23</v>
          </cell>
          <cell r="E329">
            <v>9</v>
          </cell>
          <cell r="F329">
            <v>29896.23</v>
          </cell>
          <cell r="H329">
            <v>2</v>
          </cell>
          <cell r="I329">
            <v>0</v>
          </cell>
          <cell r="J329">
            <v>2050</v>
          </cell>
          <cell r="K329">
            <v>14650</v>
          </cell>
          <cell r="L329">
            <v>12600</v>
          </cell>
          <cell r="M329">
            <v>0</v>
          </cell>
          <cell r="N329">
            <v>0</v>
          </cell>
          <cell r="O329" t="str">
            <v>"Ulug`bek yulduzlari" lotereyasi bo`yicha xisob-kitoblar</v>
          </cell>
        </row>
        <row r="330">
          <cell r="A330">
            <v>9</v>
          </cell>
          <cell r="B330">
            <v>214</v>
          </cell>
          <cell r="C330">
            <v>3563</v>
          </cell>
          <cell r="D330">
            <v>198.24</v>
          </cell>
          <cell r="E330">
            <v>9</v>
          </cell>
          <cell r="F330">
            <v>29896.240000000002</v>
          </cell>
          <cell r="H330">
            <v>2</v>
          </cell>
          <cell r="I330">
            <v>0</v>
          </cell>
          <cell r="J330">
            <v>456625.62</v>
          </cell>
          <cell r="K330">
            <v>6850825.6200000001</v>
          </cell>
          <cell r="L330">
            <v>6394200</v>
          </cell>
          <cell r="M330">
            <v>0</v>
          </cell>
          <cell r="N330">
            <v>0</v>
          </cell>
          <cell r="O330" t="str">
            <v>"Omadli inson" lotereyasi bo`yicha xisob-kitoblar</v>
          </cell>
        </row>
        <row r="331">
          <cell r="A331">
            <v>9</v>
          </cell>
          <cell r="B331">
            <v>214</v>
          </cell>
          <cell r="C331">
            <v>5996</v>
          </cell>
          <cell r="D331">
            <v>198.24</v>
          </cell>
          <cell r="E331">
            <v>9</v>
          </cell>
          <cell r="F331">
            <v>29896.240000000002</v>
          </cell>
          <cell r="H331">
            <v>2</v>
          </cell>
          <cell r="I331">
            <v>0</v>
          </cell>
          <cell r="J331">
            <v>212440</v>
          </cell>
          <cell r="K331">
            <v>4935905</v>
          </cell>
          <cell r="L331">
            <v>5247500</v>
          </cell>
          <cell r="M331">
            <v>0</v>
          </cell>
          <cell r="N331">
            <v>524035</v>
          </cell>
          <cell r="O331" t="str">
            <v>"Omadli inson" lotereyasi bo`yicha xisob-kitoblar</v>
          </cell>
        </row>
        <row r="332">
          <cell r="A332">
            <v>9</v>
          </cell>
          <cell r="B332">
            <v>214</v>
          </cell>
          <cell r="C332">
            <v>7783</v>
          </cell>
          <cell r="D332">
            <v>198.24</v>
          </cell>
          <cell r="E332">
            <v>9</v>
          </cell>
          <cell r="F332">
            <v>29896.240000000002</v>
          </cell>
          <cell r="H332">
            <v>2</v>
          </cell>
          <cell r="I332">
            <v>0</v>
          </cell>
          <cell r="J332">
            <v>198316.1</v>
          </cell>
          <cell r="K332">
            <v>3533625</v>
          </cell>
          <cell r="L332">
            <v>4471200</v>
          </cell>
          <cell r="M332">
            <v>0</v>
          </cell>
          <cell r="N332">
            <v>1135891.1000000001</v>
          </cell>
          <cell r="O332" t="str">
            <v>"Omadli inson" lotereyasi bo`yicha xisob-kitoblar</v>
          </cell>
        </row>
        <row r="333">
          <cell r="A333">
            <v>9</v>
          </cell>
          <cell r="B333">
            <v>214</v>
          </cell>
          <cell r="C333">
            <v>7845</v>
          </cell>
          <cell r="D333">
            <v>198.24</v>
          </cell>
          <cell r="E333">
            <v>9</v>
          </cell>
          <cell r="F333">
            <v>29896.240000000002</v>
          </cell>
          <cell r="H333">
            <v>2</v>
          </cell>
          <cell r="I333">
            <v>0</v>
          </cell>
          <cell r="J333">
            <v>269295</v>
          </cell>
          <cell r="K333">
            <v>6956421.9500000002</v>
          </cell>
          <cell r="L333">
            <v>6927300</v>
          </cell>
          <cell r="M333">
            <v>0</v>
          </cell>
          <cell r="N333">
            <v>240173.05</v>
          </cell>
          <cell r="O333" t="str">
            <v>"Omadli inson" lotereyasi bo`yicha xisob-kitoblar</v>
          </cell>
        </row>
        <row r="334">
          <cell r="A334">
            <v>9</v>
          </cell>
          <cell r="B334">
            <v>214</v>
          </cell>
          <cell r="C334">
            <v>7948</v>
          </cell>
          <cell r="D334">
            <v>198.24</v>
          </cell>
          <cell r="E334">
            <v>9</v>
          </cell>
          <cell r="F334">
            <v>29896.240000000002</v>
          </cell>
          <cell r="H334">
            <v>2</v>
          </cell>
          <cell r="I334">
            <v>0</v>
          </cell>
          <cell r="J334">
            <v>342370</v>
          </cell>
          <cell r="K334">
            <v>4930840.95</v>
          </cell>
          <cell r="L334">
            <v>6439600</v>
          </cell>
          <cell r="M334">
            <v>0</v>
          </cell>
          <cell r="N334">
            <v>1851129.05</v>
          </cell>
          <cell r="O334" t="str">
            <v>"Omadli inson" lotereyasi bo`yicha xisob-kitoblar</v>
          </cell>
        </row>
        <row r="335">
          <cell r="A335">
            <v>9</v>
          </cell>
          <cell r="B335">
            <v>214</v>
          </cell>
          <cell r="C335">
            <v>8002</v>
          </cell>
          <cell r="D335">
            <v>198.24</v>
          </cell>
          <cell r="E335">
            <v>9</v>
          </cell>
          <cell r="F335">
            <v>29896.240000000002</v>
          </cell>
          <cell r="H335">
            <v>2</v>
          </cell>
          <cell r="I335">
            <v>0</v>
          </cell>
          <cell r="J335">
            <v>59953.05</v>
          </cell>
          <cell r="K335">
            <v>5494906.9500000002</v>
          </cell>
          <cell r="L335">
            <v>5500000</v>
          </cell>
          <cell r="M335">
            <v>0</v>
          </cell>
          <cell r="N335">
            <v>65046.1</v>
          </cell>
          <cell r="O335" t="str">
            <v>"Omadli inson" lotereyasi bo`yicha xisob-kitoblar</v>
          </cell>
        </row>
        <row r="336">
          <cell r="A336">
            <v>9</v>
          </cell>
          <cell r="B336">
            <v>214</v>
          </cell>
          <cell r="C336">
            <v>8104</v>
          </cell>
          <cell r="D336">
            <v>198.24</v>
          </cell>
          <cell r="E336">
            <v>9</v>
          </cell>
          <cell r="F336">
            <v>29896.240000000002</v>
          </cell>
          <cell r="H336">
            <v>2</v>
          </cell>
          <cell r="I336">
            <v>0</v>
          </cell>
          <cell r="J336">
            <v>391210</v>
          </cell>
          <cell r="K336">
            <v>5087500</v>
          </cell>
          <cell r="L336">
            <v>6806500</v>
          </cell>
          <cell r="M336">
            <v>0</v>
          </cell>
          <cell r="N336">
            <v>2110210</v>
          </cell>
          <cell r="O336" t="str">
            <v>"Omadli inson" lotereyasi bo`yicha xisob-kitoblar</v>
          </cell>
        </row>
        <row r="337">
          <cell r="A337">
            <v>9</v>
          </cell>
          <cell r="B337">
            <v>214</v>
          </cell>
          <cell r="C337">
            <v>8137</v>
          </cell>
          <cell r="D337">
            <v>198.24</v>
          </cell>
          <cell r="E337">
            <v>9</v>
          </cell>
          <cell r="F337">
            <v>29896.240000000002</v>
          </cell>
          <cell r="H337">
            <v>2</v>
          </cell>
          <cell r="I337">
            <v>0</v>
          </cell>
          <cell r="J337">
            <v>120580</v>
          </cell>
          <cell r="K337">
            <v>4060626</v>
          </cell>
          <cell r="L337">
            <v>4899300</v>
          </cell>
          <cell r="M337">
            <v>0</v>
          </cell>
          <cell r="N337">
            <v>959254</v>
          </cell>
          <cell r="O337" t="str">
            <v>"Omadli inson" lotereyasi bo`yicha xisob-kitoblar</v>
          </cell>
        </row>
        <row r="338">
          <cell r="A338">
            <v>9</v>
          </cell>
          <cell r="B338">
            <v>214</v>
          </cell>
          <cell r="C338">
            <v>8298</v>
          </cell>
          <cell r="D338">
            <v>198.24</v>
          </cell>
          <cell r="E338">
            <v>9</v>
          </cell>
          <cell r="F338">
            <v>29896.240000000002</v>
          </cell>
          <cell r="H338">
            <v>2</v>
          </cell>
          <cell r="I338">
            <v>0</v>
          </cell>
          <cell r="J338">
            <v>172092.9</v>
          </cell>
          <cell r="K338">
            <v>5154378.3600000003</v>
          </cell>
          <cell r="L338">
            <v>6378700</v>
          </cell>
          <cell r="M338">
            <v>0</v>
          </cell>
          <cell r="N338">
            <v>1396414.54</v>
          </cell>
          <cell r="O338" t="str">
            <v>"Omadli inson" lotereyasi bo`yicha xisob-kitoblar</v>
          </cell>
        </row>
        <row r="339">
          <cell r="A339">
            <v>9</v>
          </cell>
          <cell r="B339">
            <v>214</v>
          </cell>
          <cell r="C339">
            <v>8533</v>
          </cell>
          <cell r="D339">
            <v>198.24</v>
          </cell>
          <cell r="E339">
            <v>9</v>
          </cell>
          <cell r="F339">
            <v>29896.240000000002</v>
          </cell>
          <cell r="H339">
            <v>2</v>
          </cell>
          <cell r="I339">
            <v>0</v>
          </cell>
          <cell r="J339">
            <v>16660</v>
          </cell>
          <cell r="K339">
            <v>492563</v>
          </cell>
          <cell r="L339">
            <v>588400</v>
          </cell>
          <cell r="M339">
            <v>0</v>
          </cell>
          <cell r="N339">
            <v>112497</v>
          </cell>
          <cell r="O339" t="str">
            <v>"Omadli inson" lotereyasi bo`yicha xisob-kitoblar</v>
          </cell>
        </row>
        <row r="340">
          <cell r="A340">
            <v>9</v>
          </cell>
          <cell r="B340">
            <v>214</v>
          </cell>
          <cell r="C340">
            <v>8659</v>
          </cell>
          <cell r="D340">
            <v>198.24</v>
          </cell>
          <cell r="E340">
            <v>9</v>
          </cell>
          <cell r="F340">
            <v>29896.240000000002</v>
          </cell>
          <cell r="H340">
            <v>2</v>
          </cell>
          <cell r="I340">
            <v>0</v>
          </cell>
          <cell r="J340">
            <v>232238.1</v>
          </cell>
          <cell r="K340">
            <v>4243524.1900000004</v>
          </cell>
          <cell r="L340">
            <v>4700000</v>
          </cell>
          <cell r="M340">
            <v>0</v>
          </cell>
          <cell r="N340">
            <v>688713.91</v>
          </cell>
          <cell r="O340" t="str">
            <v>"Omadli inson" lotereyasi bo`yicha xisob-kitoblar</v>
          </cell>
        </row>
        <row r="341">
          <cell r="A341">
            <v>9</v>
          </cell>
          <cell r="B341">
            <v>214</v>
          </cell>
          <cell r="C341">
            <v>3563</v>
          </cell>
          <cell r="D341">
            <v>198.25</v>
          </cell>
          <cell r="E341">
            <v>9</v>
          </cell>
          <cell r="F341">
            <v>29896.25</v>
          </cell>
          <cell r="H341">
            <v>2</v>
          </cell>
          <cell r="I341">
            <v>0</v>
          </cell>
          <cell r="J341">
            <v>77640</v>
          </cell>
          <cell r="K341">
            <v>204580</v>
          </cell>
          <cell r="L341">
            <v>168500</v>
          </cell>
          <cell r="M341">
            <v>0</v>
          </cell>
          <cell r="N341">
            <v>41560</v>
          </cell>
          <cell r="O341" t="str">
            <v>"Ekolot-5" lotereyasi bo`yicha xisob-kitoblar</v>
          </cell>
        </row>
        <row r="342">
          <cell r="A342">
            <v>9</v>
          </cell>
          <cell r="B342">
            <v>214</v>
          </cell>
          <cell r="C342">
            <v>5996</v>
          </cell>
          <cell r="D342">
            <v>198.25</v>
          </cell>
          <cell r="E342">
            <v>9</v>
          </cell>
          <cell r="F342">
            <v>29896.25</v>
          </cell>
          <cell r="H342">
            <v>2</v>
          </cell>
          <cell r="I342">
            <v>0</v>
          </cell>
          <cell r="J342">
            <v>97200</v>
          </cell>
          <cell r="K342">
            <v>28300</v>
          </cell>
          <cell r="L342">
            <v>100000</v>
          </cell>
          <cell r="M342">
            <v>0</v>
          </cell>
          <cell r="N342">
            <v>168900</v>
          </cell>
          <cell r="O342" t="str">
            <v>"Ekolot-5" lotereyasi bo`yicha xisob-kitoblar</v>
          </cell>
        </row>
        <row r="343">
          <cell r="A343">
            <v>9</v>
          </cell>
          <cell r="B343">
            <v>214</v>
          </cell>
          <cell r="C343">
            <v>7783</v>
          </cell>
          <cell r="D343">
            <v>198.25</v>
          </cell>
          <cell r="E343">
            <v>9</v>
          </cell>
          <cell r="F343">
            <v>29896.25</v>
          </cell>
          <cell r="H343">
            <v>2</v>
          </cell>
          <cell r="I343">
            <v>0</v>
          </cell>
          <cell r="J343">
            <v>100400</v>
          </cell>
          <cell r="K343">
            <v>50900</v>
          </cell>
          <cell r="L343">
            <v>100000</v>
          </cell>
          <cell r="M343">
            <v>0</v>
          </cell>
          <cell r="N343">
            <v>149500</v>
          </cell>
          <cell r="O343" t="str">
            <v>"Ekolot-5" lotereyasi bo`yicha xisob-kitoblar</v>
          </cell>
        </row>
        <row r="344">
          <cell r="A344">
            <v>9</v>
          </cell>
          <cell r="B344">
            <v>214</v>
          </cell>
          <cell r="C344">
            <v>7845</v>
          </cell>
          <cell r="D344">
            <v>198.25</v>
          </cell>
          <cell r="E344">
            <v>9</v>
          </cell>
          <cell r="F344">
            <v>29896.25</v>
          </cell>
          <cell r="H344">
            <v>2</v>
          </cell>
          <cell r="I344">
            <v>0</v>
          </cell>
          <cell r="J344">
            <v>0</v>
          </cell>
          <cell r="K344">
            <v>50000</v>
          </cell>
          <cell r="L344">
            <v>50000</v>
          </cell>
          <cell r="M344">
            <v>0</v>
          </cell>
          <cell r="N344">
            <v>0</v>
          </cell>
          <cell r="O344" t="str">
            <v>"Ekolot-5" lotereyasi bo`yicha xisob-kitoblar</v>
          </cell>
        </row>
        <row r="345">
          <cell r="A345">
            <v>9</v>
          </cell>
          <cell r="B345">
            <v>214</v>
          </cell>
          <cell r="C345">
            <v>7948</v>
          </cell>
          <cell r="D345">
            <v>198.25</v>
          </cell>
          <cell r="E345">
            <v>9</v>
          </cell>
          <cell r="F345">
            <v>29896.25</v>
          </cell>
          <cell r="H345">
            <v>2</v>
          </cell>
          <cell r="I345">
            <v>0</v>
          </cell>
          <cell r="J345">
            <v>72759</v>
          </cell>
          <cell r="K345">
            <v>65149</v>
          </cell>
          <cell r="L345">
            <v>116900</v>
          </cell>
          <cell r="M345">
            <v>0</v>
          </cell>
          <cell r="N345">
            <v>124510</v>
          </cell>
          <cell r="O345" t="str">
            <v>"Ekolot-5" lotereyasi bo`yicha xisob-kitoblar</v>
          </cell>
        </row>
        <row r="346">
          <cell r="A346">
            <v>9</v>
          </cell>
          <cell r="B346">
            <v>214</v>
          </cell>
          <cell r="C346">
            <v>8002</v>
          </cell>
          <cell r="D346">
            <v>198.25</v>
          </cell>
          <cell r="E346">
            <v>9</v>
          </cell>
          <cell r="F346">
            <v>29896.25</v>
          </cell>
          <cell r="H346">
            <v>2</v>
          </cell>
          <cell r="I346">
            <v>0</v>
          </cell>
          <cell r="J346">
            <v>74100</v>
          </cell>
          <cell r="K346">
            <v>142750</v>
          </cell>
          <cell r="L346">
            <v>87700</v>
          </cell>
          <cell r="M346">
            <v>0</v>
          </cell>
          <cell r="N346">
            <v>19050</v>
          </cell>
          <cell r="O346" t="str">
            <v>"Ekolot-5" lotereyasi bo`yicha xisob-kitoblar</v>
          </cell>
        </row>
        <row r="347">
          <cell r="A347">
            <v>9</v>
          </cell>
          <cell r="B347">
            <v>214</v>
          </cell>
          <cell r="C347">
            <v>8104</v>
          </cell>
          <cell r="D347">
            <v>198.25</v>
          </cell>
          <cell r="E347">
            <v>9</v>
          </cell>
          <cell r="F347">
            <v>29896.25</v>
          </cell>
          <cell r="H347">
            <v>2</v>
          </cell>
          <cell r="I347">
            <v>0</v>
          </cell>
          <cell r="J347">
            <v>209530</v>
          </cell>
          <cell r="K347">
            <v>217530</v>
          </cell>
          <cell r="L347">
            <v>378600</v>
          </cell>
          <cell r="M347">
            <v>0</v>
          </cell>
          <cell r="N347">
            <v>370600</v>
          </cell>
          <cell r="O347" t="str">
            <v>"Ekolot-5" lotereyasi bo`yicha xisob-kitoblar</v>
          </cell>
        </row>
        <row r="348">
          <cell r="A348">
            <v>9</v>
          </cell>
          <cell r="B348">
            <v>214</v>
          </cell>
          <cell r="C348">
            <v>8137</v>
          </cell>
          <cell r="D348">
            <v>198.25</v>
          </cell>
          <cell r="E348">
            <v>9</v>
          </cell>
          <cell r="F348">
            <v>29896.25</v>
          </cell>
          <cell r="H348">
            <v>2</v>
          </cell>
          <cell r="I348">
            <v>0</v>
          </cell>
          <cell r="J348">
            <v>123600</v>
          </cell>
          <cell r="K348">
            <v>223600</v>
          </cell>
          <cell r="L348">
            <v>100000</v>
          </cell>
          <cell r="M348">
            <v>0</v>
          </cell>
          <cell r="N348">
            <v>0</v>
          </cell>
          <cell r="O348" t="str">
            <v>"Ekolot-5" lotereyasi bo`yicha xisob-kitoblar</v>
          </cell>
        </row>
        <row r="349">
          <cell r="A349">
            <v>9</v>
          </cell>
          <cell r="B349">
            <v>214</v>
          </cell>
          <cell r="C349">
            <v>8298</v>
          </cell>
          <cell r="D349">
            <v>198.25</v>
          </cell>
          <cell r="E349">
            <v>9</v>
          </cell>
          <cell r="F349">
            <v>29896.25</v>
          </cell>
          <cell r="H349">
            <v>2</v>
          </cell>
          <cell r="I349">
            <v>0</v>
          </cell>
          <cell r="J349">
            <v>25500</v>
          </cell>
          <cell r="K349">
            <v>47300</v>
          </cell>
          <cell r="L349">
            <v>80000</v>
          </cell>
          <cell r="M349">
            <v>0</v>
          </cell>
          <cell r="N349">
            <v>58200</v>
          </cell>
          <cell r="O349" t="str">
            <v>"Ekolot-5" lotereyasi bo`yicha xisob-kitoblar</v>
          </cell>
        </row>
        <row r="350">
          <cell r="A350">
            <v>9</v>
          </cell>
          <cell r="B350">
            <v>214</v>
          </cell>
          <cell r="C350">
            <v>8533</v>
          </cell>
          <cell r="D350">
            <v>198.25</v>
          </cell>
          <cell r="E350">
            <v>9</v>
          </cell>
          <cell r="F350">
            <v>29896.25</v>
          </cell>
          <cell r="H350">
            <v>2</v>
          </cell>
          <cell r="I350">
            <v>0</v>
          </cell>
          <cell r="J350">
            <v>29000</v>
          </cell>
          <cell r="K350">
            <v>83300</v>
          </cell>
          <cell r="L350">
            <v>58800</v>
          </cell>
          <cell r="M350">
            <v>0</v>
          </cell>
          <cell r="N350">
            <v>4500</v>
          </cell>
          <cell r="O350" t="str">
            <v>"Ekolot-5" lotereyasi bo`yicha xisob-kitoblar</v>
          </cell>
        </row>
        <row r="351">
          <cell r="A351">
            <v>9</v>
          </cell>
          <cell r="B351">
            <v>214</v>
          </cell>
          <cell r="C351">
            <v>8659</v>
          </cell>
          <cell r="D351">
            <v>198.25</v>
          </cell>
          <cell r="E351">
            <v>9</v>
          </cell>
          <cell r="F351">
            <v>29896.25</v>
          </cell>
          <cell r="H351">
            <v>2</v>
          </cell>
          <cell r="I351">
            <v>0</v>
          </cell>
          <cell r="J351">
            <v>15200</v>
          </cell>
          <cell r="K351">
            <v>10480</v>
          </cell>
          <cell r="L351">
            <v>22000</v>
          </cell>
          <cell r="M351">
            <v>0</v>
          </cell>
          <cell r="N351">
            <v>26720</v>
          </cell>
          <cell r="O351" t="str">
            <v>"Ekolot-5" lotereyasi bo`yicha xisob-kitoblar</v>
          </cell>
        </row>
        <row r="352">
          <cell r="A352">
            <v>9</v>
          </cell>
          <cell r="B352">
            <v>214</v>
          </cell>
          <cell r="C352">
            <v>3563</v>
          </cell>
          <cell r="D352">
            <v>198.26</v>
          </cell>
          <cell r="E352">
            <v>9</v>
          </cell>
          <cell r="F352">
            <v>29896.26</v>
          </cell>
          <cell r="H352">
            <v>2</v>
          </cell>
          <cell r="I352">
            <v>0</v>
          </cell>
          <cell r="J352">
            <v>0</v>
          </cell>
          <cell r="K352">
            <v>271039.35999999999</v>
          </cell>
          <cell r="L352">
            <v>320000</v>
          </cell>
          <cell r="M352">
            <v>0</v>
          </cell>
          <cell r="N352">
            <v>48960.639999999999</v>
          </cell>
          <cell r="O352" t="str">
            <v>"Инсон манфаатлари учун" (5 разряд) lotereyasi bo`yicha xiso</v>
          </cell>
        </row>
        <row r="353">
          <cell r="A353">
            <v>9</v>
          </cell>
          <cell r="B353">
            <v>214</v>
          </cell>
          <cell r="C353">
            <v>5996</v>
          </cell>
          <cell r="D353">
            <v>198.26</v>
          </cell>
          <cell r="E353">
            <v>9</v>
          </cell>
          <cell r="F353">
            <v>29896.26</v>
          </cell>
          <cell r="H353">
            <v>2</v>
          </cell>
          <cell r="I353">
            <v>0</v>
          </cell>
          <cell r="J353">
            <v>0</v>
          </cell>
          <cell r="K353">
            <v>85050</v>
          </cell>
          <cell r="L353">
            <v>550000</v>
          </cell>
          <cell r="M353">
            <v>0</v>
          </cell>
          <cell r="N353">
            <v>464950</v>
          </cell>
          <cell r="O353" t="str">
            <v>"Инсон манфаатлари учун" (5 разряд) lotereyasi bo`yicha xiso</v>
          </cell>
        </row>
        <row r="354">
          <cell r="A354">
            <v>9</v>
          </cell>
          <cell r="B354">
            <v>214</v>
          </cell>
          <cell r="C354">
            <v>7783</v>
          </cell>
          <cell r="D354">
            <v>198.26</v>
          </cell>
          <cell r="E354">
            <v>9</v>
          </cell>
          <cell r="F354">
            <v>29896.26</v>
          </cell>
          <cell r="H354">
            <v>2</v>
          </cell>
          <cell r="I354">
            <v>0</v>
          </cell>
          <cell r="J354">
            <v>0</v>
          </cell>
          <cell r="K354">
            <v>50650</v>
          </cell>
          <cell r="L354">
            <v>580000</v>
          </cell>
          <cell r="M354">
            <v>0</v>
          </cell>
          <cell r="N354">
            <v>529350</v>
          </cell>
          <cell r="O354" t="str">
            <v>"Инсон манфаатлари учун" (5 разряд) lotereyasi bo`yicha xiso</v>
          </cell>
        </row>
        <row r="355">
          <cell r="A355">
            <v>9</v>
          </cell>
          <cell r="B355">
            <v>214</v>
          </cell>
          <cell r="C355">
            <v>7845</v>
          </cell>
          <cell r="D355">
            <v>198.26</v>
          </cell>
          <cell r="E355">
            <v>9</v>
          </cell>
          <cell r="F355">
            <v>29896.26</v>
          </cell>
          <cell r="H355">
            <v>2</v>
          </cell>
          <cell r="I355">
            <v>0</v>
          </cell>
          <cell r="J355">
            <v>0</v>
          </cell>
          <cell r="K355">
            <v>77802</v>
          </cell>
          <cell r="L355">
            <v>520000</v>
          </cell>
          <cell r="M355">
            <v>0</v>
          </cell>
          <cell r="N355">
            <v>442198</v>
          </cell>
          <cell r="O355" t="str">
            <v>"Инсон манфаатлари учун" (5 разряд) lotereyasi bo`yicha xiso</v>
          </cell>
        </row>
        <row r="356">
          <cell r="A356">
            <v>9</v>
          </cell>
          <cell r="B356">
            <v>214</v>
          </cell>
          <cell r="C356">
            <v>7948</v>
          </cell>
          <cell r="D356">
            <v>198.26</v>
          </cell>
          <cell r="E356">
            <v>9</v>
          </cell>
          <cell r="F356">
            <v>29896.26</v>
          </cell>
          <cell r="H356">
            <v>2</v>
          </cell>
          <cell r="I356">
            <v>0</v>
          </cell>
          <cell r="J356">
            <v>0</v>
          </cell>
          <cell r="K356">
            <v>62247</v>
          </cell>
          <cell r="L356">
            <v>550000</v>
          </cell>
          <cell r="M356">
            <v>0</v>
          </cell>
          <cell r="N356">
            <v>487753</v>
          </cell>
          <cell r="O356" t="str">
            <v>"Инсон манфаатлари учун" (5 разряд) lotereyasi bo`yicha xiso</v>
          </cell>
        </row>
        <row r="357">
          <cell r="A357">
            <v>9</v>
          </cell>
          <cell r="B357">
            <v>214</v>
          </cell>
          <cell r="C357">
            <v>8002</v>
          </cell>
          <cell r="D357">
            <v>198.26</v>
          </cell>
          <cell r="E357">
            <v>9</v>
          </cell>
          <cell r="F357">
            <v>29896.26</v>
          </cell>
          <cell r="H357">
            <v>2</v>
          </cell>
          <cell r="I357">
            <v>0</v>
          </cell>
          <cell r="J357">
            <v>0</v>
          </cell>
          <cell r="K357">
            <v>36584</v>
          </cell>
          <cell r="L357">
            <v>500000</v>
          </cell>
          <cell r="M357">
            <v>0</v>
          </cell>
          <cell r="N357">
            <v>463416</v>
          </cell>
          <cell r="O357" t="str">
            <v>"Инсон манфаатлари учун" (5 разряд) lotereyasi bo`yicha xiso</v>
          </cell>
        </row>
        <row r="358">
          <cell r="A358">
            <v>9</v>
          </cell>
          <cell r="B358">
            <v>214</v>
          </cell>
          <cell r="C358">
            <v>8104</v>
          </cell>
          <cell r="D358">
            <v>198.26</v>
          </cell>
          <cell r="E358">
            <v>9</v>
          </cell>
          <cell r="F358">
            <v>29896.26</v>
          </cell>
          <cell r="H358">
            <v>2</v>
          </cell>
          <cell r="I358">
            <v>0</v>
          </cell>
          <cell r="J358">
            <v>0</v>
          </cell>
          <cell r="K358">
            <v>171150</v>
          </cell>
          <cell r="L358">
            <v>500000</v>
          </cell>
          <cell r="M358">
            <v>0</v>
          </cell>
          <cell r="N358">
            <v>328850</v>
          </cell>
          <cell r="O358" t="str">
            <v>"Инсон манфаатлари учун" (5 разряд) lotereyasi bo`yicha xiso</v>
          </cell>
        </row>
        <row r="359">
          <cell r="A359">
            <v>9</v>
          </cell>
          <cell r="B359">
            <v>214</v>
          </cell>
          <cell r="C359">
            <v>8137</v>
          </cell>
          <cell r="D359">
            <v>198.26</v>
          </cell>
          <cell r="E359">
            <v>9</v>
          </cell>
          <cell r="F359">
            <v>29896.26</v>
          </cell>
          <cell r="H359">
            <v>2</v>
          </cell>
          <cell r="I359">
            <v>0</v>
          </cell>
          <cell r="J359">
            <v>0</v>
          </cell>
          <cell r="K359">
            <v>18800</v>
          </cell>
          <cell r="L359">
            <v>250000</v>
          </cell>
          <cell r="M359">
            <v>0</v>
          </cell>
          <cell r="N359">
            <v>231200</v>
          </cell>
          <cell r="O359" t="str">
            <v>"Инсон манфаатлари учун" (5 разряд) lotereyasi bo`yicha xiso</v>
          </cell>
        </row>
        <row r="360">
          <cell r="A360">
            <v>9</v>
          </cell>
          <cell r="B360">
            <v>214</v>
          </cell>
          <cell r="C360">
            <v>8298</v>
          </cell>
          <cell r="D360">
            <v>198.26</v>
          </cell>
          <cell r="E360">
            <v>9</v>
          </cell>
          <cell r="F360">
            <v>29896.26</v>
          </cell>
          <cell r="H360">
            <v>2</v>
          </cell>
          <cell r="I360">
            <v>0</v>
          </cell>
          <cell r="J360">
            <v>0</v>
          </cell>
          <cell r="K360">
            <v>53000</v>
          </cell>
          <cell r="L360">
            <v>450000</v>
          </cell>
          <cell r="M360">
            <v>0</v>
          </cell>
          <cell r="N360">
            <v>397000</v>
          </cell>
          <cell r="O360" t="str">
            <v>"Инсон манфаатлари учун" (5 разряд) lotereyasi bo`yicha xiso</v>
          </cell>
        </row>
        <row r="361">
          <cell r="A361">
            <v>9</v>
          </cell>
          <cell r="B361">
            <v>214</v>
          </cell>
          <cell r="C361">
            <v>8533</v>
          </cell>
          <cell r="D361">
            <v>198.26</v>
          </cell>
          <cell r="E361">
            <v>9</v>
          </cell>
          <cell r="F361">
            <v>29896.26</v>
          </cell>
          <cell r="H361">
            <v>2</v>
          </cell>
          <cell r="I361">
            <v>0</v>
          </cell>
          <cell r="J361">
            <v>0</v>
          </cell>
          <cell r="K361">
            <v>52005</v>
          </cell>
          <cell r="L361">
            <v>250000</v>
          </cell>
          <cell r="M361">
            <v>0</v>
          </cell>
          <cell r="N361">
            <v>197995</v>
          </cell>
          <cell r="O361" t="str">
            <v>"Инсон манфаатлари учун" (5 разряд) lotereyasi bo`yicha xiso</v>
          </cell>
        </row>
        <row r="362">
          <cell r="A362">
            <v>9</v>
          </cell>
          <cell r="B362">
            <v>214</v>
          </cell>
          <cell r="C362">
            <v>8659</v>
          </cell>
          <cell r="D362">
            <v>198.26</v>
          </cell>
          <cell r="E362">
            <v>9</v>
          </cell>
          <cell r="F362">
            <v>29896.26</v>
          </cell>
          <cell r="H362">
            <v>2</v>
          </cell>
          <cell r="I362">
            <v>0</v>
          </cell>
          <cell r="J362">
            <v>0</v>
          </cell>
          <cell r="K362">
            <v>56450</v>
          </cell>
          <cell r="L362">
            <v>530000</v>
          </cell>
          <cell r="M362">
            <v>0</v>
          </cell>
          <cell r="N362">
            <v>473550</v>
          </cell>
          <cell r="O362" t="str">
            <v>"Инсон манфаатлари учун" (5 разряд) lotereyasi bo`yicha xiso</v>
          </cell>
        </row>
        <row r="363">
          <cell r="A363">
            <v>9</v>
          </cell>
          <cell r="B363">
            <v>214</v>
          </cell>
          <cell r="C363">
            <v>3563</v>
          </cell>
          <cell r="D363">
            <v>198.27</v>
          </cell>
          <cell r="E363">
            <v>9</v>
          </cell>
          <cell r="F363">
            <v>29896.27</v>
          </cell>
          <cell r="H363">
            <v>2</v>
          </cell>
          <cell r="I363">
            <v>0</v>
          </cell>
          <cell r="J363">
            <v>0</v>
          </cell>
          <cell r="K363">
            <v>230765</v>
          </cell>
          <cell r="L363">
            <v>300000</v>
          </cell>
          <cell r="M363">
            <v>0</v>
          </cell>
          <cell r="N363">
            <v>69235</v>
          </cell>
          <cell r="O363" t="str">
            <v>"Эколот-6" лотереяси буйича хисоб-китоблар</v>
          </cell>
        </row>
        <row r="364">
          <cell r="A364">
            <v>9</v>
          </cell>
          <cell r="B364">
            <v>214</v>
          </cell>
          <cell r="C364">
            <v>7783</v>
          </cell>
          <cell r="D364">
            <v>198.27</v>
          </cell>
          <cell r="E364">
            <v>9</v>
          </cell>
          <cell r="F364">
            <v>29896.27</v>
          </cell>
          <cell r="H364">
            <v>2</v>
          </cell>
          <cell r="I364">
            <v>0</v>
          </cell>
          <cell r="J364">
            <v>0</v>
          </cell>
          <cell r="K364">
            <v>100900</v>
          </cell>
          <cell r="L364">
            <v>200000</v>
          </cell>
          <cell r="M364">
            <v>0</v>
          </cell>
          <cell r="N364">
            <v>99100</v>
          </cell>
          <cell r="O364" t="str">
            <v>"Эколот-6" лотереяси буйича хисоб-китоблар</v>
          </cell>
        </row>
        <row r="365">
          <cell r="A365">
            <v>9</v>
          </cell>
          <cell r="B365">
            <v>214</v>
          </cell>
          <cell r="C365">
            <v>7948</v>
          </cell>
          <cell r="D365">
            <v>198.27</v>
          </cell>
          <cell r="E365">
            <v>9</v>
          </cell>
          <cell r="F365">
            <v>29896.27</v>
          </cell>
          <cell r="H365">
            <v>2</v>
          </cell>
          <cell r="I365">
            <v>0</v>
          </cell>
          <cell r="J365">
            <v>0</v>
          </cell>
          <cell r="K365">
            <v>78850</v>
          </cell>
          <cell r="L365">
            <v>150000</v>
          </cell>
          <cell r="M365">
            <v>0</v>
          </cell>
          <cell r="N365">
            <v>71150</v>
          </cell>
          <cell r="O365" t="str">
            <v>"Эколот-6" лотереяси буйича хисоб-китоблар</v>
          </cell>
        </row>
        <row r="366">
          <cell r="A366">
            <v>9</v>
          </cell>
          <cell r="B366">
            <v>214</v>
          </cell>
          <cell r="C366">
            <v>8104</v>
          </cell>
          <cell r="D366">
            <v>198.27</v>
          </cell>
          <cell r="E366">
            <v>9</v>
          </cell>
          <cell r="F366">
            <v>29896.27</v>
          </cell>
          <cell r="H366">
            <v>2</v>
          </cell>
          <cell r="I366">
            <v>0</v>
          </cell>
          <cell r="J366">
            <v>0</v>
          </cell>
          <cell r="K366">
            <v>171357</v>
          </cell>
          <cell r="L366">
            <v>1054300</v>
          </cell>
          <cell r="M366">
            <v>0</v>
          </cell>
          <cell r="N366">
            <v>882943</v>
          </cell>
          <cell r="O366" t="str">
            <v>"Эколот-6" лотереяси буйича хисоб-китоблар</v>
          </cell>
        </row>
        <row r="367">
          <cell r="A367">
            <v>9</v>
          </cell>
          <cell r="B367">
            <v>214</v>
          </cell>
          <cell r="C367">
            <v>8137</v>
          </cell>
          <cell r="D367">
            <v>198.27</v>
          </cell>
          <cell r="E367">
            <v>9</v>
          </cell>
          <cell r="F367">
            <v>29896.27</v>
          </cell>
          <cell r="H367">
            <v>2</v>
          </cell>
          <cell r="I367">
            <v>0</v>
          </cell>
          <cell r="J367">
            <v>0</v>
          </cell>
          <cell r="K367">
            <v>150000</v>
          </cell>
          <cell r="L367">
            <v>150000</v>
          </cell>
          <cell r="M367">
            <v>0</v>
          </cell>
          <cell r="N367">
            <v>0</v>
          </cell>
          <cell r="O367" t="str">
            <v>"Эколот-6" лотереяси буйича хисоб-китоблар</v>
          </cell>
        </row>
        <row r="368">
          <cell r="A368">
            <v>9</v>
          </cell>
          <cell r="B368">
            <v>214</v>
          </cell>
          <cell r="C368">
            <v>3563</v>
          </cell>
          <cell r="D368">
            <v>198.28</v>
          </cell>
          <cell r="E368">
            <v>0</v>
          </cell>
          <cell r="F368">
            <v>29896.28</v>
          </cell>
          <cell r="H368">
            <v>0</v>
          </cell>
          <cell r="I368">
            <v>0</v>
          </cell>
          <cell r="J368">
            <v>0</v>
          </cell>
          <cell r="K368">
            <v>401100</v>
          </cell>
          <cell r="L368">
            <v>514500</v>
          </cell>
          <cell r="M368">
            <v>0</v>
          </cell>
          <cell r="N368">
            <v>113400</v>
          </cell>
          <cell r="O368" t="str">
            <v>"Эколот-7" лотереяси буйича хисоб-китоблар</v>
          </cell>
        </row>
        <row r="369">
          <cell r="A369">
            <v>9</v>
          </cell>
          <cell r="B369">
            <v>214</v>
          </cell>
          <cell r="C369">
            <v>5996</v>
          </cell>
          <cell r="D369">
            <v>198.28</v>
          </cell>
          <cell r="E369">
            <v>0</v>
          </cell>
          <cell r="F369">
            <v>29896.28</v>
          </cell>
          <cell r="H369">
            <v>0</v>
          </cell>
          <cell r="I369">
            <v>0</v>
          </cell>
          <cell r="J369">
            <v>0</v>
          </cell>
          <cell r="K369">
            <v>70000</v>
          </cell>
          <cell r="L369">
            <v>71500</v>
          </cell>
          <cell r="M369">
            <v>0</v>
          </cell>
          <cell r="N369">
            <v>1500</v>
          </cell>
          <cell r="O369" t="str">
            <v>"Эколот-7" лотереяси буйича хисоб-китоблар</v>
          </cell>
        </row>
        <row r="370">
          <cell r="A370">
            <v>9</v>
          </cell>
          <cell r="B370">
            <v>214</v>
          </cell>
          <cell r="C370">
            <v>7783</v>
          </cell>
          <cell r="D370">
            <v>198.28</v>
          </cell>
          <cell r="E370">
            <v>0</v>
          </cell>
          <cell r="F370">
            <v>29896.28</v>
          </cell>
          <cell r="H370">
            <v>0</v>
          </cell>
          <cell r="I370">
            <v>0</v>
          </cell>
          <cell r="J370">
            <v>0</v>
          </cell>
          <cell r="K370">
            <v>509510</v>
          </cell>
          <cell r="L370">
            <v>786000</v>
          </cell>
          <cell r="M370">
            <v>0</v>
          </cell>
          <cell r="N370">
            <v>276490</v>
          </cell>
          <cell r="O370" t="str">
            <v>"Эколот-7" лотереяси буйича хисоб-китоблар</v>
          </cell>
        </row>
        <row r="371">
          <cell r="A371">
            <v>9</v>
          </cell>
          <cell r="B371">
            <v>214</v>
          </cell>
          <cell r="C371">
            <v>7948</v>
          </cell>
          <cell r="D371">
            <v>198.28</v>
          </cell>
          <cell r="E371">
            <v>0</v>
          </cell>
          <cell r="F371">
            <v>29896.28</v>
          </cell>
          <cell r="H371">
            <v>0</v>
          </cell>
          <cell r="I371">
            <v>0</v>
          </cell>
          <cell r="J371">
            <v>0</v>
          </cell>
          <cell r="K371">
            <v>501125</v>
          </cell>
          <cell r="L371">
            <v>822500</v>
          </cell>
          <cell r="M371">
            <v>0</v>
          </cell>
          <cell r="N371">
            <v>321375</v>
          </cell>
          <cell r="O371" t="str">
            <v>"Эколот-7" лотереяси буйича хисоб-китоблар</v>
          </cell>
        </row>
        <row r="372">
          <cell r="A372">
            <v>9</v>
          </cell>
          <cell r="B372">
            <v>214</v>
          </cell>
          <cell r="C372">
            <v>8002</v>
          </cell>
          <cell r="D372">
            <v>198.28</v>
          </cell>
          <cell r="E372">
            <v>0</v>
          </cell>
          <cell r="F372">
            <v>29896.28</v>
          </cell>
          <cell r="H372">
            <v>0</v>
          </cell>
          <cell r="I372">
            <v>0</v>
          </cell>
          <cell r="J372">
            <v>0</v>
          </cell>
          <cell r="K372">
            <v>449315</v>
          </cell>
          <cell r="L372">
            <v>827000</v>
          </cell>
          <cell r="M372">
            <v>0</v>
          </cell>
          <cell r="N372">
            <v>377685</v>
          </cell>
          <cell r="O372" t="str">
            <v>"Эколот-7" лотереяси буйича хисоб-китоблар</v>
          </cell>
        </row>
        <row r="373">
          <cell r="A373">
            <v>9</v>
          </cell>
          <cell r="B373">
            <v>214</v>
          </cell>
          <cell r="C373">
            <v>8104</v>
          </cell>
          <cell r="D373">
            <v>198.28</v>
          </cell>
          <cell r="E373">
            <v>0</v>
          </cell>
          <cell r="F373">
            <v>29896.28</v>
          </cell>
          <cell r="H373">
            <v>0</v>
          </cell>
          <cell r="I373">
            <v>0</v>
          </cell>
          <cell r="J373">
            <v>0</v>
          </cell>
          <cell r="K373">
            <v>573430</v>
          </cell>
          <cell r="L373">
            <v>2035500</v>
          </cell>
          <cell r="M373">
            <v>0</v>
          </cell>
          <cell r="N373">
            <v>1462070</v>
          </cell>
          <cell r="O373" t="str">
            <v>"Эколот-7" лотереяси буйича хисоб-китоблар</v>
          </cell>
        </row>
        <row r="374">
          <cell r="A374">
            <v>9</v>
          </cell>
          <cell r="B374">
            <v>214</v>
          </cell>
          <cell r="C374">
            <v>8137</v>
          </cell>
          <cell r="D374">
            <v>198.28</v>
          </cell>
          <cell r="E374">
            <v>0</v>
          </cell>
          <cell r="F374">
            <v>29896.28</v>
          </cell>
          <cell r="H374">
            <v>0</v>
          </cell>
          <cell r="I374">
            <v>0</v>
          </cell>
          <cell r="J374">
            <v>0</v>
          </cell>
          <cell r="K374">
            <v>462784</v>
          </cell>
          <cell r="L374">
            <v>625000</v>
          </cell>
          <cell r="M374">
            <v>0</v>
          </cell>
          <cell r="N374">
            <v>162216</v>
          </cell>
          <cell r="O374" t="str">
            <v>"Эколот-7" лотереяси буйича хисоб-китоблар</v>
          </cell>
        </row>
        <row r="375">
          <cell r="A375">
            <v>9</v>
          </cell>
          <cell r="B375">
            <v>214</v>
          </cell>
          <cell r="C375">
            <v>8659</v>
          </cell>
          <cell r="D375">
            <v>198.29</v>
          </cell>
          <cell r="E375">
            <v>0</v>
          </cell>
          <cell r="F375">
            <v>29896.29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2000</v>
          </cell>
          <cell r="M375">
            <v>0</v>
          </cell>
          <cell r="N375">
            <v>2000</v>
          </cell>
          <cell r="O375" t="str">
            <v>"Буюк Келажак-2000" лотереяси буйича хисоб-китоблар</v>
          </cell>
        </row>
        <row r="376">
          <cell r="A376">
            <v>9</v>
          </cell>
          <cell r="B376">
            <v>214</v>
          </cell>
          <cell r="C376">
            <v>3563</v>
          </cell>
          <cell r="D376">
            <v>198.3</v>
          </cell>
          <cell r="E376">
            <v>0</v>
          </cell>
          <cell r="F376">
            <v>29896.3</v>
          </cell>
          <cell r="H376">
            <v>0</v>
          </cell>
          <cell r="I376">
            <v>0</v>
          </cell>
          <cell r="J376">
            <v>0</v>
          </cell>
          <cell r="K376">
            <v>637445</v>
          </cell>
          <cell r="L376">
            <v>1069900</v>
          </cell>
          <cell r="M376">
            <v>0</v>
          </cell>
          <cell r="N376">
            <v>432455</v>
          </cell>
          <cell r="O376" t="str">
            <v>"Эколот-8" лотереяси буйича хисоб-китоблар</v>
          </cell>
        </row>
        <row r="377">
          <cell r="A377">
            <v>9</v>
          </cell>
          <cell r="B377">
            <v>214</v>
          </cell>
          <cell r="C377">
            <v>5996</v>
          </cell>
          <cell r="D377">
            <v>198.3</v>
          </cell>
          <cell r="E377">
            <v>0</v>
          </cell>
          <cell r="F377">
            <v>29896.3</v>
          </cell>
          <cell r="H377">
            <v>0</v>
          </cell>
          <cell r="I377">
            <v>0</v>
          </cell>
          <cell r="J377">
            <v>0</v>
          </cell>
          <cell r="K377">
            <v>82800</v>
          </cell>
          <cell r="L377">
            <v>100000</v>
          </cell>
          <cell r="M377">
            <v>0</v>
          </cell>
          <cell r="N377">
            <v>17200</v>
          </cell>
          <cell r="O377" t="str">
            <v>"Эколот-8" лотереяси буйича хисоб-китоблар</v>
          </cell>
        </row>
        <row r="378">
          <cell r="A378">
            <v>9</v>
          </cell>
          <cell r="B378">
            <v>214</v>
          </cell>
          <cell r="C378">
            <v>7783</v>
          </cell>
          <cell r="D378">
            <v>198.3</v>
          </cell>
          <cell r="E378">
            <v>0</v>
          </cell>
          <cell r="F378">
            <v>29896.3</v>
          </cell>
          <cell r="H378">
            <v>0</v>
          </cell>
          <cell r="I378">
            <v>0</v>
          </cell>
          <cell r="J378">
            <v>0</v>
          </cell>
          <cell r="K378">
            <v>215225</v>
          </cell>
          <cell r="L378">
            <v>400000</v>
          </cell>
          <cell r="M378">
            <v>0</v>
          </cell>
          <cell r="N378">
            <v>184775</v>
          </cell>
          <cell r="O378" t="str">
            <v>"Эколот-8" лотереяси буйича хисоб-китоблар</v>
          </cell>
        </row>
        <row r="379">
          <cell r="A379">
            <v>9</v>
          </cell>
          <cell r="B379">
            <v>214</v>
          </cell>
          <cell r="C379">
            <v>7948</v>
          </cell>
          <cell r="D379">
            <v>198.3</v>
          </cell>
          <cell r="E379">
            <v>0</v>
          </cell>
          <cell r="F379">
            <v>29896.3</v>
          </cell>
          <cell r="H379">
            <v>0</v>
          </cell>
          <cell r="I379">
            <v>0</v>
          </cell>
          <cell r="J379">
            <v>0</v>
          </cell>
          <cell r="K379">
            <v>560500</v>
          </cell>
          <cell r="L379">
            <v>1050000</v>
          </cell>
          <cell r="M379">
            <v>0</v>
          </cell>
          <cell r="N379">
            <v>489500</v>
          </cell>
          <cell r="O379" t="str">
            <v>"Эколот-8" лотереяси буйича хисоб-китоблар</v>
          </cell>
        </row>
        <row r="380">
          <cell r="A380">
            <v>9</v>
          </cell>
          <cell r="B380">
            <v>214</v>
          </cell>
          <cell r="C380">
            <v>8002</v>
          </cell>
          <cell r="D380">
            <v>198.3</v>
          </cell>
          <cell r="E380">
            <v>0</v>
          </cell>
          <cell r="F380">
            <v>29896.3</v>
          </cell>
          <cell r="H380">
            <v>0</v>
          </cell>
          <cell r="I380">
            <v>0</v>
          </cell>
          <cell r="J380">
            <v>0</v>
          </cell>
          <cell r="K380">
            <v>504600</v>
          </cell>
          <cell r="L380">
            <v>504600</v>
          </cell>
          <cell r="M380">
            <v>0</v>
          </cell>
          <cell r="N380">
            <v>0</v>
          </cell>
          <cell r="O380" t="str">
            <v>"Эколот-8" лотереяси буйича хисоб-китоблар</v>
          </cell>
        </row>
        <row r="381">
          <cell r="A381">
            <v>9</v>
          </cell>
          <cell r="B381">
            <v>214</v>
          </cell>
          <cell r="C381">
            <v>8104</v>
          </cell>
          <cell r="D381">
            <v>198.3</v>
          </cell>
          <cell r="E381">
            <v>0</v>
          </cell>
          <cell r="F381">
            <v>29896.3</v>
          </cell>
          <cell r="H381">
            <v>0</v>
          </cell>
          <cell r="I381">
            <v>0</v>
          </cell>
          <cell r="J381">
            <v>0</v>
          </cell>
          <cell r="K381">
            <v>246530</v>
          </cell>
          <cell r="L381">
            <v>591200</v>
          </cell>
          <cell r="M381">
            <v>0</v>
          </cell>
          <cell r="N381">
            <v>344670</v>
          </cell>
          <cell r="O381" t="str">
            <v>"Эколот-8" лотереяси буйича хисоб-китоблар</v>
          </cell>
        </row>
        <row r="382">
          <cell r="A382">
            <v>9</v>
          </cell>
          <cell r="B382">
            <v>214</v>
          </cell>
          <cell r="C382">
            <v>8137</v>
          </cell>
          <cell r="D382">
            <v>198.3</v>
          </cell>
          <cell r="E382">
            <v>0</v>
          </cell>
          <cell r="F382">
            <v>29896.3</v>
          </cell>
          <cell r="H382">
            <v>0</v>
          </cell>
          <cell r="I382">
            <v>0</v>
          </cell>
          <cell r="J382">
            <v>0</v>
          </cell>
          <cell r="K382">
            <v>249970</v>
          </cell>
          <cell r="L382">
            <v>692700</v>
          </cell>
          <cell r="M382">
            <v>0</v>
          </cell>
          <cell r="N382">
            <v>442730</v>
          </cell>
          <cell r="O382" t="str">
            <v>"Эколот-8" лотереяси буйича хисоб-китоблар</v>
          </cell>
        </row>
        <row r="383">
          <cell r="A383">
            <v>9</v>
          </cell>
          <cell r="B383">
            <v>214</v>
          </cell>
          <cell r="C383">
            <v>8298</v>
          </cell>
          <cell r="D383">
            <v>198.3</v>
          </cell>
          <cell r="E383">
            <v>0</v>
          </cell>
          <cell r="F383">
            <v>29896.3</v>
          </cell>
          <cell r="H383">
            <v>0</v>
          </cell>
          <cell r="I383">
            <v>0</v>
          </cell>
          <cell r="J383">
            <v>0</v>
          </cell>
          <cell r="K383">
            <v>211900</v>
          </cell>
          <cell r="L383">
            <v>211900</v>
          </cell>
          <cell r="M383">
            <v>0</v>
          </cell>
          <cell r="N383">
            <v>0</v>
          </cell>
          <cell r="O383" t="str">
            <v>"Эколот-8" лотереяси буйича хисоб-китоблар</v>
          </cell>
        </row>
        <row r="384">
          <cell r="A384">
            <v>9</v>
          </cell>
          <cell r="B384">
            <v>214</v>
          </cell>
          <cell r="C384">
            <v>3563</v>
          </cell>
          <cell r="D384">
            <v>198.31</v>
          </cell>
          <cell r="E384">
            <v>0</v>
          </cell>
          <cell r="F384">
            <v>29896.31</v>
          </cell>
          <cell r="H384">
            <v>0</v>
          </cell>
          <cell r="I384">
            <v>0</v>
          </cell>
          <cell r="J384">
            <v>0</v>
          </cell>
          <cell r="K384">
            <v>622944</v>
          </cell>
          <cell r="L384">
            <v>831150</v>
          </cell>
          <cell r="M384">
            <v>0</v>
          </cell>
          <cell r="N384">
            <v>208206</v>
          </cell>
          <cell r="O384" t="str">
            <v>"Эколот-9" лотереяси буйича хисоб-китоблар</v>
          </cell>
        </row>
        <row r="385">
          <cell r="A385">
            <v>9</v>
          </cell>
          <cell r="B385">
            <v>214</v>
          </cell>
          <cell r="C385">
            <v>5996</v>
          </cell>
          <cell r="D385">
            <v>198.31</v>
          </cell>
          <cell r="E385">
            <v>0</v>
          </cell>
          <cell r="F385">
            <v>29896.31</v>
          </cell>
          <cell r="H385">
            <v>0</v>
          </cell>
          <cell r="I385">
            <v>0</v>
          </cell>
          <cell r="J385">
            <v>0</v>
          </cell>
          <cell r="K385">
            <v>732200</v>
          </cell>
          <cell r="L385">
            <v>1506750</v>
          </cell>
          <cell r="M385">
            <v>0</v>
          </cell>
          <cell r="N385">
            <v>774550</v>
          </cell>
          <cell r="O385" t="str">
            <v>"Эколот-9" лотереяси буйича хисоб-китоблар</v>
          </cell>
        </row>
        <row r="386">
          <cell r="A386">
            <v>9</v>
          </cell>
          <cell r="B386">
            <v>214</v>
          </cell>
          <cell r="C386">
            <v>7783</v>
          </cell>
          <cell r="D386">
            <v>198.31</v>
          </cell>
          <cell r="E386">
            <v>0</v>
          </cell>
          <cell r="F386">
            <v>29896.31</v>
          </cell>
          <cell r="H386">
            <v>0</v>
          </cell>
          <cell r="I386">
            <v>0</v>
          </cell>
          <cell r="J386">
            <v>0</v>
          </cell>
          <cell r="K386">
            <v>536550</v>
          </cell>
          <cell r="L386">
            <v>1020000</v>
          </cell>
          <cell r="M386">
            <v>0</v>
          </cell>
          <cell r="N386">
            <v>483450</v>
          </cell>
          <cell r="O386" t="str">
            <v>"Эколот-9" лотереяси буйича хисоб-китоблар</v>
          </cell>
        </row>
        <row r="387">
          <cell r="A387">
            <v>9</v>
          </cell>
          <cell r="B387">
            <v>214</v>
          </cell>
          <cell r="C387">
            <v>7845</v>
          </cell>
          <cell r="D387">
            <v>198.31</v>
          </cell>
          <cell r="E387">
            <v>0</v>
          </cell>
          <cell r="F387">
            <v>29896.31</v>
          </cell>
          <cell r="H387">
            <v>0</v>
          </cell>
          <cell r="I387">
            <v>0</v>
          </cell>
          <cell r="J387">
            <v>0</v>
          </cell>
          <cell r="K387">
            <v>946792</v>
          </cell>
          <cell r="L387">
            <v>1920000</v>
          </cell>
          <cell r="M387">
            <v>0</v>
          </cell>
          <cell r="N387">
            <v>973208</v>
          </cell>
          <cell r="O387" t="str">
            <v>"Эколот-9" лотереяси буйича хисоб-китоблар</v>
          </cell>
        </row>
        <row r="388">
          <cell r="A388">
            <v>9</v>
          </cell>
          <cell r="B388">
            <v>214</v>
          </cell>
          <cell r="C388">
            <v>7948</v>
          </cell>
          <cell r="D388">
            <v>198.31</v>
          </cell>
          <cell r="E388">
            <v>0</v>
          </cell>
          <cell r="F388">
            <v>29896.31</v>
          </cell>
          <cell r="H388">
            <v>0</v>
          </cell>
          <cell r="I388">
            <v>0</v>
          </cell>
          <cell r="J388">
            <v>0</v>
          </cell>
          <cell r="K388">
            <v>1133094</v>
          </cell>
          <cell r="L388">
            <v>2219475</v>
          </cell>
          <cell r="M388">
            <v>0</v>
          </cell>
          <cell r="N388">
            <v>1086381</v>
          </cell>
          <cell r="O388" t="str">
            <v>"Эколот-9" лотереяси буйича хисоб-китоблар</v>
          </cell>
        </row>
        <row r="389">
          <cell r="A389">
            <v>9</v>
          </cell>
          <cell r="B389">
            <v>214</v>
          </cell>
          <cell r="C389">
            <v>8002</v>
          </cell>
          <cell r="D389">
            <v>198.31</v>
          </cell>
          <cell r="E389">
            <v>0</v>
          </cell>
          <cell r="F389">
            <v>29896.31</v>
          </cell>
          <cell r="H389">
            <v>0</v>
          </cell>
          <cell r="I389">
            <v>0</v>
          </cell>
          <cell r="J389">
            <v>0</v>
          </cell>
          <cell r="K389">
            <v>1559467</v>
          </cell>
          <cell r="L389">
            <v>1559467</v>
          </cell>
          <cell r="M389">
            <v>0</v>
          </cell>
          <cell r="N389">
            <v>0</v>
          </cell>
          <cell r="O389" t="str">
            <v>"Эколот-9" лотереяси буйича хисоб-китоблар</v>
          </cell>
        </row>
        <row r="390">
          <cell r="A390">
            <v>9</v>
          </cell>
          <cell r="B390">
            <v>214</v>
          </cell>
          <cell r="C390">
            <v>8104</v>
          </cell>
          <cell r="D390">
            <v>198.31</v>
          </cell>
          <cell r="E390">
            <v>0</v>
          </cell>
          <cell r="F390">
            <v>29896.31</v>
          </cell>
          <cell r="H390">
            <v>0</v>
          </cell>
          <cell r="I390">
            <v>0</v>
          </cell>
          <cell r="J390">
            <v>0</v>
          </cell>
          <cell r="K390">
            <v>162300</v>
          </cell>
          <cell r="L390">
            <v>304950</v>
          </cell>
          <cell r="M390">
            <v>0</v>
          </cell>
          <cell r="N390">
            <v>142650</v>
          </cell>
          <cell r="O390" t="str">
            <v>"Эколот-9" лотереяси буйича хисоб-китоблар</v>
          </cell>
        </row>
        <row r="391">
          <cell r="A391">
            <v>9</v>
          </cell>
          <cell r="B391">
            <v>214</v>
          </cell>
          <cell r="C391">
            <v>8137</v>
          </cell>
          <cell r="D391">
            <v>198.31</v>
          </cell>
          <cell r="E391">
            <v>0</v>
          </cell>
          <cell r="F391">
            <v>29896.31</v>
          </cell>
          <cell r="H391">
            <v>0</v>
          </cell>
          <cell r="I391">
            <v>0</v>
          </cell>
          <cell r="J391">
            <v>0</v>
          </cell>
          <cell r="K391">
            <v>302782.5</v>
          </cell>
          <cell r="L391">
            <v>779325</v>
          </cell>
          <cell r="M391">
            <v>0</v>
          </cell>
          <cell r="N391">
            <v>476542.5</v>
          </cell>
          <cell r="O391" t="str">
            <v>"Эколот-9" лотереяси буйича хисоб-китоблар</v>
          </cell>
        </row>
        <row r="392">
          <cell r="A392">
            <v>9</v>
          </cell>
          <cell r="B392">
            <v>214</v>
          </cell>
          <cell r="C392">
            <v>8298</v>
          </cell>
          <cell r="D392">
            <v>198.31</v>
          </cell>
          <cell r="E392">
            <v>0</v>
          </cell>
          <cell r="F392">
            <v>29896.31</v>
          </cell>
          <cell r="H392">
            <v>0</v>
          </cell>
          <cell r="I392">
            <v>0</v>
          </cell>
          <cell r="J392">
            <v>0</v>
          </cell>
          <cell r="K392">
            <v>870100</v>
          </cell>
          <cell r="L392">
            <v>870100</v>
          </cell>
          <cell r="M392">
            <v>0</v>
          </cell>
          <cell r="N392">
            <v>0</v>
          </cell>
          <cell r="O392" t="str">
            <v>"Эколот-9" лотереяси буйича хисоб-китоблар</v>
          </cell>
        </row>
        <row r="393">
          <cell r="A393">
            <v>9</v>
          </cell>
          <cell r="B393">
            <v>214</v>
          </cell>
          <cell r="C393">
            <v>8533</v>
          </cell>
          <cell r="D393">
            <v>198.31</v>
          </cell>
          <cell r="E393">
            <v>0</v>
          </cell>
          <cell r="F393">
            <v>29896.31</v>
          </cell>
          <cell r="H393">
            <v>0</v>
          </cell>
          <cell r="I393">
            <v>0</v>
          </cell>
          <cell r="J393">
            <v>0</v>
          </cell>
          <cell r="K393">
            <v>73866.25</v>
          </cell>
          <cell r="L393">
            <v>124225</v>
          </cell>
          <cell r="M393">
            <v>0</v>
          </cell>
          <cell r="N393">
            <v>50358.75</v>
          </cell>
          <cell r="O393" t="str">
            <v>"Эколот-9" лотереяси буйича хисоб-китоблар</v>
          </cell>
        </row>
        <row r="394">
          <cell r="A394">
            <v>9</v>
          </cell>
          <cell r="B394">
            <v>214</v>
          </cell>
          <cell r="C394">
            <v>8659</v>
          </cell>
          <cell r="D394">
            <v>198.31</v>
          </cell>
          <cell r="E394">
            <v>0</v>
          </cell>
          <cell r="F394">
            <v>29896.31</v>
          </cell>
          <cell r="H394">
            <v>0</v>
          </cell>
          <cell r="I394">
            <v>0</v>
          </cell>
          <cell r="J394">
            <v>0</v>
          </cell>
          <cell r="K394">
            <v>610365</v>
          </cell>
          <cell r="L394">
            <v>798300</v>
          </cell>
          <cell r="M394">
            <v>0</v>
          </cell>
          <cell r="N394">
            <v>187935</v>
          </cell>
          <cell r="O394" t="str">
            <v>"Эколот-9" лотереяси буйича хисоб-китоблар</v>
          </cell>
        </row>
        <row r="395">
          <cell r="A395">
            <v>9</v>
          </cell>
          <cell r="B395">
            <v>214</v>
          </cell>
          <cell r="C395">
            <v>214</v>
          </cell>
          <cell r="D395">
            <v>625.01</v>
          </cell>
          <cell r="E395">
            <v>10</v>
          </cell>
          <cell r="F395">
            <v>16309.01</v>
          </cell>
          <cell r="H395">
            <v>1</v>
          </cell>
          <cell r="I395">
            <v>12256000</v>
          </cell>
          <cell r="J395">
            <v>0</v>
          </cell>
          <cell r="K395">
            <v>0</v>
          </cell>
          <cell r="L395">
            <v>0</v>
          </cell>
          <cell r="M395">
            <v>12256000</v>
          </cell>
          <cell r="N395">
            <v>0</v>
          </cell>
          <cell r="O395" t="str">
            <v>Просроченные проценты по межбанковским ссудам</v>
          </cell>
        </row>
        <row r="396">
          <cell r="A396">
            <v>9</v>
          </cell>
          <cell r="B396">
            <v>214</v>
          </cell>
          <cell r="C396">
            <v>3563</v>
          </cell>
          <cell r="D396">
            <v>625.03</v>
          </cell>
          <cell r="E396">
            <v>10</v>
          </cell>
          <cell r="F396">
            <v>16309.03</v>
          </cell>
          <cell r="H396">
            <v>1</v>
          </cell>
          <cell r="I396">
            <v>10694.86</v>
          </cell>
          <cell r="J396">
            <v>0</v>
          </cell>
          <cell r="K396">
            <v>0</v>
          </cell>
          <cell r="L396">
            <v>10694.86</v>
          </cell>
          <cell r="M396">
            <v>0</v>
          </cell>
          <cell r="N396">
            <v>0</v>
          </cell>
          <cell r="O396" t="str">
            <v>Просроченные проценты по ссудам на ИЖС</v>
          </cell>
        </row>
        <row r="397">
          <cell r="A397">
            <v>9</v>
          </cell>
          <cell r="B397">
            <v>214</v>
          </cell>
          <cell r="C397">
            <v>5996</v>
          </cell>
          <cell r="D397">
            <v>625.03</v>
          </cell>
          <cell r="E397">
            <v>10</v>
          </cell>
          <cell r="F397">
            <v>16309.03</v>
          </cell>
          <cell r="H397">
            <v>1</v>
          </cell>
          <cell r="I397">
            <v>872592.81</v>
          </cell>
          <cell r="J397">
            <v>0</v>
          </cell>
          <cell r="K397">
            <v>1045000</v>
          </cell>
          <cell r="L397">
            <v>1312061</v>
          </cell>
          <cell r="M397">
            <v>605531.81000000006</v>
          </cell>
          <cell r="N397">
            <v>0</v>
          </cell>
          <cell r="O397" t="str">
            <v>Просроченные проценты по ссудам на ИЖС</v>
          </cell>
        </row>
        <row r="398">
          <cell r="A398">
            <v>9</v>
          </cell>
          <cell r="B398">
            <v>214</v>
          </cell>
          <cell r="C398">
            <v>7783</v>
          </cell>
          <cell r="D398">
            <v>625.03</v>
          </cell>
          <cell r="E398">
            <v>10</v>
          </cell>
          <cell r="F398">
            <v>16309.03</v>
          </cell>
          <cell r="H398">
            <v>1</v>
          </cell>
          <cell r="I398">
            <v>0</v>
          </cell>
          <cell r="J398">
            <v>0</v>
          </cell>
          <cell r="K398">
            <v>250850</v>
          </cell>
          <cell r="L398">
            <v>207062</v>
          </cell>
          <cell r="M398">
            <v>43788</v>
          </cell>
          <cell r="N398">
            <v>0</v>
          </cell>
          <cell r="O398" t="str">
            <v>Просроченные проценты по ссудам на ИЖС</v>
          </cell>
        </row>
        <row r="399">
          <cell r="A399">
            <v>9</v>
          </cell>
          <cell r="B399">
            <v>214</v>
          </cell>
          <cell r="C399">
            <v>7845</v>
          </cell>
          <cell r="D399">
            <v>625.03</v>
          </cell>
          <cell r="E399">
            <v>10</v>
          </cell>
          <cell r="F399">
            <v>16309.03</v>
          </cell>
          <cell r="H399">
            <v>1</v>
          </cell>
          <cell r="I399">
            <v>0</v>
          </cell>
          <cell r="J399">
            <v>0</v>
          </cell>
          <cell r="K399">
            <v>15000</v>
          </cell>
          <cell r="L399">
            <v>15000</v>
          </cell>
          <cell r="M399">
            <v>0</v>
          </cell>
          <cell r="N399">
            <v>0</v>
          </cell>
          <cell r="O399" t="str">
            <v>Просроченные проценты по ссудам на ИЖС</v>
          </cell>
        </row>
        <row r="400">
          <cell r="A400">
            <v>9</v>
          </cell>
          <cell r="B400">
            <v>214</v>
          </cell>
          <cell r="C400">
            <v>7948</v>
          </cell>
          <cell r="D400">
            <v>625.03</v>
          </cell>
          <cell r="E400">
            <v>10</v>
          </cell>
          <cell r="F400">
            <v>16309.03</v>
          </cell>
          <cell r="H400">
            <v>1</v>
          </cell>
          <cell r="I400">
            <v>176069</v>
          </cell>
          <cell r="J400">
            <v>0</v>
          </cell>
          <cell r="K400">
            <v>35818</v>
          </cell>
          <cell r="L400">
            <v>211887</v>
          </cell>
          <cell r="M400">
            <v>0</v>
          </cell>
          <cell r="N400">
            <v>0</v>
          </cell>
          <cell r="O400" t="str">
            <v>Просроченные проценты по ссудам на ИЖС</v>
          </cell>
        </row>
        <row r="401">
          <cell r="A401">
            <v>9</v>
          </cell>
          <cell r="B401">
            <v>214</v>
          </cell>
          <cell r="C401">
            <v>8104</v>
          </cell>
          <cell r="D401">
            <v>625.03</v>
          </cell>
          <cell r="E401">
            <v>10</v>
          </cell>
          <cell r="F401">
            <v>16309.03</v>
          </cell>
          <cell r="H401">
            <v>1</v>
          </cell>
          <cell r="I401">
            <v>0</v>
          </cell>
          <cell r="J401">
            <v>0</v>
          </cell>
          <cell r="K401">
            <v>45750</v>
          </cell>
          <cell r="L401">
            <v>45750</v>
          </cell>
          <cell r="M401">
            <v>0</v>
          </cell>
          <cell r="N401">
            <v>0</v>
          </cell>
          <cell r="O401" t="str">
            <v>Просроченные проценты по ссудам на ИЖС</v>
          </cell>
        </row>
        <row r="402">
          <cell r="A402">
            <v>9</v>
          </cell>
          <cell r="B402">
            <v>214</v>
          </cell>
          <cell r="C402">
            <v>8137</v>
          </cell>
          <cell r="D402">
            <v>625.03</v>
          </cell>
          <cell r="E402">
            <v>10</v>
          </cell>
          <cell r="F402">
            <v>16309.03</v>
          </cell>
          <cell r="H402">
            <v>1</v>
          </cell>
          <cell r="I402">
            <v>0</v>
          </cell>
          <cell r="J402">
            <v>0</v>
          </cell>
          <cell r="K402">
            <v>31000</v>
          </cell>
          <cell r="L402">
            <v>31000</v>
          </cell>
          <cell r="M402">
            <v>0</v>
          </cell>
          <cell r="N402">
            <v>0</v>
          </cell>
          <cell r="O402" t="str">
            <v>Просроченные проценты по ссудам на ИЖС</v>
          </cell>
        </row>
        <row r="403">
          <cell r="A403">
            <v>9</v>
          </cell>
          <cell r="B403">
            <v>214</v>
          </cell>
          <cell r="C403">
            <v>8659</v>
          </cell>
          <cell r="D403">
            <v>625.03</v>
          </cell>
          <cell r="E403">
            <v>10</v>
          </cell>
          <cell r="F403">
            <v>16309.03</v>
          </cell>
          <cell r="H403">
            <v>1</v>
          </cell>
          <cell r="I403">
            <v>0</v>
          </cell>
          <cell r="J403">
            <v>0</v>
          </cell>
          <cell r="K403">
            <v>155100</v>
          </cell>
          <cell r="L403">
            <v>155100</v>
          </cell>
          <cell r="M403">
            <v>0</v>
          </cell>
          <cell r="N403">
            <v>0</v>
          </cell>
          <cell r="O403" t="str">
            <v>Просроченные проценты по ссудам на ИЖС</v>
          </cell>
        </row>
        <row r="404">
          <cell r="A404">
            <v>9</v>
          </cell>
          <cell r="B404">
            <v>214</v>
          </cell>
          <cell r="C404">
            <v>3563</v>
          </cell>
          <cell r="D404">
            <v>629.01</v>
          </cell>
          <cell r="E404">
            <v>10</v>
          </cell>
          <cell r="F404">
            <v>15701</v>
          </cell>
          <cell r="H404">
            <v>1</v>
          </cell>
          <cell r="I404">
            <v>13334035</v>
          </cell>
          <cell r="J404">
            <v>0</v>
          </cell>
          <cell r="K404">
            <v>0</v>
          </cell>
          <cell r="L404">
            <v>13334035</v>
          </cell>
          <cell r="M404">
            <v>0</v>
          </cell>
          <cell r="N404">
            <v>0</v>
          </cell>
          <cell r="O404" t="str">
            <v>Ссуды и авансы в процессе судебного разбирательства</v>
          </cell>
        </row>
        <row r="405">
          <cell r="A405">
            <v>9</v>
          </cell>
          <cell r="B405">
            <v>214</v>
          </cell>
          <cell r="C405">
            <v>3563</v>
          </cell>
          <cell r="D405">
            <v>644</v>
          </cell>
          <cell r="E405">
            <v>10</v>
          </cell>
          <cell r="F405">
            <v>20208</v>
          </cell>
          <cell r="H405">
            <v>2</v>
          </cell>
          <cell r="I405">
            <v>0</v>
          </cell>
          <cell r="J405">
            <v>141022.70000000001</v>
          </cell>
          <cell r="K405">
            <v>14132563.76</v>
          </cell>
          <cell r="L405">
            <v>14193618</v>
          </cell>
          <cell r="M405">
            <v>0</v>
          </cell>
          <cell r="N405">
            <v>202076.94</v>
          </cell>
          <cell r="O405" t="str">
            <v>Депозиты до востребования частных пред-тий товарщ.и корпорац</v>
          </cell>
        </row>
        <row r="406">
          <cell r="A406">
            <v>9</v>
          </cell>
          <cell r="B406">
            <v>214</v>
          </cell>
          <cell r="C406">
            <v>5996</v>
          </cell>
          <cell r="D406">
            <v>644</v>
          </cell>
          <cell r="E406">
            <v>10</v>
          </cell>
          <cell r="F406">
            <v>20208</v>
          </cell>
          <cell r="H406">
            <v>2</v>
          </cell>
          <cell r="I406">
            <v>0</v>
          </cell>
          <cell r="J406">
            <v>0</v>
          </cell>
          <cell r="K406">
            <v>561720.85</v>
          </cell>
          <cell r="L406">
            <v>1042860.27</v>
          </cell>
          <cell r="M406">
            <v>0</v>
          </cell>
          <cell r="N406">
            <v>481139.42</v>
          </cell>
          <cell r="O406" t="str">
            <v>Депозиты до востребования частных пред-тий товарщ.и корпорац</v>
          </cell>
        </row>
        <row r="407">
          <cell r="A407">
            <v>9</v>
          </cell>
          <cell r="B407">
            <v>214</v>
          </cell>
          <cell r="C407">
            <v>7783</v>
          </cell>
          <cell r="D407">
            <v>644</v>
          </cell>
          <cell r="E407">
            <v>10</v>
          </cell>
          <cell r="F407">
            <v>20208</v>
          </cell>
          <cell r="H407">
            <v>2</v>
          </cell>
          <cell r="I407">
            <v>0</v>
          </cell>
          <cell r="J407">
            <v>148915.38</v>
          </cell>
          <cell r="K407">
            <v>285219.5</v>
          </cell>
          <cell r="L407">
            <v>174709</v>
          </cell>
          <cell r="M407">
            <v>0</v>
          </cell>
          <cell r="N407">
            <v>38404.879999999997</v>
          </cell>
          <cell r="O407" t="str">
            <v>Депозиты до востребования частных пред-тий товарщ.и корпорац</v>
          </cell>
        </row>
        <row r="408">
          <cell r="A408">
            <v>9</v>
          </cell>
          <cell r="B408">
            <v>214</v>
          </cell>
          <cell r="C408">
            <v>7948</v>
          </cell>
          <cell r="D408">
            <v>644</v>
          </cell>
          <cell r="E408">
            <v>10</v>
          </cell>
          <cell r="F408">
            <v>20208</v>
          </cell>
          <cell r="H408">
            <v>2</v>
          </cell>
          <cell r="I408">
            <v>0</v>
          </cell>
          <cell r="J408">
            <v>217314.57</v>
          </cell>
          <cell r="K408">
            <v>6008057.9199999999</v>
          </cell>
          <cell r="L408">
            <v>6243621.9299999997</v>
          </cell>
          <cell r="M408">
            <v>0</v>
          </cell>
          <cell r="N408">
            <v>452878.58</v>
          </cell>
          <cell r="O408" t="str">
            <v>Депозиты до востребования частных пред-тий товарщ.и корпорац</v>
          </cell>
        </row>
        <row r="409">
          <cell r="A409">
            <v>9</v>
          </cell>
          <cell r="B409">
            <v>214</v>
          </cell>
          <cell r="C409">
            <v>8298</v>
          </cell>
          <cell r="D409">
            <v>644</v>
          </cell>
          <cell r="E409">
            <v>10</v>
          </cell>
          <cell r="F409">
            <v>20208</v>
          </cell>
          <cell r="H409">
            <v>2</v>
          </cell>
          <cell r="I409">
            <v>0</v>
          </cell>
          <cell r="J409">
            <v>15696.63</v>
          </cell>
          <cell r="K409">
            <v>164908.82999999999</v>
          </cell>
          <cell r="L409">
            <v>156245.35</v>
          </cell>
          <cell r="M409">
            <v>0</v>
          </cell>
          <cell r="N409">
            <v>7033.15</v>
          </cell>
          <cell r="O409" t="str">
            <v>Депозиты до востребования частных пред-тий товарщ.и корпорац</v>
          </cell>
        </row>
        <row r="410">
          <cell r="A410">
            <v>9</v>
          </cell>
          <cell r="B410">
            <v>214</v>
          </cell>
          <cell r="C410">
            <v>8533</v>
          </cell>
          <cell r="D410">
            <v>644</v>
          </cell>
          <cell r="E410">
            <v>10</v>
          </cell>
          <cell r="F410">
            <v>20208</v>
          </cell>
          <cell r="H410">
            <v>2</v>
          </cell>
          <cell r="I410">
            <v>0</v>
          </cell>
          <cell r="J410">
            <v>2792</v>
          </cell>
          <cell r="K410">
            <v>544094.44999999995</v>
          </cell>
          <cell r="L410">
            <v>542300</v>
          </cell>
          <cell r="M410">
            <v>0</v>
          </cell>
          <cell r="N410">
            <v>997.55</v>
          </cell>
          <cell r="O410" t="str">
            <v>Депозиты до востребования частных пред-тий товарщ.и корпорац</v>
          </cell>
        </row>
        <row r="411">
          <cell r="A411">
            <v>9</v>
          </cell>
          <cell r="B411">
            <v>214</v>
          </cell>
          <cell r="C411">
            <v>8659</v>
          </cell>
          <cell r="D411">
            <v>644</v>
          </cell>
          <cell r="E411">
            <v>10</v>
          </cell>
          <cell r="F411">
            <v>20208</v>
          </cell>
          <cell r="H411">
            <v>2</v>
          </cell>
          <cell r="I411">
            <v>0</v>
          </cell>
          <cell r="J411">
            <v>104313.14</v>
          </cell>
          <cell r="K411">
            <v>1053952.8700000001</v>
          </cell>
          <cell r="L411">
            <v>1959466</v>
          </cell>
          <cell r="M411">
            <v>0</v>
          </cell>
          <cell r="N411">
            <v>1009826.27</v>
          </cell>
          <cell r="O411" t="str">
            <v>Депозиты до востребования частных пред-тий товарщ.и корпорац</v>
          </cell>
        </row>
        <row r="412">
          <cell r="A412">
            <v>9</v>
          </cell>
          <cell r="B412">
            <v>214</v>
          </cell>
          <cell r="C412">
            <v>3563</v>
          </cell>
          <cell r="D412">
            <v>695</v>
          </cell>
          <cell r="E412">
            <v>13</v>
          </cell>
          <cell r="F412">
            <v>20212.04</v>
          </cell>
          <cell r="H412">
            <v>2</v>
          </cell>
          <cell r="I412">
            <v>0</v>
          </cell>
          <cell r="J412">
            <v>2367213.34</v>
          </cell>
          <cell r="K412">
            <v>4577934.83</v>
          </cell>
          <cell r="L412">
            <v>6226073.8499999996</v>
          </cell>
          <cell r="M412">
            <v>0</v>
          </cell>
          <cell r="N412">
            <v>4015352.36</v>
          </cell>
          <cell r="O412" t="str">
            <v>Тек. счета профсоюзных организаций</v>
          </cell>
        </row>
        <row r="413">
          <cell r="A413">
            <v>9</v>
          </cell>
          <cell r="B413">
            <v>214</v>
          </cell>
          <cell r="C413">
            <v>5996</v>
          </cell>
          <cell r="D413">
            <v>695</v>
          </cell>
          <cell r="E413">
            <v>13</v>
          </cell>
          <cell r="F413">
            <v>20212.04</v>
          </cell>
          <cell r="H413">
            <v>2</v>
          </cell>
          <cell r="I413">
            <v>0</v>
          </cell>
          <cell r="J413">
            <v>1142981.02</v>
          </cell>
          <cell r="K413">
            <v>4387730.9000000004</v>
          </cell>
          <cell r="L413">
            <v>4173354.04</v>
          </cell>
          <cell r="M413">
            <v>0</v>
          </cell>
          <cell r="N413">
            <v>928604.16000000003</v>
          </cell>
          <cell r="O413" t="str">
            <v>Тек. счета профсоюзных организаций</v>
          </cell>
        </row>
        <row r="414">
          <cell r="A414">
            <v>9</v>
          </cell>
          <cell r="B414">
            <v>214</v>
          </cell>
          <cell r="C414">
            <v>7783</v>
          </cell>
          <cell r="D414">
            <v>695</v>
          </cell>
          <cell r="E414">
            <v>13</v>
          </cell>
          <cell r="F414">
            <v>20212.04</v>
          </cell>
          <cell r="H414">
            <v>2</v>
          </cell>
          <cell r="I414">
            <v>0</v>
          </cell>
          <cell r="J414">
            <v>1110044.98</v>
          </cell>
          <cell r="K414">
            <v>3096389.77</v>
          </cell>
          <cell r="L414">
            <v>3752393.87</v>
          </cell>
          <cell r="M414">
            <v>0</v>
          </cell>
          <cell r="N414">
            <v>1766049.08</v>
          </cell>
          <cell r="O414" t="str">
            <v>Тек. счета профсоюзных организаций</v>
          </cell>
        </row>
        <row r="415">
          <cell r="A415">
            <v>9</v>
          </cell>
          <cell r="B415">
            <v>214</v>
          </cell>
          <cell r="C415">
            <v>7845</v>
          </cell>
          <cell r="D415">
            <v>695</v>
          </cell>
          <cell r="E415">
            <v>13</v>
          </cell>
          <cell r="F415">
            <v>20212.04</v>
          </cell>
          <cell r="H415">
            <v>2</v>
          </cell>
          <cell r="I415">
            <v>0</v>
          </cell>
          <cell r="J415">
            <v>269992.65000000002</v>
          </cell>
          <cell r="K415">
            <v>820016.6</v>
          </cell>
          <cell r="L415">
            <v>813637.04</v>
          </cell>
          <cell r="M415">
            <v>0</v>
          </cell>
          <cell r="N415">
            <v>263613.09000000003</v>
          </cell>
          <cell r="O415" t="str">
            <v>Тек. счета профсоюзных организаций</v>
          </cell>
        </row>
        <row r="416">
          <cell r="A416">
            <v>9</v>
          </cell>
          <cell r="B416">
            <v>214</v>
          </cell>
          <cell r="C416">
            <v>7948</v>
          </cell>
          <cell r="D416">
            <v>695</v>
          </cell>
          <cell r="E416">
            <v>13</v>
          </cell>
          <cell r="F416">
            <v>20212.04</v>
          </cell>
          <cell r="H416">
            <v>2</v>
          </cell>
          <cell r="I416">
            <v>0</v>
          </cell>
          <cell r="J416">
            <v>329362.48</v>
          </cell>
          <cell r="K416">
            <v>1220862</v>
          </cell>
          <cell r="L416">
            <v>1484447.56</v>
          </cell>
          <cell r="M416">
            <v>0</v>
          </cell>
          <cell r="N416">
            <v>592948.04</v>
          </cell>
          <cell r="O416" t="str">
            <v>Тек. счета профсоюзных организаций</v>
          </cell>
        </row>
        <row r="417">
          <cell r="A417">
            <v>9</v>
          </cell>
          <cell r="B417">
            <v>214</v>
          </cell>
          <cell r="C417">
            <v>8002</v>
          </cell>
          <cell r="D417">
            <v>695</v>
          </cell>
          <cell r="E417">
            <v>13</v>
          </cell>
          <cell r="F417">
            <v>20212.04</v>
          </cell>
          <cell r="H417">
            <v>2</v>
          </cell>
          <cell r="I417">
            <v>0</v>
          </cell>
          <cell r="J417">
            <v>108385.44</v>
          </cell>
          <cell r="K417">
            <v>1177777</v>
          </cell>
          <cell r="L417">
            <v>1092112.49</v>
          </cell>
          <cell r="M417">
            <v>0</v>
          </cell>
          <cell r="N417">
            <v>22720.93</v>
          </cell>
          <cell r="O417" t="str">
            <v>Тек. счета профсоюзных организаций</v>
          </cell>
        </row>
        <row r="418">
          <cell r="A418">
            <v>9</v>
          </cell>
          <cell r="B418">
            <v>214</v>
          </cell>
          <cell r="C418">
            <v>8104</v>
          </cell>
          <cell r="D418">
            <v>695</v>
          </cell>
          <cell r="E418">
            <v>13</v>
          </cell>
          <cell r="F418">
            <v>20212.04</v>
          </cell>
          <cell r="H418">
            <v>2</v>
          </cell>
          <cell r="I418">
            <v>0</v>
          </cell>
          <cell r="J418">
            <v>89101.97</v>
          </cell>
          <cell r="K418">
            <v>383315.49</v>
          </cell>
          <cell r="L418">
            <v>562449.94999999995</v>
          </cell>
          <cell r="M418">
            <v>0</v>
          </cell>
          <cell r="N418">
            <v>268236.43</v>
          </cell>
          <cell r="O418" t="str">
            <v>Тек. счета профсоюзных организаций</v>
          </cell>
        </row>
        <row r="419">
          <cell r="A419">
            <v>9</v>
          </cell>
          <cell r="B419">
            <v>214</v>
          </cell>
          <cell r="C419">
            <v>8137</v>
          </cell>
          <cell r="D419">
            <v>695</v>
          </cell>
          <cell r="E419">
            <v>13</v>
          </cell>
          <cell r="F419">
            <v>20212.04</v>
          </cell>
          <cell r="H419">
            <v>2</v>
          </cell>
          <cell r="I419">
            <v>0</v>
          </cell>
          <cell r="J419">
            <v>264667.8</v>
          </cell>
          <cell r="K419">
            <v>330539.46000000002</v>
          </cell>
          <cell r="L419">
            <v>284286.7</v>
          </cell>
          <cell r="M419">
            <v>0</v>
          </cell>
          <cell r="N419">
            <v>218415.04</v>
          </cell>
          <cell r="O419" t="str">
            <v>Тек. счета профсоюзных организаций</v>
          </cell>
        </row>
        <row r="420">
          <cell r="A420">
            <v>9</v>
          </cell>
          <cell r="B420">
            <v>214</v>
          </cell>
          <cell r="C420">
            <v>8298</v>
          </cell>
          <cell r="D420">
            <v>695</v>
          </cell>
          <cell r="E420">
            <v>13</v>
          </cell>
          <cell r="F420">
            <v>20212.04</v>
          </cell>
          <cell r="H420">
            <v>2</v>
          </cell>
          <cell r="I420">
            <v>0</v>
          </cell>
          <cell r="J420">
            <v>66454.460000000006</v>
          </cell>
          <cell r="K420">
            <v>260960</v>
          </cell>
          <cell r="L420">
            <v>352934.47</v>
          </cell>
          <cell r="M420">
            <v>0</v>
          </cell>
          <cell r="N420">
            <v>158428.93</v>
          </cell>
          <cell r="O420" t="str">
            <v>Тек. счета профсоюзных организаций</v>
          </cell>
        </row>
        <row r="421">
          <cell r="A421">
            <v>9</v>
          </cell>
          <cell r="B421">
            <v>214</v>
          </cell>
          <cell r="C421">
            <v>8533</v>
          </cell>
          <cell r="D421">
            <v>695</v>
          </cell>
          <cell r="E421">
            <v>13</v>
          </cell>
          <cell r="F421">
            <v>20212.04</v>
          </cell>
          <cell r="H421">
            <v>2</v>
          </cell>
          <cell r="I421">
            <v>0</v>
          </cell>
          <cell r="J421">
            <v>119501.69</v>
          </cell>
          <cell r="K421">
            <v>709744.3</v>
          </cell>
          <cell r="L421">
            <v>957937</v>
          </cell>
          <cell r="M421">
            <v>0</v>
          </cell>
          <cell r="N421">
            <v>367694.39</v>
          </cell>
          <cell r="O421" t="str">
            <v>Тек. счета профсоюзных организаций</v>
          </cell>
        </row>
        <row r="422">
          <cell r="A422">
            <v>9</v>
          </cell>
          <cell r="B422">
            <v>214</v>
          </cell>
          <cell r="C422">
            <v>8659</v>
          </cell>
          <cell r="D422">
            <v>695</v>
          </cell>
          <cell r="E422">
            <v>13</v>
          </cell>
          <cell r="F422">
            <v>20212.04</v>
          </cell>
          <cell r="H422">
            <v>2</v>
          </cell>
          <cell r="I422">
            <v>0</v>
          </cell>
          <cell r="J422">
            <v>19864.71</v>
          </cell>
          <cell r="K422">
            <v>220800.02</v>
          </cell>
          <cell r="L422">
            <v>278518.75</v>
          </cell>
          <cell r="M422">
            <v>0</v>
          </cell>
          <cell r="N422">
            <v>77583.44</v>
          </cell>
          <cell r="O422" t="str">
            <v>Тек. счета профсоюзных организаций</v>
          </cell>
        </row>
        <row r="423">
          <cell r="A423">
            <v>9</v>
          </cell>
          <cell r="B423">
            <v>214</v>
          </cell>
          <cell r="C423">
            <v>3563</v>
          </cell>
          <cell r="D423">
            <v>700</v>
          </cell>
          <cell r="E423">
            <v>13</v>
          </cell>
          <cell r="F423">
            <v>20212.05</v>
          </cell>
          <cell r="H423">
            <v>2</v>
          </cell>
          <cell r="I423">
            <v>0</v>
          </cell>
          <cell r="J423">
            <v>56258</v>
          </cell>
          <cell r="K423">
            <v>7434769</v>
          </cell>
          <cell r="L423">
            <v>7378511</v>
          </cell>
          <cell r="M423">
            <v>0</v>
          </cell>
          <cell r="N423">
            <v>0</v>
          </cell>
          <cell r="O423" t="str">
            <v>Тек. счета махал.комитетов (малообеспеченным)</v>
          </cell>
        </row>
        <row r="424">
          <cell r="A424">
            <v>9</v>
          </cell>
          <cell r="B424">
            <v>214</v>
          </cell>
          <cell r="C424">
            <v>5996</v>
          </cell>
          <cell r="D424">
            <v>700</v>
          </cell>
          <cell r="E424">
            <v>13</v>
          </cell>
          <cell r="F424">
            <v>20212.05</v>
          </cell>
          <cell r="H424">
            <v>2</v>
          </cell>
          <cell r="I424">
            <v>0</v>
          </cell>
          <cell r="J424">
            <v>954934</v>
          </cell>
          <cell r="K424">
            <v>15132687.699999999</v>
          </cell>
          <cell r="L424">
            <v>14177753.699999999</v>
          </cell>
          <cell r="M424">
            <v>0</v>
          </cell>
          <cell r="N424">
            <v>0</v>
          </cell>
          <cell r="O424" t="str">
            <v>Тек. счета махал.комитетов (малообеспеченным)</v>
          </cell>
        </row>
        <row r="425">
          <cell r="A425">
            <v>9</v>
          </cell>
          <cell r="B425">
            <v>214</v>
          </cell>
          <cell r="C425">
            <v>7783</v>
          </cell>
          <cell r="D425">
            <v>700</v>
          </cell>
          <cell r="E425">
            <v>13</v>
          </cell>
          <cell r="F425">
            <v>20212.05</v>
          </cell>
          <cell r="H425">
            <v>2</v>
          </cell>
          <cell r="I425">
            <v>0</v>
          </cell>
          <cell r="J425">
            <v>58036</v>
          </cell>
          <cell r="K425">
            <v>7977239</v>
          </cell>
          <cell r="L425">
            <v>7969386</v>
          </cell>
          <cell r="M425">
            <v>0</v>
          </cell>
          <cell r="N425">
            <v>50183</v>
          </cell>
          <cell r="O425" t="str">
            <v>Тек. счета махал.комитетов (малообеспеченным)</v>
          </cell>
        </row>
        <row r="426">
          <cell r="A426">
            <v>9</v>
          </cell>
          <cell r="B426">
            <v>214</v>
          </cell>
          <cell r="C426">
            <v>7845</v>
          </cell>
          <cell r="D426">
            <v>700</v>
          </cell>
          <cell r="E426">
            <v>13</v>
          </cell>
          <cell r="F426">
            <v>20212.05</v>
          </cell>
          <cell r="H426">
            <v>2</v>
          </cell>
          <cell r="I426">
            <v>0</v>
          </cell>
          <cell r="J426">
            <v>245698.5</v>
          </cell>
          <cell r="K426">
            <v>13303198</v>
          </cell>
          <cell r="L426">
            <v>13160500</v>
          </cell>
          <cell r="M426">
            <v>0</v>
          </cell>
          <cell r="N426">
            <v>103000.5</v>
          </cell>
          <cell r="O426" t="str">
            <v>Тек. счета махал.комитетов (малообеспеченным)</v>
          </cell>
        </row>
        <row r="427">
          <cell r="A427">
            <v>9</v>
          </cell>
          <cell r="B427">
            <v>214</v>
          </cell>
          <cell r="C427">
            <v>7948</v>
          </cell>
          <cell r="D427">
            <v>700</v>
          </cell>
          <cell r="E427">
            <v>13</v>
          </cell>
          <cell r="F427">
            <v>20212.05</v>
          </cell>
          <cell r="H427">
            <v>2</v>
          </cell>
          <cell r="I427">
            <v>0</v>
          </cell>
          <cell r="J427">
            <v>77200</v>
          </cell>
          <cell r="K427">
            <v>3868241</v>
          </cell>
          <cell r="L427">
            <v>3854793</v>
          </cell>
          <cell r="M427">
            <v>0</v>
          </cell>
          <cell r="N427">
            <v>63752</v>
          </cell>
          <cell r="O427" t="str">
            <v>Тек. счета махал.комитетов (малообеспеченным)</v>
          </cell>
        </row>
        <row r="428">
          <cell r="A428">
            <v>9</v>
          </cell>
          <cell r="B428">
            <v>214</v>
          </cell>
          <cell r="C428">
            <v>8002</v>
          </cell>
          <cell r="D428">
            <v>700</v>
          </cell>
          <cell r="E428">
            <v>13</v>
          </cell>
          <cell r="F428">
            <v>20212.05</v>
          </cell>
          <cell r="H428">
            <v>2</v>
          </cell>
          <cell r="I428">
            <v>0</v>
          </cell>
          <cell r="J428">
            <v>25483.13</v>
          </cell>
          <cell r="K428">
            <v>5524040</v>
          </cell>
          <cell r="L428">
            <v>5502787</v>
          </cell>
          <cell r="M428">
            <v>0</v>
          </cell>
          <cell r="N428">
            <v>4230.13</v>
          </cell>
          <cell r="O428" t="str">
            <v>Тек. счета махал.комитетов (малообеспеченным)</v>
          </cell>
        </row>
        <row r="429">
          <cell r="A429">
            <v>9</v>
          </cell>
          <cell r="B429">
            <v>214</v>
          </cell>
          <cell r="C429">
            <v>8104</v>
          </cell>
          <cell r="D429">
            <v>700</v>
          </cell>
          <cell r="E429">
            <v>13</v>
          </cell>
          <cell r="F429">
            <v>20212.05</v>
          </cell>
          <cell r="H429">
            <v>2</v>
          </cell>
          <cell r="I429">
            <v>0</v>
          </cell>
          <cell r="J429">
            <v>132317</v>
          </cell>
          <cell r="K429">
            <v>6943898</v>
          </cell>
          <cell r="L429">
            <v>6866748</v>
          </cell>
          <cell r="M429">
            <v>0</v>
          </cell>
          <cell r="N429">
            <v>55167</v>
          </cell>
          <cell r="O429" t="str">
            <v>Тек. счета махал.комитетов (малообеспеченным)</v>
          </cell>
        </row>
        <row r="430">
          <cell r="A430">
            <v>9</v>
          </cell>
          <cell r="B430">
            <v>214</v>
          </cell>
          <cell r="C430">
            <v>8137</v>
          </cell>
          <cell r="D430">
            <v>700</v>
          </cell>
          <cell r="E430">
            <v>13</v>
          </cell>
          <cell r="F430">
            <v>20212.05</v>
          </cell>
          <cell r="H430">
            <v>2</v>
          </cell>
          <cell r="I430">
            <v>0</v>
          </cell>
          <cell r="J430">
            <v>20801</v>
          </cell>
          <cell r="K430">
            <v>4080299</v>
          </cell>
          <cell r="L430">
            <v>4059498</v>
          </cell>
          <cell r="M430">
            <v>0</v>
          </cell>
          <cell r="N430">
            <v>0</v>
          </cell>
          <cell r="O430" t="str">
            <v>Тек. счета махал.комитетов (малообеспечеHым)</v>
          </cell>
        </row>
        <row r="431">
          <cell r="A431">
            <v>9</v>
          </cell>
          <cell r="B431">
            <v>214</v>
          </cell>
          <cell r="C431">
            <v>8298</v>
          </cell>
          <cell r="D431">
            <v>700</v>
          </cell>
          <cell r="E431">
            <v>13</v>
          </cell>
          <cell r="F431">
            <v>20212.05</v>
          </cell>
          <cell r="H431">
            <v>2</v>
          </cell>
          <cell r="I431">
            <v>0</v>
          </cell>
          <cell r="J431">
            <v>427</v>
          </cell>
          <cell r="K431">
            <v>8110351</v>
          </cell>
          <cell r="L431">
            <v>8127500</v>
          </cell>
          <cell r="M431">
            <v>0</v>
          </cell>
          <cell r="N431">
            <v>17576</v>
          </cell>
          <cell r="O431" t="str">
            <v>Тек. счета махал.комитетов (малообеспеченным)</v>
          </cell>
        </row>
        <row r="432">
          <cell r="A432">
            <v>9</v>
          </cell>
          <cell r="B432">
            <v>214</v>
          </cell>
          <cell r="C432">
            <v>8533</v>
          </cell>
          <cell r="D432">
            <v>700</v>
          </cell>
          <cell r="E432">
            <v>13</v>
          </cell>
          <cell r="F432">
            <v>20212.05</v>
          </cell>
          <cell r="H432">
            <v>2</v>
          </cell>
          <cell r="I432">
            <v>0</v>
          </cell>
          <cell r="J432">
            <v>352465</v>
          </cell>
          <cell r="K432">
            <v>1523250</v>
          </cell>
          <cell r="L432">
            <v>1172980</v>
          </cell>
          <cell r="M432">
            <v>0</v>
          </cell>
          <cell r="N432">
            <v>2195</v>
          </cell>
          <cell r="O432" t="str">
            <v>Тек. счета махал.комитетов (малообеспеченным)</v>
          </cell>
        </row>
        <row r="433">
          <cell r="A433">
            <v>9</v>
          </cell>
          <cell r="B433">
            <v>214</v>
          </cell>
          <cell r="C433">
            <v>8659</v>
          </cell>
          <cell r="D433">
            <v>700</v>
          </cell>
          <cell r="E433">
            <v>13</v>
          </cell>
          <cell r="F433">
            <v>20212.05</v>
          </cell>
          <cell r="H433">
            <v>2</v>
          </cell>
          <cell r="I433">
            <v>0</v>
          </cell>
          <cell r="J433">
            <v>313460.5</v>
          </cell>
          <cell r="K433">
            <v>7960480</v>
          </cell>
          <cell r="L433">
            <v>7647776</v>
          </cell>
          <cell r="M433">
            <v>0</v>
          </cell>
          <cell r="N433">
            <v>756.5</v>
          </cell>
          <cell r="O433" t="str">
            <v>Тек. счета махал.комитетов (малообеспеченным)</v>
          </cell>
        </row>
        <row r="434">
          <cell r="A434">
            <v>9</v>
          </cell>
          <cell r="B434">
            <v>214</v>
          </cell>
          <cell r="C434">
            <v>3563</v>
          </cell>
          <cell r="D434">
            <v>701</v>
          </cell>
          <cell r="E434">
            <v>13</v>
          </cell>
          <cell r="F434">
            <v>20212.060000000001</v>
          </cell>
          <cell r="H434">
            <v>2</v>
          </cell>
          <cell r="I434">
            <v>0</v>
          </cell>
          <cell r="J434">
            <v>0</v>
          </cell>
          <cell r="K434">
            <v>156247.73000000001</v>
          </cell>
          <cell r="L434">
            <v>199000</v>
          </cell>
          <cell r="M434">
            <v>0</v>
          </cell>
          <cell r="N434">
            <v>42752.27</v>
          </cell>
          <cell r="O434" t="str">
            <v>Тек. счета общественных организаций</v>
          </cell>
        </row>
        <row r="435">
          <cell r="A435">
            <v>9</v>
          </cell>
          <cell r="B435">
            <v>214</v>
          </cell>
          <cell r="C435">
            <v>3563</v>
          </cell>
          <cell r="D435">
            <v>701.01</v>
          </cell>
          <cell r="E435">
            <v>13</v>
          </cell>
          <cell r="F435">
            <v>20212.07</v>
          </cell>
          <cell r="H435">
            <v>2</v>
          </cell>
          <cell r="I435">
            <v>0</v>
          </cell>
          <cell r="J435">
            <v>39757.5</v>
          </cell>
          <cell r="K435">
            <v>34021240</v>
          </cell>
          <cell r="L435">
            <v>33981482.5</v>
          </cell>
          <cell r="M435">
            <v>0</v>
          </cell>
          <cell r="N435">
            <v>0</v>
          </cell>
          <cell r="O435" t="str">
            <v>Тек.счета махал.комитетов (пособие до 16 лет)</v>
          </cell>
        </row>
        <row r="436">
          <cell r="A436">
            <v>9</v>
          </cell>
          <cell r="B436">
            <v>214</v>
          </cell>
          <cell r="C436">
            <v>5996</v>
          </cell>
          <cell r="D436">
            <v>701.01</v>
          </cell>
          <cell r="E436">
            <v>13</v>
          </cell>
          <cell r="F436">
            <v>20212.07</v>
          </cell>
          <cell r="H436">
            <v>2</v>
          </cell>
          <cell r="I436">
            <v>0</v>
          </cell>
          <cell r="J436">
            <v>0</v>
          </cell>
          <cell r="K436">
            <v>82961896.5</v>
          </cell>
          <cell r="L436">
            <v>82964069.5</v>
          </cell>
          <cell r="M436">
            <v>0</v>
          </cell>
          <cell r="N436">
            <v>2173</v>
          </cell>
          <cell r="O436" t="str">
            <v>Тек.счета махал.комитетов (пособие до 16 лет)</v>
          </cell>
        </row>
        <row r="437">
          <cell r="A437">
            <v>9</v>
          </cell>
          <cell r="B437">
            <v>214</v>
          </cell>
          <cell r="C437">
            <v>7783</v>
          </cell>
          <cell r="D437">
            <v>701.01</v>
          </cell>
          <cell r="E437">
            <v>13</v>
          </cell>
          <cell r="F437">
            <v>20212.07</v>
          </cell>
          <cell r="H437">
            <v>2</v>
          </cell>
          <cell r="I437">
            <v>0</v>
          </cell>
          <cell r="J437">
            <v>420225</v>
          </cell>
          <cell r="K437">
            <v>39367799</v>
          </cell>
          <cell r="L437">
            <v>39026840</v>
          </cell>
          <cell r="M437">
            <v>0</v>
          </cell>
          <cell r="N437">
            <v>79266</v>
          </cell>
          <cell r="O437" t="str">
            <v>Тек.счета махал.комитетов (пособие до 16 лет)</v>
          </cell>
        </row>
        <row r="438">
          <cell r="A438">
            <v>9</v>
          </cell>
          <cell r="B438">
            <v>214</v>
          </cell>
          <cell r="C438">
            <v>7845</v>
          </cell>
          <cell r="D438">
            <v>701.01</v>
          </cell>
          <cell r="E438">
            <v>13</v>
          </cell>
          <cell r="F438">
            <v>20212.07</v>
          </cell>
          <cell r="H438">
            <v>2</v>
          </cell>
          <cell r="I438">
            <v>0</v>
          </cell>
          <cell r="J438">
            <v>1837410.5</v>
          </cell>
          <cell r="K438">
            <v>53140993.5</v>
          </cell>
          <cell r="L438">
            <v>51324375</v>
          </cell>
          <cell r="M438">
            <v>0</v>
          </cell>
          <cell r="N438">
            <v>20792</v>
          </cell>
          <cell r="O438" t="str">
            <v>Тек.счета махал.комитетов (пособие до 16 лет)</v>
          </cell>
        </row>
        <row r="439">
          <cell r="A439">
            <v>9</v>
          </cell>
          <cell r="B439">
            <v>214</v>
          </cell>
          <cell r="C439">
            <v>7948</v>
          </cell>
          <cell r="D439">
            <v>701.01</v>
          </cell>
          <cell r="E439">
            <v>13</v>
          </cell>
          <cell r="F439">
            <v>20212.07</v>
          </cell>
          <cell r="H439">
            <v>2</v>
          </cell>
          <cell r="I439">
            <v>0</v>
          </cell>
          <cell r="J439">
            <v>16650</v>
          </cell>
          <cell r="K439">
            <v>52165181.5</v>
          </cell>
          <cell r="L439">
            <v>52233232</v>
          </cell>
          <cell r="M439">
            <v>0</v>
          </cell>
          <cell r="N439">
            <v>84700.5</v>
          </cell>
          <cell r="O439" t="str">
            <v>Тек.счета махал.комитетов (пособие до 16 лет)</v>
          </cell>
        </row>
        <row r="440">
          <cell r="A440">
            <v>9</v>
          </cell>
          <cell r="B440">
            <v>214</v>
          </cell>
          <cell r="C440">
            <v>8002</v>
          </cell>
          <cell r="D440">
            <v>701.01</v>
          </cell>
          <cell r="E440">
            <v>13</v>
          </cell>
          <cell r="F440">
            <v>20212.07</v>
          </cell>
          <cell r="H440">
            <v>2</v>
          </cell>
          <cell r="I440">
            <v>0</v>
          </cell>
          <cell r="J440">
            <v>72685.5</v>
          </cell>
          <cell r="K440">
            <v>49579180</v>
          </cell>
          <cell r="L440">
            <v>49510700</v>
          </cell>
          <cell r="M440">
            <v>0</v>
          </cell>
          <cell r="N440">
            <v>4205.5</v>
          </cell>
          <cell r="O440" t="str">
            <v>Тек.счета махал.комитетов (пособие до 16 лет)</v>
          </cell>
        </row>
        <row r="441">
          <cell r="A441">
            <v>9</v>
          </cell>
          <cell r="B441">
            <v>214</v>
          </cell>
          <cell r="C441">
            <v>8104</v>
          </cell>
          <cell r="D441">
            <v>701.01</v>
          </cell>
          <cell r="E441">
            <v>13</v>
          </cell>
          <cell r="F441">
            <v>20212.07</v>
          </cell>
          <cell r="H441">
            <v>2</v>
          </cell>
          <cell r="I441">
            <v>0</v>
          </cell>
          <cell r="J441">
            <v>30970</v>
          </cell>
          <cell r="K441">
            <v>43198659</v>
          </cell>
          <cell r="L441">
            <v>43169220</v>
          </cell>
          <cell r="M441">
            <v>0</v>
          </cell>
          <cell r="N441">
            <v>1531</v>
          </cell>
          <cell r="O441" t="str">
            <v>Тек.счета махал.комитетов (пособие до 16 лет)</v>
          </cell>
        </row>
        <row r="442">
          <cell r="A442">
            <v>9</v>
          </cell>
          <cell r="B442">
            <v>214</v>
          </cell>
          <cell r="C442">
            <v>8137</v>
          </cell>
          <cell r="D442">
            <v>701.01</v>
          </cell>
          <cell r="E442">
            <v>13</v>
          </cell>
          <cell r="F442">
            <v>20212.07</v>
          </cell>
          <cell r="H442">
            <v>2</v>
          </cell>
          <cell r="I442">
            <v>0</v>
          </cell>
          <cell r="J442">
            <v>343372.06</v>
          </cell>
          <cell r="K442">
            <v>33464571.559999999</v>
          </cell>
          <cell r="L442">
            <v>33130854.559999999</v>
          </cell>
          <cell r="M442">
            <v>0</v>
          </cell>
          <cell r="N442">
            <v>9655.06</v>
          </cell>
          <cell r="O442" t="str">
            <v>Тек.счета махал.комитетов (пособие до 16 лет)</v>
          </cell>
        </row>
        <row r="443">
          <cell r="A443">
            <v>9</v>
          </cell>
          <cell r="B443">
            <v>214</v>
          </cell>
          <cell r="C443">
            <v>8298</v>
          </cell>
          <cell r="D443">
            <v>701.01</v>
          </cell>
          <cell r="E443">
            <v>13</v>
          </cell>
          <cell r="F443">
            <v>20212.07</v>
          </cell>
          <cell r="H443">
            <v>2</v>
          </cell>
          <cell r="I443">
            <v>0</v>
          </cell>
          <cell r="J443">
            <v>970070</v>
          </cell>
          <cell r="K443">
            <v>47704988</v>
          </cell>
          <cell r="L443">
            <v>46950706</v>
          </cell>
          <cell r="M443">
            <v>0</v>
          </cell>
          <cell r="N443">
            <v>215788</v>
          </cell>
          <cell r="O443" t="str">
            <v>Тек.счета махал.комитетов (пособие до 16 лет)</v>
          </cell>
        </row>
        <row r="444">
          <cell r="A444">
            <v>9</v>
          </cell>
          <cell r="B444">
            <v>214</v>
          </cell>
          <cell r="C444">
            <v>8533</v>
          </cell>
          <cell r="D444">
            <v>701.01</v>
          </cell>
          <cell r="E444">
            <v>13</v>
          </cell>
          <cell r="F444">
            <v>20212.07</v>
          </cell>
          <cell r="H444">
            <v>2</v>
          </cell>
          <cell r="I444">
            <v>0</v>
          </cell>
          <cell r="J444">
            <v>866786</v>
          </cell>
          <cell r="K444">
            <v>2545720</v>
          </cell>
          <cell r="L444">
            <v>1822200</v>
          </cell>
          <cell r="M444">
            <v>0</v>
          </cell>
          <cell r="N444">
            <v>143266</v>
          </cell>
          <cell r="O444" t="str">
            <v>Тек.счета махал.комитетов (пособие до 16 лет)</v>
          </cell>
        </row>
        <row r="445">
          <cell r="A445">
            <v>9</v>
          </cell>
          <cell r="B445">
            <v>214</v>
          </cell>
          <cell r="C445">
            <v>8659</v>
          </cell>
          <cell r="D445">
            <v>701.01</v>
          </cell>
          <cell r="E445">
            <v>13</v>
          </cell>
          <cell r="F445">
            <v>20212.07</v>
          </cell>
          <cell r="H445">
            <v>2</v>
          </cell>
          <cell r="I445">
            <v>0</v>
          </cell>
          <cell r="J445">
            <v>48892</v>
          </cell>
          <cell r="K445">
            <v>54426099.5</v>
          </cell>
          <cell r="L445">
            <v>54401946.5</v>
          </cell>
          <cell r="M445">
            <v>0</v>
          </cell>
          <cell r="N445">
            <v>24739</v>
          </cell>
          <cell r="O445" t="str">
            <v>Тек.счета махал.комитетов (пособие до 16 лет)</v>
          </cell>
        </row>
        <row r="446">
          <cell r="A446">
            <v>9</v>
          </cell>
          <cell r="B446">
            <v>214</v>
          </cell>
          <cell r="C446">
            <v>3563</v>
          </cell>
          <cell r="D446">
            <v>701.03</v>
          </cell>
          <cell r="E446">
            <v>0</v>
          </cell>
          <cell r="F446">
            <v>20212.080000000002</v>
          </cell>
          <cell r="H446">
            <v>0</v>
          </cell>
          <cell r="I446">
            <v>0</v>
          </cell>
          <cell r="J446">
            <v>0</v>
          </cell>
          <cell r="K446">
            <v>18314141</v>
          </cell>
          <cell r="L446">
            <v>18314141</v>
          </cell>
          <cell r="M446">
            <v>0</v>
          </cell>
          <cell r="N446">
            <v>0</v>
          </cell>
          <cell r="O446" t="str">
            <v>Тек.счета махал.комитетов (пособие матерям по уходу за детьм</v>
          </cell>
        </row>
        <row r="447">
          <cell r="A447">
            <v>9</v>
          </cell>
          <cell r="B447">
            <v>214</v>
          </cell>
          <cell r="C447">
            <v>5996</v>
          </cell>
          <cell r="D447">
            <v>701.03</v>
          </cell>
          <cell r="E447">
            <v>0</v>
          </cell>
          <cell r="F447">
            <v>20212.080000000002</v>
          </cell>
          <cell r="H447">
            <v>0</v>
          </cell>
          <cell r="I447">
            <v>0</v>
          </cell>
          <cell r="J447">
            <v>0</v>
          </cell>
          <cell r="K447">
            <v>35895185</v>
          </cell>
          <cell r="L447">
            <v>35897810</v>
          </cell>
          <cell r="M447">
            <v>0</v>
          </cell>
          <cell r="N447">
            <v>2625</v>
          </cell>
          <cell r="O447" t="str">
            <v>Тек.счета махал.комитетов (пособие матерям по уходу за детьм</v>
          </cell>
        </row>
        <row r="448">
          <cell r="A448">
            <v>9</v>
          </cell>
          <cell r="B448">
            <v>214</v>
          </cell>
          <cell r="C448">
            <v>7783</v>
          </cell>
          <cell r="D448">
            <v>701.03</v>
          </cell>
          <cell r="E448">
            <v>0</v>
          </cell>
          <cell r="F448">
            <v>20212.080000000002</v>
          </cell>
          <cell r="H448">
            <v>0</v>
          </cell>
          <cell r="I448">
            <v>0</v>
          </cell>
          <cell r="J448">
            <v>0</v>
          </cell>
          <cell r="K448">
            <v>24893270</v>
          </cell>
          <cell r="L448">
            <v>24902305</v>
          </cell>
          <cell r="M448">
            <v>0</v>
          </cell>
          <cell r="N448">
            <v>9035</v>
          </cell>
          <cell r="O448" t="str">
            <v>Тек.счета махал.комитетов (пособие матерям по уходу за детьм</v>
          </cell>
        </row>
        <row r="449">
          <cell r="A449">
            <v>9</v>
          </cell>
          <cell r="B449">
            <v>214</v>
          </cell>
          <cell r="C449">
            <v>7845</v>
          </cell>
          <cell r="D449">
            <v>701.03</v>
          </cell>
          <cell r="E449">
            <v>0</v>
          </cell>
          <cell r="F449">
            <v>20212.080000000002</v>
          </cell>
          <cell r="H449">
            <v>0</v>
          </cell>
          <cell r="I449">
            <v>0</v>
          </cell>
          <cell r="J449">
            <v>0</v>
          </cell>
          <cell r="K449">
            <v>29521706</v>
          </cell>
          <cell r="L449">
            <v>29803645</v>
          </cell>
          <cell r="M449">
            <v>0</v>
          </cell>
          <cell r="N449">
            <v>281939</v>
          </cell>
          <cell r="O449" t="str">
            <v>Тек.счета махал.комитетов (пособие матерям по уходу за детьм</v>
          </cell>
        </row>
        <row r="450">
          <cell r="A450">
            <v>9</v>
          </cell>
          <cell r="B450">
            <v>214</v>
          </cell>
          <cell r="C450">
            <v>7948</v>
          </cell>
          <cell r="D450">
            <v>701.03</v>
          </cell>
          <cell r="E450">
            <v>0</v>
          </cell>
          <cell r="F450">
            <v>20212.080000000002</v>
          </cell>
          <cell r="H450">
            <v>0</v>
          </cell>
          <cell r="I450">
            <v>0</v>
          </cell>
          <cell r="J450">
            <v>0</v>
          </cell>
          <cell r="K450">
            <v>23979765</v>
          </cell>
          <cell r="L450">
            <v>24011280</v>
          </cell>
          <cell r="M450">
            <v>0</v>
          </cell>
          <cell r="N450">
            <v>31515</v>
          </cell>
          <cell r="O450" t="str">
            <v>Тек.счета махал.комитетов (пособие матерям по уходу за детьм</v>
          </cell>
        </row>
        <row r="451">
          <cell r="A451">
            <v>9</v>
          </cell>
          <cell r="B451">
            <v>214</v>
          </cell>
          <cell r="C451">
            <v>8002</v>
          </cell>
          <cell r="D451">
            <v>701.03</v>
          </cell>
          <cell r="E451">
            <v>0</v>
          </cell>
          <cell r="F451">
            <v>20212.080000000002</v>
          </cell>
          <cell r="H451">
            <v>0</v>
          </cell>
          <cell r="I451">
            <v>0</v>
          </cell>
          <cell r="J451">
            <v>0</v>
          </cell>
          <cell r="K451">
            <v>19015620</v>
          </cell>
          <cell r="L451">
            <v>19019820</v>
          </cell>
          <cell r="M451">
            <v>0</v>
          </cell>
          <cell r="N451">
            <v>4200</v>
          </cell>
          <cell r="O451" t="str">
            <v>Тек.счета махал.комитетов (пособие матерям по уходу за детьм</v>
          </cell>
        </row>
        <row r="452">
          <cell r="A452">
            <v>9</v>
          </cell>
          <cell r="B452">
            <v>214</v>
          </cell>
          <cell r="C452">
            <v>8104</v>
          </cell>
          <cell r="D452">
            <v>701.03</v>
          </cell>
          <cell r="E452">
            <v>0</v>
          </cell>
          <cell r="F452">
            <v>20212.080000000002</v>
          </cell>
          <cell r="H452">
            <v>0</v>
          </cell>
          <cell r="I452">
            <v>0</v>
          </cell>
          <cell r="J452">
            <v>0</v>
          </cell>
          <cell r="K452">
            <v>15593530</v>
          </cell>
          <cell r="L452">
            <v>15595630</v>
          </cell>
          <cell r="M452">
            <v>0</v>
          </cell>
          <cell r="N452">
            <v>2100</v>
          </cell>
          <cell r="O452" t="str">
            <v>Тек.счета махал.комитетов (пособие матерям по уходу за детьм</v>
          </cell>
        </row>
        <row r="453">
          <cell r="A453">
            <v>9</v>
          </cell>
          <cell r="B453">
            <v>214</v>
          </cell>
          <cell r="C453">
            <v>8137</v>
          </cell>
          <cell r="D453">
            <v>701.03</v>
          </cell>
          <cell r="E453">
            <v>0</v>
          </cell>
          <cell r="F453">
            <v>20212.080000000002</v>
          </cell>
          <cell r="H453">
            <v>0</v>
          </cell>
          <cell r="I453">
            <v>0</v>
          </cell>
          <cell r="J453">
            <v>0</v>
          </cell>
          <cell r="K453">
            <v>12695790</v>
          </cell>
          <cell r="L453">
            <v>12695790</v>
          </cell>
          <cell r="M453">
            <v>0</v>
          </cell>
          <cell r="N453">
            <v>0</v>
          </cell>
          <cell r="O453" t="str">
            <v>Тек.счета махал.комитетов (пособие матерям по уходу за детьм</v>
          </cell>
        </row>
        <row r="454">
          <cell r="A454">
            <v>9</v>
          </cell>
          <cell r="B454">
            <v>214</v>
          </cell>
          <cell r="C454">
            <v>8298</v>
          </cell>
          <cell r="D454">
            <v>701.03</v>
          </cell>
          <cell r="E454">
            <v>0</v>
          </cell>
          <cell r="F454">
            <v>20212.080000000002</v>
          </cell>
          <cell r="H454">
            <v>0</v>
          </cell>
          <cell r="I454">
            <v>0</v>
          </cell>
          <cell r="J454">
            <v>0</v>
          </cell>
          <cell r="K454">
            <v>18857770</v>
          </cell>
          <cell r="L454">
            <v>18971500</v>
          </cell>
          <cell r="M454">
            <v>0</v>
          </cell>
          <cell r="N454">
            <v>113730</v>
          </cell>
          <cell r="O454" t="str">
            <v>Тек.счета махал.комитетов (пособие матерям по уходу за детьм</v>
          </cell>
        </row>
        <row r="455">
          <cell r="A455">
            <v>9</v>
          </cell>
          <cell r="B455">
            <v>214</v>
          </cell>
          <cell r="C455">
            <v>8533</v>
          </cell>
          <cell r="D455">
            <v>701.03</v>
          </cell>
          <cell r="E455">
            <v>0</v>
          </cell>
          <cell r="F455">
            <v>20212.080000000002</v>
          </cell>
          <cell r="H455">
            <v>0</v>
          </cell>
          <cell r="I455">
            <v>0</v>
          </cell>
          <cell r="J455">
            <v>0</v>
          </cell>
          <cell r="K455">
            <v>3900375</v>
          </cell>
          <cell r="L455">
            <v>3902200</v>
          </cell>
          <cell r="M455">
            <v>0</v>
          </cell>
          <cell r="N455">
            <v>1825</v>
          </cell>
          <cell r="O455" t="str">
            <v>Тек.счета махал.комитетов (пособие матерям по уходу за детьм</v>
          </cell>
        </row>
        <row r="456">
          <cell r="A456">
            <v>9</v>
          </cell>
          <cell r="B456">
            <v>214</v>
          </cell>
          <cell r="C456">
            <v>8659</v>
          </cell>
          <cell r="D456">
            <v>701.03</v>
          </cell>
          <cell r="E456">
            <v>0</v>
          </cell>
          <cell r="F456">
            <v>20212.080000000002</v>
          </cell>
          <cell r="H456">
            <v>0</v>
          </cell>
          <cell r="I456">
            <v>0</v>
          </cell>
          <cell r="J456">
            <v>0</v>
          </cell>
          <cell r="K456">
            <v>26411850</v>
          </cell>
          <cell r="L456">
            <v>26416505</v>
          </cell>
          <cell r="M456">
            <v>0</v>
          </cell>
          <cell r="N456">
            <v>4655</v>
          </cell>
          <cell r="O456" t="str">
            <v>Тек.счета махал.комитетов (пособие матерям по уходу за детьм</v>
          </cell>
        </row>
        <row r="457">
          <cell r="A457">
            <v>9</v>
          </cell>
          <cell r="B457">
            <v>214</v>
          </cell>
          <cell r="C457">
            <v>3563</v>
          </cell>
          <cell r="D457">
            <v>701.04</v>
          </cell>
          <cell r="E457">
            <v>0</v>
          </cell>
          <cell r="F457">
            <v>20212.09</v>
          </cell>
          <cell r="H457">
            <v>0</v>
          </cell>
          <cell r="I457">
            <v>0</v>
          </cell>
          <cell r="J457">
            <v>0</v>
          </cell>
          <cell r="K457">
            <v>523835.02</v>
          </cell>
          <cell r="L457">
            <v>523835.02</v>
          </cell>
          <cell r="M457">
            <v>0</v>
          </cell>
          <cell r="N457">
            <v>0</v>
          </cell>
          <cell r="O457" t="str">
            <v>Тек.счета махал.комитетов (Обеспечение прод-ми питания одино</v>
          </cell>
        </row>
        <row r="458">
          <cell r="A458">
            <v>9</v>
          </cell>
          <cell r="B458">
            <v>214</v>
          </cell>
          <cell r="C458">
            <v>5996</v>
          </cell>
          <cell r="D458">
            <v>701.04</v>
          </cell>
          <cell r="E458">
            <v>0</v>
          </cell>
          <cell r="F458">
            <v>20212.09</v>
          </cell>
          <cell r="H458">
            <v>0</v>
          </cell>
          <cell r="I458">
            <v>0</v>
          </cell>
          <cell r="J458">
            <v>0</v>
          </cell>
          <cell r="K458">
            <v>302726.7</v>
          </cell>
          <cell r="L458">
            <v>302726.7</v>
          </cell>
          <cell r="M458">
            <v>0</v>
          </cell>
          <cell r="N458">
            <v>0</v>
          </cell>
          <cell r="O458" t="str">
            <v>Тек.счета махал.комитетов (Обеспечение прод-ми питания одино</v>
          </cell>
        </row>
        <row r="459">
          <cell r="A459">
            <v>9</v>
          </cell>
          <cell r="B459">
            <v>214</v>
          </cell>
          <cell r="C459">
            <v>7783</v>
          </cell>
          <cell r="D459">
            <v>701.04</v>
          </cell>
          <cell r="E459">
            <v>0</v>
          </cell>
          <cell r="F459">
            <v>20212.09</v>
          </cell>
          <cell r="H459">
            <v>0</v>
          </cell>
          <cell r="I459">
            <v>0</v>
          </cell>
          <cell r="J459">
            <v>0</v>
          </cell>
          <cell r="K459">
            <v>391388.71</v>
          </cell>
          <cell r="L459">
            <v>561556.47999999998</v>
          </cell>
          <cell r="M459">
            <v>0</v>
          </cell>
          <cell r="N459">
            <v>170167.77</v>
          </cell>
          <cell r="O459" t="str">
            <v>Тек.счета махал.комитетов (Обеспечение прод-ми питания одино</v>
          </cell>
        </row>
        <row r="460">
          <cell r="A460">
            <v>9</v>
          </cell>
          <cell r="B460">
            <v>214</v>
          </cell>
          <cell r="C460">
            <v>7845</v>
          </cell>
          <cell r="D460">
            <v>701.04</v>
          </cell>
          <cell r="E460">
            <v>0</v>
          </cell>
          <cell r="F460">
            <v>20212.09</v>
          </cell>
          <cell r="H460">
            <v>0</v>
          </cell>
          <cell r="I460">
            <v>0</v>
          </cell>
          <cell r="J460">
            <v>0</v>
          </cell>
          <cell r="K460">
            <v>173000</v>
          </cell>
          <cell r="L460">
            <v>317000</v>
          </cell>
          <cell r="M460">
            <v>0</v>
          </cell>
          <cell r="N460">
            <v>144000</v>
          </cell>
          <cell r="O460" t="str">
            <v>Тек.счета махал.комитетов (Обеспечение прод-ми питания одино</v>
          </cell>
        </row>
        <row r="461">
          <cell r="A461">
            <v>9</v>
          </cell>
          <cell r="B461">
            <v>214</v>
          </cell>
          <cell r="C461">
            <v>7948</v>
          </cell>
          <cell r="D461">
            <v>701.04</v>
          </cell>
          <cell r="E461">
            <v>0</v>
          </cell>
          <cell r="F461">
            <v>20212.09</v>
          </cell>
          <cell r="H461">
            <v>0</v>
          </cell>
          <cell r="I461">
            <v>0</v>
          </cell>
          <cell r="J461">
            <v>0</v>
          </cell>
          <cell r="K461">
            <v>71899</v>
          </cell>
          <cell r="L461">
            <v>138346</v>
          </cell>
          <cell r="M461">
            <v>0</v>
          </cell>
          <cell r="N461">
            <v>66447</v>
          </cell>
          <cell r="O461" t="str">
            <v>Тек.счета махал.комитетов (Обеспечение прод-ми питания одино</v>
          </cell>
        </row>
        <row r="462">
          <cell r="A462">
            <v>9</v>
          </cell>
          <cell r="B462">
            <v>214</v>
          </cell>
          <cell r="C462">
            <v>8002</v>
          </cell>
          <cell r="D462">
            <v>701.04</v>
          </cell>
          <cell r="E462">
            <v>0</v>
          </cell>
          <cell r="F462">
            <v>20212.09</v>
          </cell>
          <cell r="H462">
            <v>0</v>
          </cell>
          <cell r="I462">
            <v>0</v>
          </cell>
          <cell r="J462">
            <v>0</v>
          </cell>
          <cell r="K462">
            <v>203534</v>
          </cell>
          <cell r="L462">
            <v>280409</v>
          </cell>
          <cell r="M462">
            <v>0</v>
          </cell>
          <cell r="N462">
            <v>76875</v>
          </cell>
          <cell r="O462" t="str">
            <v>Тек.счета махал.комитетов (Обеспечение прод-ми питания одино</v>
          </cell>
        </row>
        <row r="463">
          <cell r="A463">
            <v>9</v>
          </cell>
          <cell r="B463">
            <v>214</v>
          </cell>
          <cell r="C463">
            <v>8104</v>
          </cell>
          <cell r="D463">
            <v>701.04</v>
          </cell>
          <cell r="E463">
            <v>0</v>
          </cell>
          <cell r="F463">
            <v>20212.09</v>
          </cell>
          <cell r="H463">
            <v>0</v>
          </cell>
          <cell r="I463">
            <v>0</v>
          </cell>
          <cell r="J463">
            <v>0</v>
          </cell>
          <cell r="K463">
            <v>146415.20000000001</v>
          </cell>
          <cell r="L463">
            <v>146415.35</v>
          </cell>
          <cell r="M463">
            <v>0</v>
          </cell>
          <cell r="N463">
            <v>0.15</v>
          </cell>
          <cell r="O463" t="str">
            <v>Тек.счета махал.комитетов (Обеспечение прод-ми питания одино</v>
          </cell>
        </row>
        <row r="464">
          <cell r="A464">
            <v>9</v>
          </cell>
          <cell r="B464">
            <v>214</v>
          </cell>
          <cell r="C464">
            <v>8137</v>
          </cell>
          <cell r="D464">
            <v>701.04</v>
          </cell>
          <cell r="E464">
            <v>0</v>
          </cell>
          <cell r="F464">
            <v>20212.09</v>
          </cell>
          <cell r="H464">
            <v>0</v>
          </cell>
          <cell r="I464">
            <v>0</v>
          </cell>
          <cell r="J464">
            <v>0</v>
          </cell>
          <cell r="K464">
            <v>141253</v>
          </cell>
          <cell r="L464">
            <v>141253</v>
          </cell>
          <cell r="M464">
            <v>0</v>
          </cell>
          <cell r="N464">
            <v>0</v>
          </cell>
          <cell r="O464" t="str">
            <v>Тек.счета махал.комитетов (Обеспечение прод-ми питания одино</v>
          </cell>
        </row>
        <row r="465">
          <cell r="A465">
            <v>9</v>
          </cell>
          <cell r="B465">
            <v>214</v>
          </cell>
          <cell r="C465">
            <v>8298</v>
          </cell>
          <cell r="D465">
            <v>701.04</v>
          </cell>
          <cell r="E465">
            <v>0</v>
          </cell>
          <cell r="F465">
            <v>20212.09</v>
          </cell>
          <cell r="H465">
            <v>0</v>
          </cell>
          <cell r="I465">
            <v>0</v>
          </cell>
          <cell r="J465">
            <v>0</v>
          </cell>
          <cell r="K465">
            <v>11950</v>
          </cell>
          <cell r="L465">
            <v>73000</v>
          </cell>
          <cell r="M465">
            <v>0</v>
          </cell>
          <cell r="N465">
            <v>61050</v>
          </cell>
          <cell r="O465" t="str">
            <v>Тек.счета махал.комитетов (Обеспечение прод-ми питания одино</v>
          </cell>
        </row>
        <row r="466">
          <cell r="A466">
            <v>9</v>
          </cell>
          <cell r="B466">
            <v>214</v>
          </cell>
          <cell r="C466">
            <v>8533</v>
          </cell>
          <cell r="D466">
            <v>701.04</v>
          </cell>
          <cell r="E466">
            <v>0</v>
          </cell>
          <cell r="F466">
            <v>20212.09</v>
          </cell>
          <cell r="H466">
            <v>0</v>
          </cell>
          <cell r="I466">
            <v>0</v>
          </cell>
          <cell r="J466">
            <v>0</v>
          </cell>
          <cell r="K466">
            <v>59032.800000000003</v>
          </cell>
          <cell r="L466">
            <v>62000</v>
          </cell>
          <cell r="M466">
            <v>0</v>
          </cell>
          <cell r="N466">
            <v>2967.2</v>
          </cell>
          <cell r="O466" t="str">
            <v>Тек.счета махал.комитетов (Обеспечение прод-ми питания одино</v>
          </cell>
        </row>
        <row r="467">
          <cell r="A467">
            <v>9</v>
          </cell>
          <cell r="B467">
            <v>214</v>
          </cell>
          <cell r="C467">
            <v>8659</v>
          </cell>
          <cell r="D467">
            <v>701.04</v>
          </cell>
          <cell r="E467">
            <v>0</v>
          </cell>
          <cell r="F467">
            <v>20212.09</v>
          </cell>
          <cell r="H467">
            <v>0</v>
          </cell>
          <cell r="I467">
            <v>0</v>
          </cell>
          <cell r="J467">
            <v>0</v>
          </cell>
          <cell r="K467">
            <v>56993</v>
          </cell>
          <cell r="L467">
            <v>94781.67</v>
          </cell>
          <cell r="M467">
            <v>0</v>
          </cell>
          <cell r="N467">
            <v>37788.67</v>
          </cell>
          <cell r="O467" t="str">
            <v>Тек.счета махал.комитетов (Обеспечение прод-ми питания одино</v>
          </cell>
        </row>
        <row r="468">
          <cell r="A468">
            <v>9</v>
          </cell>
          <cell r="B468">
            <v>214</v>
          </cell>
          <cell r="C468">
            <v>214</v>
          </cell>
          <cell r="D468">
            <v>711.01</v>
          </cell>
          <cell r="E468">
            <v>14</v>
          </cell>
          <cell r="F468">
            <v>20206.02</v>
          </cell>
          <cell r="H468">
            <v>2</v>
          </cell>
          <cell r="I468">
            <v>0</v>
          </cell>
          <cell r="J468">
            <v>42.31</v>
          </cell>
          <cell r="K468">
            <v>0</v>
          </cell>
          <cell r="L468">
            <v>0</v>
          </cell>
          <cell r="M468">
            <v>0</v>
          </cell>
          <cell r="N468">
            <v>42.31</v>
          </cell>
          <cell r="O468" t="str">
            <v>"Talab qilib olguncha" omonati</v>
          </cell>
        </row>
        <row r="469">
          <cell r="A469">
            <v>9</v>
          </cell>
          <cell r="B469">
            <v>214</v>
          </cell>
          <cell r="C469">
            <v>3563</v>
          </cell>
          <cell r="D469">
            <v>711.01</v>
          </cell>
          <cell r="E469">
            <v>14</v>
          </cell>
          <cell r="F469">
            <v>20206.02</v>
          </cell>
          <cell r="H469">
            <v>2</v>
          </cell>
          <cell r="I469">
            <v>0</v>
          </cell>
          <cell r="J469">
            <v>19754311.09</v>
          </cell>
          <cell r="K469">
            <v>61054862.950000003</v>
          </cell>
          <cell r="L469">
            <v>68326546.120000005</v>
          </cell>
          <cell r="M469">
            <v>0</v>
          </cell>
          <cell r="N469">
            <v>27025994.260000002</v>
          </cell>
          <cell r="O469" t="str">
            <v>"Talab qilib olguncha" omonati</v>
          </cell>
        </row>
        <row r="470">
          <cell r="A470">
            <v>9</v>
          </cell>
          <cell r="B470">
            <v>214</v>
          </cell>
          <cell r="C470">
            <v>5996</v>
          </cell>
          <cell r="D470">
            <v>711.01</v>
          </cell>
          <cell r="E470">
            <v>14</v>
          </cell>
          <cell r="F470">
            <v>20206.02</v>
          </cell>
          <cell r="H470">
            <v>2</v>
          </cell>
          <cell r="I470">
            <v>0</v>
          </cell>
          <cell r="J470">
            <v>18273637.149999999</v>
          </cell>
          <cell r="K470">
            <v>39279935.439999998</v>
          </cell>
          <cell r="L470">
            <v>53431615.450000003</v>
          </cell>
          <cell r="M470">
            <v>0</v>
          </cell>
          <cell r="N470">
            <v>32425317.16</v>
          </cell>
          <cell r="O470" t="str">
            <v>"Talab qilib olguncha" omonati</v>
          </cell>
        </row>
        <row r="471">
          <cell r="A471">
            <v>9</v>
          </cell>
          <cell r="B471">
            <v>214</v>
          </cell>
          <cell r="C471">
            <v>7783</v>
          </cell>
          <cell r="D471">
            <v>711.01</v>
          </cell>
          <cell r="E471">
            <v>14</v>
          </cell>
          <cell r="F471">
            <v>20206.02</v>
          </cell>
          <cell r="H471">
            <v>2</v>
          </cell>
          <cell r="I471">
            <v>0</v>
          </cell>
          <cell r="J471">
            <v>17170950.039999999</v>
          </cell>
          <cell r="K471">
            <v>32738860.670000002</v>
          </cell>
          <cell r="L471">
            <v>34217290.450000003</v>
          </cell>
          <cell r="M471">
            <v>0</v>
          </cell>
          <cell r="N471">
            <v>18649379.82</v>
          </cell>
          <cell r="O471" t="str">
            <v>"Talab qilib olguncha" omonati</v>
          </cell>
        </row>
        <row r="472">
          <cell r="A472">
            <v>9</v>
          </cell>
          <cell r="B472">
            <v>214</v>
          </cell>
          <cell r="C472">
            <v>7845</v>
          </cell>
          <cell r="D472">
            <v>711.01</v>
          </cell>
          <cell r="E472">
            <v>14</v>
          </cell>
          <cell r="F472">
            <v>20206.02</v>
          </cell>
          <cell r="H472">
            <v>2</v>
          </cell>
          <cell r="I472">
            <v>0</v>
          </cell>
          <cell r="J472">
            <v>11579162.050000001</v>
          </cell>
          <cell r="K472">
            <v>40997796.259999998</v>
          </cell>
          <cell r="L472">
            <v>41387926.229999997</v>
          </cell>
          <cell r="M472">
            <v>0</v>
          </cell>
          <cell r="N472">
            <v>11969292.02</v>
          </cell>
          <cell r="O472" t="str">
            <v>"Talab qilib olguncha" omonati</v>
          </cell>
        </row>
        <row r="473">
          <cell r="A473">
            <v>9</v>
          </cell>
          <cell r="B473">
            <v>214</v>
          </cell>
          <cell r="C473">
            <v>7948</v>
          </cell>
          <cell r="D473">
            <v>711.01</v>
          </cell>
          <cell r="E473">
            <v>14</v>
          </cell>
          <cell r="F473">
            <v>20206.02</v>
          </cell>
          <cell r="H473">
            <v>2</v>
          </cell>
          <cell r="I473">
            <v>0</v>
          </cell>
          <cell r="J473">
            <v>16367742.460000001</v>
          </cell>
          <cell r="K473">
            <v>12767154.789999999</v>
          </cell>
          <cell r="L473">
            <v>13501961.939999999</v>
          </cell>
          <cell r="M473">
            <v>0</v>
          </cell>
          <cell r="N473">
            <v>17102549.609999999</v>
          </cell>
          <cell r="O473" t="str">
            <v>"Talab qilib olguncha" omonati</v>
          </cell>
        </row>
        <row r="474">
          <cell r="A474">
            <v>9</v>
          </cell>
          <cell r="B474">
            <v>214</v>
          </cell>
          <cell r="C474">
            <v>8002</v>
          </cell>
          <cell r="D474">
            <v>711.01</v>
          </cell>
          <cell r="E474">
            <v>14</v>
          </cell>
          <cell r="F474">
            <v>20206.02</v>
          </cell>
          <cell r="H474">
            <v>2</v>
          </cell>
          <cell r="I474">
            <v>0</v>
          </cell>
          <cell r="J474">
            <v>9508949.9800000004</v>
          </cell>
          <cell r="K474">
            <v>5330590.7</v>
          </cell>
          <cell r="L474">
            <v>6757022.3600000003</v>
          </cell>
          <cell r="M474">
            <v>0</v>
          </cell>
          <cell r="N474">
            <v>10935381.640000001</v>
          </cell>
          <cell r="O474" t="str">
            <v>"Talab qilib olguncha" omonati</v>
          </cell>
        </row>
        <row r="475">
          <cell r="A475">
            <v>9</v>
          </cell>
          <cell r="B475">
            <v>214</v>
          </cell>
          <cell r="C475">
            <v>8104</v>
          </cell>
          <cell r="D475">
            <v>711.01</v>
          </cell>
          <cell r="E475">
            <v>14</v>
          </cell>
          <cell r="F475">
            <v>20206.02</v>
          </cell>
          <cell r="H475">
            <v>2</v>
          </cell>
          <cell r="I475">
            <v>0</v>
          </cell>
          <cell r="J475">
            <v>11144135.82</v>
          </cell>
          <cell r="K475">
            <v>17032708.629999999</v>
          </cell>
          <cell r="L475">
            <v>17274294.93</v>
          </cell>
          <cell r="M475">
            <v>0</v>
          </cell>
          <cell r="N475">
            <v>11385722.119999999</v>
          </cell>
          <cell r="O475" t="str">
            <v>"Talab qilib olguncha" omonati</v>
          </cell>
        </row>
        <row r="476">
          <cell r="A476">
            <v>9</v>
          </cell>
          <cell r="B476">
            <v>214</v>
          </cell>
          <cell r="C476">
            <v>8137</v>
          </cell>
          <cell r="D476">
            <v>711.01</v>
          </cell>
          <cell r="E476">
            <v>14</v>
          </cell>
          <cell r="F476">
            <v>20206.02</v>
          </cell>
          <cell r="H476">
            <v>2</v>
          </cell>
          <cell r="I476">
            <v>0</v>
          </cell>
          <cell r="J476">
            <v>7341440.96</v>
          </cell>
          <cell r="K476">
            <v>27453226.5</v>
          </cell>
          <cell r="L476">
            <v>27107146.41</v>
          </cell>
          <cell r="M476">
            <v>0</v>
          </cell>
          <cell r="N476">
            <v>6995360.8700000001</v>
          </cell>
          <cell r="O476" t="str">
            <v>"Talab qilib olguncha" omonati</v>
          </cell>
        </row>
        <row r="477">
          <cell r="A477">
            <v>9</v>
          </cell>
          <cell r="B477">
            <v>214</v>
          </cell>
          <cell r="C477">
            <v>8298</v>
          </cell>
          <cell r="D477">
            <v>711.01</v>
          </cell>
          <cell r="E477">
            <v>14</v>
          </cell>
          <cell r="F477">
            <v>20206.02</v>
          </cell>
          <cell r="H477">
            <v>2</v>
          </cell>
          <cell r="I477">
            <v>0</v>
          </cell>
          <cell r="J477">
            <v>5746873.21</v>
          </cell>
          <cell r="K477">
            <v>20508737.059999999</v>
          </cell>
          <cell r="L477">
            <v>21051527.960000001</v>
          </cell>
          <cell r="M477">
            <v>0</v>
          </cell>
          <cell r="N477">
            <v>6289664.1100000003</v>
          </cell>
          <cell r="O477" t="str">
            <v>"Talab qilib olguncha" omonati</v>
          </cell>
        </row>
        <row r="478">
          <cell r="A478">
            <v>9</v>
          </cell>
          <cell r="B478">
            <v>214</v>
          </cell>
          <cell r="C478">
            <v>8533</v>
          </cell>
          <cell r="D478">
            <v>711.01</v>
          </cell>
          <cell r="E478">
            <v>14</v>
          </cell>
          <cell r="F478">
            <v>20206.02</v>
          </cell>
          <cell r="H478">
            <v>2</v>
          </cell>
          <cell r="I478">
            <v>0</v>
          </cell>
          <cell r="J478">
            <v>4393519.97</v>
          </cell>
          <cell r="K478">
            <v>22200252.239999998</v>
          </cell>
          <cell r="L478">
            <v>23326007.390000001</v>
          </cell>
          <cell r="M478">
            <v>0</v>
          </cell>
          <cell r="N478">
            <v>5519275.1200000001</v>
          </cell>
          <cell r="O478" t="str">
            <v>"Talab qilib olguncha" omonati</v>
          </cell>
        </row>
        <row r="479">
          <cell r="A479">
            <v>9</v>
          </cell>
          <cell r="B479">
            <v>214</v>
          </cell>
          <cell r="C479">
            <v>8659</v>
          </cell>
          <cell r="D479">
            <v>711.01</v>
          </cell>
          <cell r="E479">
            <v>14</v>
          </cell>
          <cell r="F479">
            <v>20206.02</v>
          </cell>
          <cell r="H479">
            <v>2</v>
          </cell>
          <cell r="I479">
            <v>0</v>
          </cell>
          <cell r="J479">
            <v>7581891.4900000002</v>
          </cell>
          <cell r="K479">
            <v>48400022.450000003</v>
          </cell>
          <cell r="L479">
            <v>51081940.43</v>
          </cell>
          <cell r="M479">
            <v>0</v>
          </cell>
          <cell r="N479">
            <v>10263809.470000001</v>
          </cell>
          <cell r="O479" t="str">
            <v>"Talab qilib olguncha" omonati</v>
          </cell>
        </row>
        <row r="480">
          <cell r="A480">
            <v>9</v>
          </cell>
          <cell r="B480">
            <v>214</v>
          </cell>
          <cell r="C480">
            <v>7783</v>
          </cell>
          <cell r="D480">
            <v>711.02</v>
          </cell>
          <cell r="E480">
            <v>14</v>
          </cell>
          <cell r="F480">
            <v>20206.03</v>
          </cell>
          <cell r="H480">
            <v>2</v>
          </cell>
          <cell r="I480">
            <v>0</v>
          </cell>
          <cell r="J480">
            <v>392.61</v>
          </cell>
          <cell r="K480">
            <v>0</v>
          </cell>
          <cell r="L480">
            <v>0</v>
          </cell>
          <cell r="M480">
            <v>0</v>
          </cell>
          <cell r="N480">
            <v>392.61</v>
          </cell>
          <cell r="O480" t="str">
            <v>40 foizli kompensatsiyasi</v>
          </cell>
        </row>
        <row r="481">
          <cell r="A481">
            <v>9</v>
          </cell>
          <cell r="B481">
            <v>214</v>
          </cell>
          <cell r="C481">
            <v>7948</v>
          </cell>
          <cell r="D481">
            <v>711.02</v>
          </cell>
          <cell r="E481">
            <v>14</v>
          </cell>
          <cell r="F481">
            <v>20206.03</v>
          </cell>
          <cell r="H481">
            <v>2</v>
          </cell>
          <cell r="I481">
            <v>0</v>
          </cell>
          <cell r="J481">
            <v>5207.28</v>
          </cell>
          <cell r="K481">
            <v>0</v>
          </cell>
          <cell r="L481">
            <v>0</v>
          </cell>
          <cell r="M481">
            <v>0</v>
          </cell>
          <cell r="N481">
            <v>5207.28</v>
          </cell>
          <cell r="O481" t="str">
            <v>40 foizli kompensatsiyasi</v>
          </cell>
        </row>
        <row r="482">
          <cell r="A482">
            <v>9</v>
          </cell>
          <cell r="B482">
            <v>214</v>
          </cell>
          <cell r="C482">
            <v>8002</v>
          </cell>
          <cell r="D482">
            <v>711.02</v>
          </cell>
          <cell r="E482">
            <v>14</v>
          </cell>
          <cell r="F482">
            <v>20206.03</v>
          </cell>
          <cell r="H482">
            <v>2</v>
          </cell>
          <cell r="I482">
            <v>0</v>
          </cell>
          <cell r="J482">
            <v>4121.7</v>
          </cell>
          <cell r="K482">
            <v>0</v>
          </cell>
          <cell r="L482">
            <v>0</v>
          </cell>
          <cell r="M482">
            <v>0</v>
          </cell>
          <cell r="N482">
            <v>4121.7</v>
          </cell>
          <cell r="O482" t="str">
            <v>40 foizli kompensatsiyasi</v>
          </cell>
        </row>
        <row r="483">
          <cell r="A483">
            <v>9</v>
          </cell>
          <cell r="B483">
            <v>214</v>
          </cell>
          <cell r="C483">
            <v>8104</v>
          </cell>
          <cell r="D483">
            <v>711.02</v>
          </cell>
          <cell r="E483">
            <v>14</v>
          </cell>
          <cell r="F483">
            <v>20206.03</v>
          </cell>
          <cell r="H483">
            <v>2</v>
          </cell>
          <cell r="I483">
            <v>0</v>
          </cell>
          <cell r="J483">
            <v>5750.32</v>
          </cell>
          <cell r="K483">
            <v>0</v>
          </cell>
          <cell r="L483">
            <v>0</v>
          </cell>
          <cell r="M483">
            <v>0</v>
          </cell>
          <cell r="N483">
            <v>5750.32</v>
          </cell>
          <cell r="O483" t="str">
            <v>40 foizli kompensatsiyasi</v>
          </cell>
        </row>
        <row r="484">
          <cell r="A484">
            <v>9</v>
          </cell>
          <cell r="B484">
            <v>214</v>
          </cell>
          <cell r="C484">
            <v>8137</v>
          </cell>
          <cell r="D484">
            <v>711.02</v>
          </cell>
          <cell r="E484">
            <v>14</v>
          </cell>
          <cell r="F484">
            <v>20206.03</v>
          </cell>
          <cell r="H484">
            <v>2</v>
          </cell>
          <cell r="I484">
            <v>0</v>
          </cell>
          <cell r="J484">
            <v>4133.16</v>
          </cell>
          <cell r="K484">
            <v>0</v>
          </cell>
          <cell r="L484">
            <v>0</v>
          </cell>
          <cell r="M484">
            <v>0</v>
          </cell>
          <cell r="N484">
            <v>4133.16</v>
          </cell>
          <cell r="O484" t="str">
            <v>40 foizli kompensatsiyasi</v>
          </cell>
        </row>
        <row r="485">
          <cell r="A485">
            <v>9</v>
          </cell>
          <cell r="B485">
            <v>214</v>
          </cell>
          <cell r="C485">
            <v>8298</v>
          </cell>
          <cell r="D485">
            <v>711.02</v>
          </cell>
          <cell r="E485">
            <v>14</v>
          </cell>
          <cell r="F485">
            <v>20206.03</v>
          </cell>
          <cell r="H485">
            <v>2</v>
          </cell>
          <cell r="I485">
            <v>0</v>
          </cell>
          <cell r="J485">
            <v>2024.11</v>
          </cell>
          <cell r="K485">
            <v>0</v>
          </cell>
          <cell r="L485">
            <v>0</v>
          </cell>
          <cell r="M485">
            <v>0</v>
          </cell>
          <cell r="N485">
            <v>2024.11</v>
          </cell>
          <cell r="O485" t="str">
            <v>40 foizli kompensatsiyasi</v>
          </cell>
        </row>
        <row r="486">
          <cell r="A486">
            <v>9</v>
          </cell>
          <cell r="B486">
            <v>214</v>
          </cell>
          <cell r="C486">
            <v>8659</v>
          </cell>
          <cell r="D486">
            <v>711.02</v>
          </cell>
          <cell r="E486">
            <v>14</v>
          </cell>
          <cell r="F486">
            <v>20206.03</v>
          </cell>
          <cell r="H486">
            <v>2</v>
          </cell>
          <cell r="I486">
            <v>0</v>
          </cell>
          <cell r="J486">
            <v>1179.07</v>
          </cell>
          <cell r="K486">
            <v>370.77</v>
          </cell>
          <cell r="L486">
            <v>0</v>
          </cell>
          <cell r="M486">
            <v>0</v>
          </cell>
          <cell r="N486">
            <v>808.3</v>
          </cell>
          <cell r="O486" t="str">
            <v>40 foizli kompensatsiyasi</v>
          </cell>
        </row>
        <row r="487">
          <cell r="A487">
            <v>9</v>
          </cell>
          <cell r="B487">
            <v>214</v>
          </cell>
          <cell r="C487">
            <v>7783</v>
          </cell>
          <cell r="D487">
            <v>711.03</v>
          </cell>
          <cell r="E487">
            <v>14</v>
          </cell>
          <cell r="F487">
            <v>20206.04</v>
          </cell>
          <cell r="H487">
            <v>2</v>
          </cell>
          <cell r="I487">
            <v>0</v>
          </cell>
          <cell r="J487">
            <v>141.27000000000001</v>
          </cell>
          <cell r="K487">
            <v>0</v>
          </cell>
          <cell r="L487">
            <v>0</v>
          </cell>
          <cell r="M487">
            <v>0</v>
          </cell>
          <cell r="N487">
            <v>141.27000000000001</v>
          </cell>
          <cell r="O487" t="str">
            <v>Спец.счета по Госзайму 1982 г</v>
          </cell>
        </row>
        <row r="488">
          <cell r="A488">
            <v>9</v>
          </cell>
          <cell r="B488">
            <v>214</v>
          </cell>
          <cell r="C488">
            <v>7948</v>
          </cell>
          <cell r="D488">
            <v>711.03</v>
          </cell>
          <cell r="E488">
            <v>14</v>
          </cell>
          <cell r="F488">
            <v>20206.04</v>
          </cell>
          <cell r="H488">
            <v>2</v>
          </cell>
          <cell r="I488">
            <v>0</v>
          </cell>
          <cell r="J488">
            <v>127.19</v>
          </cell>
          <cell r="K488">
            <v>0</v>
          </cell>
          <cell r="L488">
            <v>0</v>
          </cell>
          <cell r="M488">
            <v>0</v>
          </cell>
          <cell r="N488">
            <v>127.19</v>
          </cell>
          <cell r="O488" t="str">
            <v>Спец.счета по Госзайму 1982 г</v>
          </cell>
        </row>
        <row r="489">
          <cell r="A489">
            <v>9</v>
          </cell>
          <cell r="B489">
            <v>214</v>
          </cell>
          <cell r="C489">
            <v>8002</v>
          </cell>
          <cell r="D489">
            <v>711.03</v>
          </cell>
          <cell r="E489">
            <v>14</v>
          </cell>
          <cell r="F489">
            <v>20206.04</v>
          </cell>
          <cell r="H489">
            <v>2</v>
          </cell>
          <cell r="I489">
            <v>0</v>
          </cell>
          <cell r="J489">
            <v>5.54</v>
          </cell>
          <cell r="K489">
            <v>0</v>
          </cell>
          <cell r="L489">
            <v>0</v>
          </cell>
          <cell r="M489">
            <v>0</v>
          </cell>
          <cell r="N489">
            <v>5.54</v>
          </cell>
          <cell r="O489" t="str">
            <v>Спец.счета по Госзайму 1982 г</v>
          </cell>
        </row>
        <row r="490">
          <cell r="A490">
            <v>9</v>
          </cell>
          <cell r="B490">
            <v>214</v>
          </cell>
          <cell r="C490">
            <v>8104</v>
          </cell>
          <cell r="D490">
            <v>711.03</v>
          </cell>
          <cell r="E490">
            <v>14</v>
          </cell>
          <cell r="F490">
            <v>20206.04</v>
          </cell>
          <cell r="H490">
            <v>2</v>
          </cell>
          <cell r="I490">
            <v>0</v>
          </cell>
          <cell r="J490">
            <v>46.56</v>
          </cell>
          <cell r="K490">
            <v>0</v>
          </cell>
          <cell r="L490">
            <v>0</v>
          </cell>
          <cell r="M490">
            <v>0</v>
          </cell>
          <cell r="N490">
            <v>46.56</v>
          </cell>
          <cell r="O490" t="str">
            <v>Спец.счета по Госзайму 1982 г</v>
          </cell>
        </row>
        <row r="491">
          <cell r="A491">
            <v>9</v>
          </cell>
          <cell r="B491">
            <v>214</v>
          </cell>
          <cell r="C491">
            <v>8137</v>
          </cell>
          <cell r="D491">
            <v>711.03</v>
          </cell>
          <cell r="E491">
            <v>14</v>
          </cell>
          <cell r="F491">
            <v>20206.04</v>
          </cell>
          <cell r="H491">
            <v>2</v>
          </cell>
          <cell r="I491">
            <v>0</v>
          </cell>
          <cell r="J491">
            <v>29.53</v>
          </cell>
          <cell r="K491">
            <v>0</v>
          </cell>
          <cell r="L491">
            <v>0.56000000000000005</v>
          </cell>
          <cell r="M491">
            <v>0</v>
          </cell>
          <cell r="N491">
            <v>30.09</v>
          </cell>
          <cell r="O491" t="str">
            <v>Спец.счета по Госзайму 1982 г</v>
          </cell>
        </row>
        <row r="492">
          <cell r="A492">
            <v>9</v>
          </cell>
          <cell r="B492">
            <v>214</v>
          </cell>
          <cell r="C492">
            <v>8298</v>
          </cell>
          <cell r="D492">
            <v>711.03</v>
          </cell>
          <cell r="E492">
            <v>14</v>
          </cell>
          <cell r="F492">
            <v>20206.04</v>
          </cell>
          <cell r="H492">
            <v>2</v>
          </cell>
          <cell r="I492">
            <v>0</v>
          </cell>
          <cell r="J492">
            <v>93.77</v>
          </cell>
          <cell r="K492">
            <v>0</v>
          </cell>
          <cell r="L492">
            <v>0</v>
          </cell>
          <cell r="M492">
            <v>0</v>
          </cell>
          <cell r="N492">
            <v>93.77</v>
          </cell>
          <cell r="O492" t="str">
            <v>Спец.счета по Госзайму 1982 г</v>
          </cell>
        </row>
        <row r="493">
          <cell r="A493">
            <v>9</v>
          </cell>
          <cell r="B493">
            <v>214</v>
          </cell>
          <cell r="C493">
            <v>8659</v>
          </cell>
          <cell r="D493">
            <v>711.03</v>
          </cell>
          <cell r="E493">
            <v>14</v>
          </cell>
          <cell r="F493">
            <v>20206.04</v>
          </cell>
          <cell r="H493">
            <v>2</v>
          </cell>
          <cell r="I493">
            <v>0</v>
          </cell>
          <cell r="J493">
            <v>39.130000000000003</v>
          </cell>
          <cell r="K493">
            <v>16.34</v>
          </cell>
          <cell r="L493">
            <v>0</v>
          </cell>
          <cell r="M493">
            <v>0</v>
          </cell>
          <cell r="N493">
            <v>22.79</v>
          </cell>
          <cell r="O493" t="str">
            <v>Спец.счета по Госзайму 1982 г</v>
          </cell>
        </row>
        <row r="494">
          <cell r="A494">
            <v>9</v>
          </cell>
          <cell r="B494">
            <v>214</v>
          </cell>
          <cell r="C494">
            <v>3563</v>
          </cell>
          <cell r="D494">
            <v>711.06</v>
          </cell>
          <cell r="E494">
            <v>14</v>
          </cell>
          <cell r="F494">
            <v>20606.03</v>
          </cell>
          <cell r="H494">
            <v>2</v>
          </cell>
          <cell r="I494">
            <v>0</v>
          </cell>
          <cell r="J494">
            <v>242041.38</v>
          </cell>
          <cell r="K494">
            <v>11373.48</v>
          </cell>
          <cell r="L494">
            <v>1385.8</v>
          </cell>
          <cell r="M494">
            <v>0</v>
          </cell>
          <cell r="N494">
            <v>232053.7</v>
          </cell>
          <cell r="O494" t="str">
            <v>Muddati 1 yildan 3 yilgacha bo`lgan muddatli-shartli omonati</v>
          </cell>
        </row>
        <row r="495">
          <cell r="A495">
            <v>9</v>
          </cell>
          <cell r="B495">
            <v>214</v>
          </cell>
          <cell r="C495">
            <v>5996</v>
          </cell>
          <cell r="D495">
            <v>711.06</v>
          </cell>
          <cell r="E495">
            <v>14</v>
          </cell>
          <cell r="F495">
            <v>20606.03</v>
          </cell>
          <cell r="H495">
            <v>2</v>
          </cell>
          <cell r="I495">
            <v>0</v>
          </cell>
          <cell r="J495">
            <v>69747.570000000007</v>
          </cell>
          <cell r="K495">
            <v>5638.46</v>
          </cell>
          <cell r="L495">
            <v>113.76</v>
          </cell>
          <cell r="M495">
            <v>0</v>
          </cell>
          <cell r="N495">
            <v>64222.87</v>
          </cell>
          <cell r="O495" t="str">
            <v>Muddati 1 yildan 3 yilgacha bo`lgan muddatli-shartli omonati</v>
          </cell>
        </row>
        <row r="496">
          <cell r="A496">
            <v>9</v>
          </cell>
          <cell r="B496">
            <v>214</v>
          </cell>
          <cell r="C496">
            <v>7783</v>
          </cell>
          <cell r="D496">
            <v>711.06</v>
          </cell>
          <cell r="E496">
            <v>14</v>
          </cell>
          <cell r="F496">
            <v>20606.03</v>
          </cell>
          <cell r="H496">
            <v>2</v>
          </cell>
          <cell r="I496">
            <v>0</v>
          </cell>
          <cell r="J496">
            <v>329549.19</v>
          </cell>
          <cell r="K496">
            <v>209.9</v>
          </cell>
          <cell r="L496">
            <v>13.46</v>
          </cell>
          <cell r="M496">
            <v>0</v>
          </cell>
          <cell r="N496">
            <v>329352.75</v>
          </cell>
          <cell r="O496" t="str">
            <v>Muddati 1 yildan 3 yilgacha bo`lgan muddatli-shartli omonati</v>
          </cell>
        </row>
        <row r="497">
          <cell r="A497">
            <v>9</v>
          </cell>
          <cell r="B497">
            <v>214</v>
          </cell>
          <cell r="C497">
            <v>7845</v>
          </cell>
          <cell r="D497">
            <v>711.06</v>
          </cell>
          <cell r="E497">
            <v>14</v>
          </cell>
          <cell r="F497">
            <v>20606.03</v>
          </cell>
          <cell r="H497">
            <v>2</v>
          </cell>
          <cell r="I497">
            <v>0</v>
          </cell>
          <cell r="J497">
            <v>72176.259999999995</v>
          </cell>
          <cell r="K497">
            <v>6900</v>
          </cell>
          <cell r="L497">
            <v>21400</v>
          </cell>
          <cell r="M497">
            <v>0</v>
          </cell>
          <cell r="N497">
            <v>86676.26</v>
          </cell>
          <cell r="O497" t="str">
            <v>Muddati 1 yildan 3 yilgacha bo`lgan muddatli-shartli omonati</v>
          </cell>
        </row>
        <row r="498">
          <cell r="A498">
            <v>9</v>
          </cell>
          <cell r="B498">
            <v>214</v>
          </cell>
          <cell r="C498">
            <v>7948</v>
          </cell>
          <cell r="D498">
            <v>711.06</v>
          </cell>
          <cell r="E498">
            <v>14</v>
          </cell>
          <cell r="F498">
            <v>20606.03</v>
          </cell>
          <cell r="H498">
            <v>2</v>
          </cell>
          <cell r="I498">
            <v>0</v>
          </cell>
          <cell r="J498">
            <v>12148.34</v>
          </cell>
          <cell r="K498">
            <v>21.37</v>
          </cell>
          <cell r="L498">
            <v>0.38</v>
          </cell>
          <cell r="M498">
            <v>0</v>
          </cell>
          <cell r="N498">
            <v>12127.35</v>
          </cell>
          <cell r="O498" t="str">
            <v>Muddati 1 yildan 3 yilgacha bo`lgan muddatli-shartli omonati</v>
          </cell>
        </row>
        <row r="499">
          <cell r="A499">
            <v>9</v>
          </cell>
          <cell r="B499">
            <v>214</v>
          </cell>
          <cell r="C499">
            <v>8002</v>
          </cell>
          <cell r="D499">
            <v>711.06</v>
          </cell>
          <cell r="E499">
            <v>14</v>
          </cell>
          <cell r="F499">
            <v>20606.03</v>
          </cell>
          <cell r="H499">
            <v>2</v>
          </cell>
          <cell r="I499">
            <v>0</v>
          </cell>
          <cell r="J499">
            <v>125400.1</v>
          </cell>
          <cell r="K499">
            <v>0</v>
          </cell>
          <cell r="L499">
            <v>0</v>
          </cell>
          <cell r="M499">
            <v>0</v>
          </cell>
          <cell r="N499">
            <v>125400.1</v>
          </cell>
          <cell r="O499" t="str">
            <v>Muddati 1 yildan 3 yilgacha bo`lgan muddatli-shartli omonati</v>
          </cell>
        </row>
        <row r="500">
          <cell r="A500">
            <v>9</v>
          </cell>
          <cell r="B500">
            <v>214</v>
          </cell>
          <cell r="C500">
            <v>8104</v>
          </cell>
          <cell r="D500">
            <v>711.06</v>
          </cell>
          <cell r="E500">
            <v>14</v>
          </cell>
          <cell r="F500">
            <v>20606.03</v>
          </cell>
          <cell r="H500">
            <v>2</v>
          </cell>
          <cell r="I500">
            <v>0</v>
          </cell>
          <cell r="J500">
            <v>33480.97</v>
          </cell>
          <cell r="K500">
            <v>9900</v>
          </cell>
          <cell r="L500">
            <v>9909.34</v>
          </cell>
          <cell r="M500">
            <v>0</v>
          </cell>
          <cell r="N500">
            <v>33490.31</v>
          </cell>
          <cell r="O500" t="str">
            <v>Muddati 1 yildan 3 yilgacha bo`lgan muddatli-shartli omonati</v>
          </cell>
        </row>
        <row r="501">
          <cell r="A501">
            <v>9</v>
          </cell>
          <cell r="B501">
            <v>214</v>
          </cell>
          <cell r="C501">
            <v>8137</v>
          </cell>
          <cell r="D501">
            <v>711.06</v>
          </cell>
          <cell r="E501">
            <v>14</v>
          </cell>
          <cell r="F501">
            <v>20606.03</v>
          </cell>
          <cell r="H501">
            <v>2</v>
          </cell>
          <cell r="I501">
            <v>0</v>
          </cell>
          <cell r="J501">
            <v>1269</v>
          </cell>
          <cell r="K501">
            <v>0</v>
          </cell>
          <cell r="L501">
            <v>0</v>
          </cell>
          <cell r="M501">
            <v>0</v>
          </cell>
          <cell r="N501">
            <v>1269</v>
          </cell>
          <cell r="O501" t="str">
            <v>Muddati 1 yildan 3 yilgacha bo`lgan muddatli-shartli omonati</v>
          </cell>
        </row>
        <row r="502">
          <cell r="A502">
            <v>9</v>
          </cell>
          <cell r="B502">
            <v>214</v>
          </cell>
          <cell r="C502">
            <v>8298</v>
          </cell>
          <cell r="D502">
            <v>711.06</v>
          </cell>
          <cell r="E502">
            <v>14</v>
          </cell>
          <cell r="F502">
            <v>20606.03</v>
          </cell>
          <cell r="H502">
            <v>2</v>
          </cell>
          <cell r="I502">
            <v>0</v>
          </cell>
          <cell r="J502">
            <v>16036.37</v>
          </cell>
          <cell r="K502">
            <v>891.44</v>
          </cell>
          <cell r="L502">
            <v>41.1</v>
          </cell>
          <cell r="M502">
            <v>0</v>
          </cell>
          <cell r="N502">
            <v>15186.03</v>
          </cell>
          <cell r="O502" t="str">
            <v>Muddati 1 yildan 3 yilgacha bo`lgan muddatli-shartli omonati</v>
          </cell>
        </row>
        <row r="503">
          <cell r="A503">
            <v>9</v>
          </cell>
          <cell r="B503">
            <v>214</v>
          </cell>
          <cell r="C503">
            <v>8533</v>
          </cell>
          <cell r="D503">
            <v>711.06</v>
          </cell>
          <cell r="E503">
            <v>14</v>
          </cell>
          <cell r="F503">
            <v>20606.03</v>
          </cell>
          <cell r="H503">
            <v>2</v>
          </cell>
          <cell r="I503">
            <v>0</v>
          </cell>
          <cell r="J503">
            <v>2498.17</v>
          </cell>
          <cell r="K503">
            <v>0</v>
          </cell>
          <cell r="L503">
            <v>0</v>
          </cell>
          <cell r="M503">
            <v>0</v>
          </cell>
          <cell r="N503">
            <v>2498.17</v>
          </cell>
          <cell r="O503" t="str">
            <v>Muddati 1 yildan 3 yilgacha bo`lgan muddatli-shartli omonati</v>
          </cell>
        </row>
        <row r="504">
          <cell r="A504">
            <v>9</v>
          </cell>
          <cell r="B504">
            <v>214</v>
          </cell>
          <cell r="C504">
            <v>8659</v>
          </cell>
          <cell r="D504">
            <v>711.06</v>
          </cell>
          <cell r="E504">
            <v>14</v>
          </cell>
          <cell r="F504">
            <v>20606.03</v>
          </cell>
          <cell r="H504">
            <v>2</v>
          </cell>
          <cell r="I504">
            <v>0</v>
          </cell>
          <cell r="J504">
            <v>65500.2</v>
          </cell>
          <cell r="K504">
            <v>22894.09</v>
          </cell>
          <cell r="L504">
            <v>0.06</v>
          </cell>
          <cell r="M504">
            <v>0</v>
          </cell>
          <cell r="N504">
            <v>42606.17</v>
          </cell>
          <cell r="O504" t="str">
            <v>Muddati 1 yildan 3 yilgacha bo`lgan muddatli-shartli omonati</v>
          </cell>
        </row>
        <row r="505">
          <cell r="A505">
            <v>9</v>
          </cell>
          <cell r="B505">
            <v>214</v>
          </cell>
          <cell r="C505">
            <v>3563</v>
          </cell>
          <cell r="D505">
            <v>711.07</v>
          </cell>
          <cell r="E505">
            <v>14</v>
          </cell>
          <cell r="F505">
            <v>20606.04</v>
          </cell>
          <cell r="H505">
            <v>2</v>
          </cell>
          <cell r="I505">
            <v>0</v>
          </cell>
          <cell r="J505">
            <v>525095.80000000005</v>
          </cell>
          <cell r="K505">
            <v>55196.82</v>
          </cell>
          <cell r="L505">
            <v>13441.06</v>
          </cell>
          <cell r="M505">
            <v>0</v>
          </cell>
          <cell r="N505">
            <v>483340.04</v>
          </cell>
          <cell r="O505" t="str">
            <v>Muddati 3 yildan 5 yilgacha bo`lgan muddatli-shartli omonati</v>
          </cell>
        </row>
        <row r="506">
          <cell r="A506">
            <v>9</v>
          </cell>
          <cell r="B506">
            <v>214</v>
          </cell>
          <cell r="C506">
            <v>5996</v>
          </cell>
          <cell r="D506">
            <v>711.07</v>
          </cell>
          <cell r="E506">
            <v>14</v>
          </cell>
          <cell r="F506">
            <v>20606.04</v>
          </cell>
          <cell r="H506">
            <v>2</v>
          </cell>
          <cell r="I506">
            <v>0</v>
          </cell>
          <cell r="J506">
            <v>41229.82</v>
          </cell>
          <cell r="K506">
            <v>659.31</v>
          </cell>
          <cell r="L506">
            <v>145.04</v>
          </cell>
          <cell r="M506">
            <v>0</v>
          </cell>
          <cell r="N506">
            <v>40715.550000000003</v>
          </cell>
          <cell r="O506" t="str">
            <v>Muddati 3 yildan 5 yilgacha bo`lgan muddatli-shartli omonati</v>
          </cell>
        </row>
        <row r="507">
          <cell r="A507">
            <v>9</v>
          </cell>
          <cell r="B507">
            <v>214</v>
          </cell>
          <cell r="C507">
            <v>7783</v>
          </cell>
          <cell r="D507">
            <v>711.07</v>
          </cell>
          <cell r="E507">
            <v>14</v>
          </cell>
          <cell r="F507">
            <v>20606.04</v>
          </cell>
          <cell r="H507">
            <v>2</v>
          </cell>
          <cell r="I507">
            <v>0</v>
          </cell>
          <cell r="J507">
            <v>70708.789999999994</v>
          </cell>
          <cell r="K507">
            <v>0</v>
          </cell>
          <cell r="L507">
            <v>0</v>
          </cell>
          <cell r="M507">
            <v>0</v>
          </cell>
          <cell r="N507">
            <v>70708.789999999994</v>
          </cell>
          <cell r="O507" t="str">
            <v>Muddati 3 yildan 5 yilgacha bo`lgan muddatli-shartli omonati</v>
          </cell>
        </row>
        <row r="508">
          <cell r="A508">
            <v>9</v>
          </cell>
          <cell r="B508">
            <v>214</v>
          </cell>
          <cell r="C508">
            <v>7845</v>
          </cell>
          <cell r="D508">
            <v>711.07</v>
          </cell>
          <cell r="E508">
            <v>14</v>
          </cell>
          <cell r="F508">
            <v>20606.04</v>
          </cell>
          <cell r="H508">
            <v>2</v>
          </cell>
          <cell r="I508">
            <v>0</v>
          </cell>
          <cell r="J508">
            <v>296887.09999999998</v>
          </cell>
          <cell r="K508">
            <v>72488.52</v>
          </cell>
          <cell r="L508">
            <v>354.51</v>
          </cell>
          <cell r="M508">
            <v>0</v>
          </cell>
          <cell r="N508">
            <v>224753.09</v>
          </cell>
          <cell r="O508" t="str">
            <v>Muddati 3 yildan 5 yilgacha bo`lgan muddatli-shartli omonati</v>
          </cell>
        </row>
        <row r="509">
          <cell r="A509">
            <v>9</v>
          </cell>
          <cell r="B509">
            <v>214</v>
          </cell>
          <cell r="C509">
            <v>7948</v>
          </cell>
          <cell r="D509">
            <v>711.07</v>
          </cell>
          <cell r="E509">
            <v>14</v>
          </cell>
          <cell r="F509">
            <v>20606.04</v>
          </cell>
          <cell r="H509">
            <v>2</v>
          </cell>
          <cell r="I509">
            <v>0</v>
          </cell>
          <cell r="J509">
            <v>6733.36</v>
          </cell>
          <cell r="K509">
            <v>0</v>
          </cell>
          <cell r="L509">
            <v>0</v>
          </cell>
          <cell r="M509">
            <v>0</v>
          </cell>
          <cell r="N509">
            <v>6733.36</v>
          </cell>
          <cell r="O509" t="str">
            <v>Muddati 3 yildan 5 yilgacha bo`lgan muddatli-shartli omonati</v>
          </cell>
        </row>
        <row r="510">
          <cell r="A510">
            <v>9</v>
          </cell>
          <cell r="B510">
            <v>214</v>
          </cell>
          <cell r="C510">
            <v>8002</v>
          </cell>
          <cell r="D510">
            <v>711.07</v>
          </cell>
          <cell r="E510">
            <v>14</v>
          </cell>
          <cell r="F510">
            <v>20606.04</v>
          </cell>
          <cell r="H510">
            <v>2</v>
          </cell>
          <cell r="I510">
            <v>0</v>
          </cell>
          <cell r="J510">
            <v>21305.24</v>
          </cell>
          <cell r="K510">
            <v>0</v>
          </cell>
          <cell r="L510">
            <v>0</v>
          </cell>
          <cell r="M510">
            <v>0</v>
          </cell>
          <cell r="N510">
            <v>21305.24</v>
          </cell>
          <cell r="O510" t="str">
            <v>Muddati 3 yildan 5 yilgacha bo`lgan muddatli-shartli omonati</v>
          </cell>
        </row>
        <row r="511">
          <cell r="A511">
            <v>9</v>
          </cell>
          <cell r="B511">
            <v>214</v>
          </cell>
          <cell r="C511">
            <v>8104</v>
          </cell>
          <cell r="D511">
            <v>711.07</v>
          </cell>
          <cell r="E511">
            <v>14</v>
          </cell>
          <cell r="F511">
            <v>20606.04</v>
          </cell>
          <cell r="H511">
            <v>2</v>
          </cell>
          <cell r="I511">
            <v>0</v>
          </cell>
          <cell r="J511">
            <v>25442.97</v>
          </cell>
          <cell r="K511">
            <v>430.5</v>
          </cell>
          <cell r="L511">
            <v>584.19000000000005</v>
          </cell>
          <cell r="M511">
            <v>0</v>
          </cell>
          <cell r="N511">
            <v>25596.66</v>
          </cell>
          <cell r="O511" t="str">
            <v>Muddati 3 yildan 5 yilgacha bo`lgan muddatli-shartli omonati</v>
          </cell>
        </row>
        <row r="512">
          <cell r="A512">
            <v>9</v>
          </cell>
          <cell r="B512">
            <v>214</v>
          </cell>
          <cell r="C512">
            <v>8137</v>
          </cell>
          <cell r="D512">
            <v>711.07</v>
          </cell>
          <cell r="E512">
            <v>14</v>
          </cell>
          <cell r="F512">
            <v>20606.04</v>
          </cell>
          <cell r="H512">
            <v>2</v>
          </cell>
          <cell r="I512">
            <v>0</v>
          </cell>
          <cell r="J512">
            <v>3011.29</v>
          </cell>
          <cell r="K512">
            <v>0</v>
          </cell>
          <cell r="L512">
            <v>0</v>
          </cell>
          <cell r="M512">
            <v>0</v>
          </cell>
          <cell r="N512">
            <v>3011.29</v>
          </cell>
          <cell r="O512" t="str">
            <v>Muddati 3 yildan 5 yilgacha bo`lgan muddatli-shartli omonati</v>
          </cell>
        </row>
        <row r="513">
          <cell r="A513">
            <v>9</v>
          </cell>
          <cell r="B513">
            <v>214</v>
          </cell>
          <cell r="C513">
            <v>8298</v>
          </cell>
          <cell r="D513">
            <v>711.07</v>
          </cell>
          <cell r="E513">
            <v>14</v>
          </cell>
          <cell r="F513">
            <v>20606.04</v>
          </cell>
          <cell r="H513">
            <v>2</v>
          </cell>
          <cell r="I513">
            <v>0</v>
          </cell>
          <cell r="J513">
            <v>13142.86</v>
          </cell>
          <cell r="K513">
            <v>736.29</v>
          </cell>
          <cell r="L513">
            <v>70.12</v>
          </cell>
          <cell r="M513">
            <v>0</v>
          </cell>
          <cell r="N513">
            <v>12476.69</v>
          </cell>
          <cell r="O513" t="str">
            <v>Muddati 3 yildan 5 yilgacha bo`lgan muddatli-shartli omonati</v>
          </cell>
        </row>
        <row r="514">
          <cell r="A514">
            <v>9</v>
          </cell>
          <cell r="B514">
            <v>214</v>
          </cell>
          <cell r="C514">
            <v>8533</v>
          </cell>
          <cell r="D514">
            <v>711.07</v>
          </cell>
          <cell r="E514">
            <v>14</v>
          </cell>
          <cell r="F514">
            <v>20606.04</v>
          </cell>
          <cell r="H514">
            <v>2</v>
          </cell>
          <cell r="I514">
            <v>0</v>
          </cell>
          <cell r="J514">
            <v>4350.8599999999997</v>
          </cell>
          <cell r="K514">
            <v>0</v>
          </cell>
          <cell r="L514">
            <v>0</v>
          </cell>
          <cell r="M514">
            <v>0</v>
          </cell>
          <cell r="N514">
            <v>4350.8599999999997</v>
          </cell>
          <cell r="O514" t="str">
            <v>Muddati 3 yildan 5 yilgacha bo`lgan muddatli-shartli omonati</v>
          </cell>
        </row>
        <row r="515">
          <cell r="A515">
            <v>9</v>
          </cell>
          <cell r="B515">
            <v>214</v>
          </cell>
          <cell r="C515">
            <v>8659</v>
          </cell>
          <cell r="D515">
            <v>711.07</v>
          </cell>
          <cell r="E515">
            <v>14</v>
          </cell>
          <cell r="F515">
            <v>20606.04</v>
          </cell>
          <cell r="H515">
            <v>2</v>
          </cell>
          <cell r="I515">
            <v>0</v>
          </cell>
          <cell r="J515">
            <v>5867.78</v>
          </cell>
          <cell r="K515">
            <v>4283.2</v>
          </cell>
          <cell r="L515">
            <v>0</v>
          </cell>
          <cell r="M515">
            <v>0</v>
          </cell>
          <cell r="N515">
            <v>1584.58</v>
          </cell>
          <cell r="O515" t="str">
            <v>Muddati 3 yildan 5 yilgacha bo`lgan muddatli-shartli omonati</v>
          </cell>
        </row>
        <row r="516">
          <cell r="A516">
            <v>9</v>
          </cell>
          <cell r="B516">
            <v>214</v>
          </cell>
          <cell r="C516">
            <v>3563</v>
          </cell>
          <cell r="D516">
            <v>711.08</v>
          </cell>
          <cell r="E516">
            <v>14</v>
          </cell>
          <cell r="F516">
            <v>20606.05</v>
          </cell>
          <cell r="H516">
            <v>2</v>
          </cell>
          <cell r="I516">
            <v>0</v>
          </cell>
          <cell r="J516">
            <v>1173856.54</v>
          </cell>
          <cell r="K516">
            <v>101061.9</v>
          </cell>
          <cell r="L516">
            <v>6470.79</v>
          </cell>
          <cell r="M516">
            <v>0</v>
          </cell>
          <cell r="N516">
            <v>1079265.43</v>
          </cell>
          <cell r="O516" t="str">
            <v>Muddati 5 yildan ortiq bo`lgan muddatli-shartli omonati</v>
          </cell>
        </row>
        <row r="517">
          <cell r="A517">
            <v>9</v>
          </cell>
          <cell r="B517">
            <v>214</v>
          </cell>
          <cell r="C517">
            <v>5996</v>
          </cell>
          <cell r="D517">
            <v>711.08</v>
          </cell>
          <cell r="E517">
            <v>14</v>
          </cell>
          <cell r="F517">
            <v>20606.05</v>
          </cell>
          <cell r="H517">
            <v>2</v>
          </cell>
          <cell r="I517">
            <v>0</v>
          </cell>
          <cell r="J517">
            <v>1166321.8899999999</v>
          </cell>
          <cell r="K517">
            <v>46638.15</v>
          </cell>
          <cell r="L517">
            <v>24672.76</v>
          </cell>
          <cell r="M517">
            <v>0</v>
          </cell>
          <cell r="N517">
            <v>1144356.5</v>
          </cell>
          <cell r="O517" t="str">
            <v>Muddati 5 yildan ortiq bo`lgan muddatli-shartli omonati</v>
          </cell>
        </row>
        <row r="518">
          <cell r="A518">
            <v>9</v>
          </cell>
          <cell r="B518">
            <v>214</v>
          </cell>
          <cell r="C518">
            <v>7783</v>
          </cell>
          <cell r="D518">
            <v>711.08</v>
          </cell>
          <cell r="E518">
            <v>14</v>
          </cell>
          <cell r="F518">
            <v>20606.05</v>
          </cell>
          <cell r="H518">
            <v>2</v>
          </cell>
          <cell r="I518">
            <v>0</v>
          </cell>
          <cell r="J518">
            <v>825998.93</v>
          </cell>
          <cell r="K518">
            <v>90968.55</v>
          </cell>
          <cell r="L518">
            <v>7922.5</v>
          </cell>
          <cell r="M518">
            <v>0</v>
          </cell>
          <cell r="N518">
            <v>742952.88</v>
          </cell>
          <cell r="O518" t="str">
            <v>Muddati 5 yildan ortiq bo`lgan muddatli-shartli omonati</v>
          </cell>
        </row>
        <row r="519">
          <cell r="A519">
            <v>9</v>
          </cell>
          <cell r="B519">
            <v>214</v>
          </cell>
          <cell r="C519">
            <v>7845</v>
          </cell>
          <cell r="D519">
            <v>711.08</v>
          </cell>
          <cell r="E519">
            <v>14</v>
          </cell>
          <cell r="F519">
            <v>20606.05</v>
          </cell>
          <cell r="H519">
            <v>2</v>
          </cell>
          <cell r="I519">
            <v>0</v>
          </cell>
          <cell r="J519">
            <v>588517.44999999995</v>
          </cell>
          <cell r="K519">
            <v>11464.66</v>
          </cell>
          <cell r="L519">
            <v>16652.32</v>
          </cell>
          <cell r="M519">
            <v>0</v>
          </cell>
          <cell r="N519">
            <v>593705.11</v>
          </cell>
          <cell r="O519" t="str">
            <v>Muddati 5 yildan ortiq bo`lgan muddatli-shartli omonati</v>
          </cell>
        </row>
        <row r="520">
          <cell r="A520">
            <v>9</v>
          </cell>
          <cell r="B520">
            <v>214</v>
          </cell>
          <cell r="C520">
            <v>7948</v>
          </cell>
          <cell r="D520">
            <v>711.08</v>
          </cell>
          <cell r="E520">
            <v>14</v>
          </cell>
          <cell r="F520">
            <v>20606.05</v>
          </cell>
          <cell r="H520">
            <v>2</v>
          </cell>
          <cell r="I520">
            <v>0</v>
          </cell>
          <cell r="J520">
            <v>514785.61</v>
          </cell>
          <cell r="K520">
            <v>40778.89</v>
          </cell>
          <cell r="L520">
            <v>2232.5300000000002</v>
          </cell>
          <cell r="M520">
            <v>0</v>
          </cell>
          <cell r="N520">
            <v>476239.25</v>
          </cell>
          <cell r="O520" t="str">
            <v>Muddati 5 yildan ortiq bo`lgan muddatli-shartli omonati</v>
          </cell>
        </row>
        <row r="521">
          <cell r="A521">
            <v>9</v>
          </cell>
          <cell r="B521">
            <v>214</v>
          </cell>
          <cell r="C521">
            <v>8002</v>
          </cell>
          <cell r="D521">
            <v>711.08</v>
          </cell>
          <cell r="E521">
            <v>14</v>
          </cell>
          <cell r="F521">
            <v>20606.05</v>
          </cell>
          <cell r="H521">
            <v>2</v>
          </cell>
          <cell r="I521">
            <v>0</v>
          </cell>
          <cell r="J521">
            <v>1132105.6399999999</v>
          </cell>
          <cell r="K521">
            <v>78885.570000000007</v>
          </cell>
          <cell r="L521">
            <v>44420.12</v>
          </cell>
          <cell r="M521">
            <v>0</v>
          </cell>
          <cell r="N521">
            <v>1097640.19</v>
          </cell>
          <cell r="O521" t="str">
            <v>Muddati 5 yildan ortiq bo`lgan muddatli-shartli omonati</v>
          </cell>
        </row>
        <row r="522">
          <cell r="A522">
            <v>9</v>
          </cell>
          <cell r="B522">
            <v>214</v>
          </cell>
          <cell r="C522">
            <v>8104</v>
          </cell>
          <cell r="D522">
            <v>711.08</v>
          </cell>
          <cell r="E522">
            <v>14</v>
          </cell>
          <cell r="F522">
            <v>20606.05</v>
          </cell>
          <cell r="H522">
            <v>2</v>
          </cell>
          <cell r="I522">
            <v>0</v>
          </cell>
          <cell r="J522">
            <v>1050048.6499999999</v>
          </cell>
          <cell r="K522">
            <v>73310.600000000006</v>
          </cell>
          <cell r="L522">
            <v>3833.5</v>
          </cell>
          <cell r="M522">
            <v>0</v>
          </cell>
          <cell r="N522">
            <v>980571.55</v>
          </cell>
          <cell r="O522" t="str">
            <v>Muddati 5 yildan ortiq bo`lgan muddatli-shartli omonati</v>
          </cell>
        </row>
        <row r="523">
          <cell r="A523">
            <v>9</v>
          </cell>
          <cell r="B523">
            <v>214</v>
          </cell>
          <cell r="C523">
            <v>8137</v>
          </cell>
          <cell r="D523">
            <v>711.08</v>
          </cell>
          <cell r="E523">
            <v>14</v>
          </cell>
          <cell r="F523">
            <v>20606.05</v>
          </cell>
          <cell r="H523">
            <v>2</v>
          </cell>
          <cell r="I523">
            <v>0</v>
          </cell>
          <cell r="J523">
            <v>312398.21000000002</v>
          </cell>
          <cell r="K523">
            <v>11988.54</v>
          </cell>
          <cell r="L523">
            <v>1371.32</v>
          </cell>
          <cell r="M523">
            <v>0</v>
          </cell>
          <cell r="N523">
            <v>301780.99</v>
          </cell>
          <cell r="O523" t="str">
            <v>Muddati 5 yildan ortiq bo`lgan muddatli-shartli omonati</v>
          </cell>
        </row>
        <row r="524">
          <cell r="A524">
            <v>9</v>
          </cell>
          <cell r="B524">
            <v>214</v>
          </cell>
          <cell r="C524">
            <v>8298</v>
          </cell>
          <cell r="D524">
            <v>711.08</v>
          </cell>
          <cell r="E524">
            <v>14</v>
          </cell>
          <cell r="F524">
            <v>20606.05</v>
          </cell>
          <cell r="H524">
            <v>2</v>
          </cell>
          <cell r="I524">
            <v>0</v>
          </cell>
          <cell r="J524">
            <v>283353.24</v>
          </cell>
          <cell r="K524">
            <v>17251.080000000002</v>
          </cell>
          <cell r="L524">
            <v>20231.91</v>
          </cell>
          <cell r="M524">
            <v>0</v>
          </cell>
          <cell r="N524">
            <v>286334.07</v>
          </cell>
          <cell r="O524" t="str">
            <v>Muddati 5 yildan ortiq bo`lgan muddatli-shartli omonati</v>
          </cell>
        </row>
        <row r="525">
          <cell r="A525">
            <v>9</v>
          </cell>
          <cell r="B525">
            <v>214</v>
          </cell>
          <cell r="C525">
            <v>8533</v>
          </cell>
          <cell r="D525">
            <v>711.08</v>
          </cell>
          <cell r="E525">
            <v>14</v>
          </cell>
          <cell r="F525">
            <v>20606.05</v>
          </cell>
          <cell r="H525">
            <v>2</v>
          </cell>
          <cell r="I525">
            <v>0</v>
          </cell>
          <cell r="J525">
            <v>108767.26</v>
          </cell>
          <cell r="K525">
            <v>4541.72</v>
          </cell>
          <cell r="L525">
            <v>94.61</v>
          </cell>
          <cell r="M525">
            <v>0</v>
          </cell>
          <cell r="N525">
            <v>104320.15</v>
          </cell>
          <cell r="O525" t="str">
            <v>Muddati 5 yildan ortiq bo`lgan muddatli-shartli omonati</v>
          </cell>
        </row>
        <row r="526">
          <cell r="A526">
            <v>9</v>
          </cell>
          <cell r="B526">
            <v>214</v>
          </cell>
          <cell r="C526">
            <v>8659</v>
          </cell>
          <cell r="D526">
            <v>711.08</v>
          </cell>
          <cell r="E526">
            <v>14</v>
          </cell>
          <cell r="F526">
            <v>20606.05</v>
          </cell>
          <cell r="H526">
            <v>2</v>
          </cell>
          <cell r="I526">
            <v>0</v>
          </cell>
          <cell r="J526">
            <v>278880.01</v>
          </cell>
          <cell r="K526">
            <v>189169.2</v>
          </cell>
          <cell r="L526">
            <v>31718.33</v>
          </cell>
          <cell r="M526">
            <v>0</v>
          </cell>
          <cell r="N526">
            <v>121429.14</v>
          </cell>
          <cell r="O526" t="str">
            <v>Muddati 5 yildan ortiq bo`lgan muddatli-shartli omonati</v>
          </cell>
        </row>
        <row r="527">
          <cell r="A527">
            <v>9</v>
          </cell>
          <cell r="B527">
            <v>214</v>
          </cell>
          <cell r="C527">
            <v>3563</v>
          </cell>
          <cell r="D527">
            <v>711.1</v>
          </cell>
          <cell r="E527">
            <v>14</v>
          </cell>
          <cell r="F527">
            <v>20406.03</v>
          </cell>
          <cell r="H527">
            <v>2</v>
          </cell>
          <cell r="I527">
            <v>0</v>
          </cell>
          <cell r="J527">
            <v>807574.94</v>
          </cell>
          <cell r="K527">
            <v>2684.4</v>
          </cell>
          <cell r="L527">
            <v>155833.94</v>
          </cell>
          <cell r="M527">
            <v>0</v>
          </cell>
          <cell r="N527">
            <v>960724.47999999998</v>
          </cell>
          <cell r="O527" t="str">
            <v>Целевые вклады на детей</v>
          </cell>
        </row>
        <row r="528">
          <cell r="A528">
            <v>9</v>
          </cell>
          <cell r="B528">
            <v>214</v>
          </cell>
          <cell r="C528">
            <v>5996</v>
          </cell>
          <cell r="D528">
            <v>711.1</v>
          </cell>
          <cell r="E528">
            <v>14</v>
          </cell>
          <cell r="F528">
            <v>20406.03</v>
          </cell>
          <cell r="H528">
            <v>2</v>
          </cell>
          <cell r="I528">
            <v>0</v>
          </cell>
          <cell r="J528">
            <v>467269.25</v>
          </cell>
          <cell r="K528">
            <v>71281.61</v>
          </cell>
          <cell r="L528">
            <v>67388.69</v>
          </cell>
          <cell r="M528">
            <v>0</v>
          </cell>
          <cell r="N528">
            <v>463376.33</v>
          </cell>
          <cell r="O528" t="str">
            <v>Целевые вклады на детей</v>
          </cell>
        </row>
        <row r="529">
          <cell r="A529">
            <v>9</v>
          </cell>
          <cell r="B529">
            <v>214</v>
          </cell>
          <cell r="C529">
            <v>7783</v>
          </cell>
          <cell r="D529">
            <v>711.1</v>
          </cell>
          <cell r="E529">
            <v>14</v>
          </cell>
          <cell r="F529">
            <v>20406.03</v>
          </cell>
          <cell r="H529">
            <v>2</v>
          </cell>
          <cell r="I529">
            <v>0</v>
          </cell>
          <cell r="J529">
            <v>193489.97</v>
          </cell>
          <cell r="K529">
            <v>1034.45</v>
          </cell>
          <cell r="L529">
            <v>9899.4500000000007</v>
          </cell>
          <cell r="M529">
            <v>0</v>
          </cell>
          <cell r="N529">
            <v>202354.97</v>
          </cell>
          <cell r="O529" t="str">
            <v>Целевые вклады на детей</v>
          </cell>
        </row>
        <row r="530">
          <cell r="A530">
            <v>9</v>
          </cell>
          <cell r="B530">
            <v>214</v>
          </cell>
          <cell r="C530">
            <v>7845</v>
          </cell>
          <cell r="D530">
            <v>711.1</v>
          </cell>
          <cell r="E530">
            <v>14</v>
          </cell>
          <cell r="F530">
            <v>20406.03</v>
          </cell>
          <cell r="H530">
            <v>2</v>
          </cell>
          <cell r="I530">
            <v>0</v>
          </cell>
          <cell r="J530">
            <v>188575.45</v>
          </cell>
          <cell r="K530">
            <v>0</v>
          </cell>
          <cell r="L530">
            <v>9300</v>
          </cell>
          <cell r="M530">
            <v>0</v>
          </cell>
          <cell r="N530">
            <v>197875.45</v>
          </cell>
          <cell r="O530" t="str">
            <v>Целевые вклады на детей</v>
          </cell>
        </row>
        <row r="531">
          <cell r="A531">
            <v>9</v>
          </cell>
          <cell r="B531">
            <v>214</v>
          </cell>
          <cell r="C531">
            <v>7948</v>
          </cell>
          <cell r="D531">
            <v>711.1</v>
          </cell>
          <cell r="E531">
            <v>14</v>
          </cell>
          <cell r="F531">
            <v>20406.03</v>
          </cell>
          <cell r="H531">
            <v>2</v>
          </cell>
          <cell r="I531">
            <v>0</v>
          </cell>
          <cell r="J531">
            <v>192208.85</v>
          </cell>
          <cell r="K531">
            <v>2610.19</v>
          </cell>
          <cell r="L531">
            <v>43014.19</v>
          </cell>
          <cell r="M531">
            <v>0</v>
          </cell>
          <cell r="N531">
            <v>232612.85</v>
          </cell>
          <cell r="O531" t="str">
            <v>Целевые вклады на детей</v>
          </cell>
        </row>
        <row r="532">
          <cell r="A532">
            <v>9</v>
          </cell>
          <cell r="B532">
            <v>214</v>
          </cell>
          <cell r="C532">
            <v>8002</v>
          </cell>
          <cell r="D532">
            <v>711.1</v>
          </cell>
          <cell r="E532">
            <v>14</v>
          </cell>
          <cell r="F532">
            <v>20406.03</v>
          </cell>
          <cell r="H532">
            <v>2</v>
          </cell>
          <cell r="I532">
            <v>0</v>
          </cell>
          <cell r="J532">
            <v>730505.82</v>
          </cell>
          <cell r="K532">
            <v>87871.039999999994</v>
          </cell>
          <cell r="L532">
            <v>529680.26</v>
          </cell>
          <cell r="M532">
            <v>0</v>
          </cell>
          <cell r="N532">
            <v>1172315.04</v>
          </cell>
          <cell r="O532" t="str">
            <v>Целевые вклады на детей</v>
          </cell>
        </row>
        <row r="533">
          <cell r="A533">
            <v>9</v>
          </cell>
          <cell r="B533">
            <v>214</v>
          </cell>
          <cell r="C533">
            <v>8104</v>
          </cell>
          <cell r="D533">
            <v>711.1</v>
          </cell>
          <cell r="E533">
            <v>14</v>
          </cell>
          <cell r="F533">
            <v>20406.03</v>
          </cell>
          <cell r="H533">
            <v>2</v>
          </cell>
          <cell r="I533">
            <v>0</v>
          </cell>
          <cell r="J533">
            <v>164769.07</v>
          </cell>
          <cell r="K533">
            <v>26128.93</v>
          </cell>
          <cell r="L533">
            <v>6400</v>
          </cell>
          <cell r="M533">
            <v>0</v>
          </cell>
          <cell r="N533">
            <v>145040.14000000001</v>
          </cell>
          <cell r="O533" t="str">
            <v>Целевые вклады на детей</v>
          </cell>
        </row>
        <row r="534">
          <cell r="A534">
            <v>9</v>
          </cell>
          <cell r="B534">
            <v>214</v>
          </cell>
          <cell r="C534">
            <v>8137</v>
          </cell>
          <cell r="D534">
            <v>711.1</v>
          </cell>
          <cell r="E534">
            <v>14</v>
          </cell>
          <cell r="F534">
            <v>20406.03</v>
          </cell>
          <cell r="H534">
            <v>2</v>
          </cell>
          <cell r="I534">
            <v>0</v>
          </cell>
          <cell r="J534">
            <v>180395.87</v>
          </cell>
          <cell r="K534">
            <v>47438.76</v>
          </cell>
          <cell r="L534">
            <v>53538.76</v>
          </cell>
          <cell r="M534">
            <v>0</v>
          </cell>
          <cell r="N534">
            <v>186495.87</v>
          </cell>
          <cell r="O534" t="str">
            <v>Целевые вклады на детей</v>
          </cell>
        </row>
        <row r="535">
          <cell r="A535">
            <v>9</v>
          </cell>
          <cell r="B535">
            <v>214</v>
          </cell>
          <cell r="C535">
            <v>8298</v>
          </cell>
          <cell r="D535">
            <v>711.1</v>
          </cell>
          <cell r="E535">
            <v>14</v>
          </cell>
          <cell r="F535">
            <v>20406.03</v>
          </cell>
          <cell r="H535">
            <v>2</v>
          </cell>
          <cell r="I535">
            <v>0</v>
          </cell>
          <cell r="J535">
            <v>271323.58</v>
          </cell>
          <cell r="K535">
            <v>800</v>
          </cell>
          <cell r="L535">
            <v>8630.98</v>
          </cell>
          <cell r="M535">
            <v>0</v>
          </cell>
          <cell r="N535">
            <v>279154.56</v>
          </cell>
          <cell r="O535" t="str">
            <v>Целевые вклады на детей</v>
          </cell>
        </row>
        <row r="536">
          <cell r="A536">
            <v>9</v>
          </cell>
          <cell r="B536">
            <v>214</v>
          </cell>
          <cell r="C536">
            <v>8533</v>
          </cell>
          <cell r="D536">
            <v>711.1</v>
          </cell>
          <cell r="E536">
            <v>14</v>
          </cell>
          <cell r="F536">
            <v>20406.03</v>
          </cell>
          <cell r="H536">
            <v>2</v>
          </cell>
          <cell r="I536">
            <v>0</v>
          </cell>
          <cell r="J536">
            <v>35239.599999999999</v>
          </cell>
          <cell r="K536">
            <v>0</v>
          </cell>
          <cell r="L536">
            <v>0</v>
          </cell>
          <cell r="M536">
            <v>0</v>
          </cell>
          <cell r="N536">
            <v>35239.599999999999</v>
          </cell>
          <cell r="O536" t="str">
            <v>Целевые вклады на детей</v>
          </cell>
        </row>
        <row r="537">
          <cell r="A537">
            <v>9</v>
          </cell>
          <cell r="B537">
            <v>214</v>
          </cell>
          <cell r="C537">
            <v>8659</v>
          </cell>
          <cell r="D537">
            <v>711.1</v>
          </cell>
          <cell r="E537">
            <v>14</v>
          </cell>
          <cell r="F537">
            <v>20406.03</v>
          </cell>
          <cell r="H537">
            <v>2</v>
          </cell>
          <cell r="I537">
            <v>0</v>
          </cell>
          <cell r="J537">
            <v>114241.81</v>
          </cell>
          <cell r="K537">
            <v>32831</v>
          </cell>
          <cell r="L537">
            <v>12448</v>
          </cell>
          <cell r="M537">
            <v>0</v>
          </cell>
          <cell r="N537">
            <v>93858.81</v>
          </cell>
          <cell r="O537" t="str">
            <v>Целевые вклады на детей</v>
          </cell>
        </row>
        <row r="538">
          <cell r="A538">
            <v>9</v>
          </cell>
          <cell r="B538">
            <v>214</v>
          </cell>
          <cell r="C538">
            <v>3563</v>
          </cell>
          <cell r="D538">
            <v>711.12</v>
          </cell>
          <cell r="E538">
            <v>14</v>
          </cell>
          <cell r="F538">
            <v>22402</v>
          </cell>
          <cell r="H538">
            <v>2</v>
          </cell>
          <cell r="I538">
            <v>0</v>
          </cell>
          <cell r="J538">
            <v>1220286.1399999999</v>
          </cell>
          <cell r="K538">
            <v>0</v>
          </cell>
          <cell r="L538">
            <v>0</v>
          </cell>
          <cell r="M538">
            <v>0</v>
          </cell>
          <cell r="N538">
            <v>1220286.1399999999</v>
          </cell>
          <cell r="O538" t="str">
            <v>Резерв процентов по вкладам</v>
          </cell>
        </row>
        <row r="539">
          <cell r="A539">
            <v>9</v>
          </cell>
          <cell r="B539">
            <v>214</v>
          </cell>
          <cell r="C539">
            <v>5996</v>
          </cell>
          <cell r="D539">
            <v>711.12</v>
          </cell>
          <cell r="E539">
            <v>14</v>
          </cell>
          <cell r="F539">
            <v>22402</v>
          </cell>
          <cell r="H539">
            <v>2</v>
          </cell>
          <cell r="I539">
            <v>0</v>
          </cell>
          <cell r="J539">
            <v>45827.43</v>
          </cell>
          <cell r="K539">
            <v>607959.91</v>
          </cell>
          <cell r="L539">
            <v>562132.47999999998</v>
          </cell>
          <cell r="M539">
            <v>0</v>
          </cell>
          <cell r="N539">
            <v>0</v>
          </cell>
          <cell r="O539" t="str">
            <v>Резерв процентов по вкладам</v>
          </cell>
        </row>
        <row r="540">
          <cell r="A540">
            <v>9</v>
          </cell>
          <cell r="B540">
            <v>214</v>
          </cell>
          <cell r="C540">
            <v>7783</v>
          </cell>
          <cell r="D540">
            <v>711.12</v>
          </cell>
          <cell r="E540">
            <v>14</v>
          </cell>
          <cell r="F540">
            <v>22402</v>
          </cell>
          <cell r="H540">
            <v>2</v>
          </cell>
          <cell r="I540">
            <v>0</v>
          </cell>
          <cell r="J540">
            <v>393563.35</v>
          </cell>
          <cell r="K540">
            <v>32.53</v>
          </cell>
          <cell r="L540">
            <v>519.01</v>
          </cell>
          <cell r="M540">
            <v>0</v>
          </cell>
          <cell r="N540">
            <v>394049.83</v>
          </cell>
          <cell r="O540" t="str">
            <v>Резерв процентов по вкладам</v>
          </cell>
        </row>
        <row r="541">
          <cell r="A541">
            <v>9</v>
          </cell>
          <cell r="B541">
            <v>214</v>
          </cell>
          <cell r="C541">
            <v>7845</v>
          </cell>
          <cell r="D541">
            <v>711.12</v>
          </cell>
          <cell r="E541">
            <v>14</v>
          </cell>
          <cell r="F541">
            <v>22402</v>
          </cell>
          <cell r="H541">
            <v>2</v>
          </cell>
          <cell r="I541">
            <v>0</v>
          </cell>
          <cell r="J541">
            <v>75743.210000000006</v>
          </cell>
          <cell r="K541">
            <v>0</v>
          </cell>
          <cell r="L541">
            <v>21210.87</v>
          </cell>
          <cell r="M541">
            <v>0</v>
          </cell>
          <cell r="N541">
            <v>96954.08</v>
          </cell>
          <cell r="O541" t="str">
            <v>Резерв процентов по вкладам</v>
          </cell>
        </row>
        <row r="542">
          <cell r="A542">
            <v>9</v>
          </cell>
          <cell r="B542">
            <v>214</v>
          </cell>
          <cell r="C542">
            <v>7948</v>
          </cell>
          <cell r="D542">
            <v>711.12</v>
          </cell>
          <cell r="E542">
            <v>14</v>
          </cell>
          <cell r="F542">
            <v>22402</v>
          </cell>
          <cell r="H542">
            <v>2</v>
          </cell>
          <cell r="I542">
            <v>0</v>
          </cell>
          <cell r="J542">
            <v>68969.490000000005</v>
          </cell>
          <cell r="K542">
            <v>0</v>
          </cell>
          <cell r="L542">
            <v>805.78</v>
          </cell>
          <cell r="M542">
            <v>0</v>
          </cell>
          <cell r="N542">
            <v>69775.27</v>
          </cell>
          <cell r="O542" t="str">
            <v>Резерв процентов по вкладам</v>
          </cell>
        </row>
        <row r="543">
          <cell r="A543">
            <v>9</v>
          </cell>
          <cell r="B543">
            <v>214</v>
          </cell>
          <cell r="C543">
            <v>8002</v>
          </cell>
          <cell r="D543">
            <v>711.12</v>
          </cell>
          <cell r="E543">
            <v>14</v>
          </cell>
          <cell r="F543">
            <v>22402</v>
          </cell>
          <cell r="H543">
            <v>2</v>
          </cell>
          <cell r="I543">
            <v>0</v>
          </cell>
          <cell r="J543">
            <v>937690.73</v>
          </cell>
          <cell r="K543">
            <v>116546.5</v>
          </cell>
          <cell r="L543">
            <v>43518.16</v>
          </cell>
          <cell r="M543">
            <v>0</v>
          </cell>
          <cell r="N543">
            <v>864662.39</v>
          </cell>
          <cell r="O543" t="str">
            <v>Резерв процентов по вкладам</v>
          </cell>
        </row>
        <row r="544">
          <cell r="A544">
            <v>9</v>
          </cell>
          <cell r="B544">
            <v>214</v>
          </cell>
          <cell r="C544">
            <v>8104</v>
          </cell>
          <cell r="D544">
            <v>711.12</v>
          </cell>
          <cell r="E544">
            <v>14</v>
          </cell>
          <cell r="F544">
            <v>22402</v>
          </cell>
          <cell r="H544">
            <v>2</v>
          </cell>
          <cell r="I544">
            <v>0</v>
          </cell>
          <cell r="J544">
            <v>0</v>
          </cell>
          <cell r="K544">
            <v>166684.32999999999</v>
          </cell>
          <cell r="L544">
            <v>166684.32999999999</v>
          </cell>
          <cell r="M544">
            <v>0</v>
          </cell>
          <cell r="N544">
            <v>0</v>
          </cell>
          <cell r="O544" t="str">
            <v>Резерв процентов по вкладам</v>
          </cell>
        </row>
        <row r="545">
          <cell r="A545">
            <v>9</v>
          </cell>
          <cell r="B545">
            <v>214</v>
          </cell>
          <cell r="C545">
            <v>8137</v>
          </cell>
          <cell r="D545">
            <v>711.12</v>
          </cell>
          <cell r="E545">
            <v>14</v>
          </cell>
          <cell r="F545">
            <v>22402</v>
          </cell>
          <cell r="H545">
            <v>2</v>
          </cell>
          <cell r="I545">
            <v>0</v>
          </cell>
          <cell r="J545">
            <v>37579.46</v>
          </cell>
          <cell r="K545">
            <v>0</v>
          </cell>
          <cell r="L545">
            <v>25144.27</v>
          </cell>
          <cell r="M545">
            <v>0</v>
          </cell>
          <cell r="N545">
            <v>62723.73</v>
          </cell>
          <cell r="O545" t="str">
            <v>Резерв процентов по вкладам</v>
          </cell>
        </row>
        <row r="546">
          <cell r="A546">
            <v>9</v>
          </cell>
          <cell r="B546">
            <v>214</v>
          </cell>
          <cell r="C546">
            <v>8298</v>
          </cell>
          <cell r="D546">
            <v>711.12</v>
          </cell>
          <cell r="E546">
            <v>14</v>
          </cell>
          <cell r="F546">
            <v>22402</v>
          </cell>
          <cell r="H546">
            <v>2</v>
          </cell>
          <cell r="I546">
            <v>0</v>
          </cell>
          <cell r="J546">
            <v>82075.59</v>
          </cell>
          <cell r="K546">
            <v>86300.1</v>
          </cell>
          <cell r="L546">
            <v>460420.49</v>
          </cell>
          <cell r="M546">
            <v>0</v>
          </cell>
          <cell r="N546">
            <v>456195.98</v>
          </cell>
          <cell r="O546" t="str">
            <v>Резерв процентов по вкладам</v>
          </cell>
        </row>
        <row r="547">
          <cell r="A547">
            <v>9</v>
          </cell>
          <cell r="B547">
            <v>214</v>
          </cell>
          <cell r="C547">
            <v>8533</v>
          </cell>
          <cell r="D547">
            <v>711.12</v>
          </cell>
          <cell r="E547">
            <v>14</v>
          </cell>
          <cell r="F547">
            <v>22402</v>
          </cell>
          <cell r="H547">
            <v>2</v>
          </cell>
          <cell r="I547">
            <v>0</v>
          </cell>
          <cell r="J547">
            <v>3879.89</v>
          </cell>
          <cell r="K547">
            <v>537628.73</v>
          </cell>
          <cell r="L547">
            <v>1158325.04</v>
          </cell>
          <cell r="M547">
            <v>0</v>
          </cell>
          <cell r="N547">
            <v>624576.19999999995</v>
          </cell>
          <cell r="O547" t="str">
            <v>Резерв процентов по вкладам</v>
          </cell>
        </row>
        <row r="548">
          <cell r="A548">
            <v>9</v>
          </cell>
          <cell r="B548">
            <v>214</v>
          </cell>
          <cell r="C548">
            <v>8659</v>
          </cell>
          <cell r="D548">
            <v>711.12</v>
          </cell>
          <cell r="E548">
            <v>14</v>
          </cell>
          <cell r="F548">
            <v>22402</v>
          </cell>
          <cell r="H548">
            <v>2</v>
          </cell>
          <cell r="I548">
            <v>0</v>
          </cell>
          <cell r="J548">
            <v>27320.34</v>
          </cell>
          <cell r="K548">
            <v>0</v>
          </cell>
          <cell r="L548">
            <v>101.65</v>
          </cell>
          <cell r="M548">
            <v>0</v>
          </cell>
          <cell r="N548">
            <v>27421.99</v>
          </cell>
          <cell r="O548" t="str">
            <v>Резерв процентов по вкладам</v>
          </cell>
        </row>
        <row r="549">
          <cell r="A549">
            <v>9</v>
          </cell>
          <cell r="B549">
            <v>214</v>
          </cell>
          <cell r="C549">
            <v>3563</v>
          </cell>
          <cell r="D549">
            <v>711.13</v>
          </cell>
          <cell r="E549">
            <v>14</v>
          </cell>
          <cell r="F549">
            <v>20206.060000000001</v>
          </cell>
          <cell r="H549">
            <v>2</v>
          </cell>
          <cell r="I549">
            <v>0</v>
          </cell>
          <cell r="J549">
            <v>8077.34</v>
          </cell>
          <cell r="K549">
            <v>190400</v>
          </cell>
          <cell r="L549">
            <v>290000</v>
          </cell>
          <cell r="M549">
            <v>0</v>
          </cell>
          <cell r="N549">
            <v>107677.34</v>
          </cell>
          <cell r="O549" t="str">
            <v>Счета граждан по ссуде на ИЖС</v>
          </cell>
        </row>
        <row r="550">
          <cell r="A550">
            <v>9</v>
          </cell>
          <cell r="B550">
            <v>214</v>
          </cell>
          <cell r="C550">
            <v>5996</v>
          </cell>
          <cell r="D550">
            <v>711.13</v>
          </cell>
          <cell r="E550">
            <v>14</v>
          </cell>
          <cell r="F550">
            <v>20206.060000000001</v>
          </cell>
          <cell r="H550">
            <v>2</v>
          </cell>
          <cell r="I550">
            <v>0</v>
          </cell>
          <cell r="J550">
            <v>290.52999999999997</v>
          </cell>
          <cell r="K550">
            <v>290.52999999999997</v>
          </cell>
          <cell r="L550">
            <v>0</v>
          </cell>
          <cell r="M550">
            <v>0</v>
          </cell>
          <cell r="N550">
            <v>0</v>
          </cell>
          <cell r="O550" t="str">
            <v>Счета граждан по ссуде на ИЖС</v>
          </cell>
        </row>
        <row r="551">
          <cell r="A551">
            <v>9</v>
          </cell>
          <cell r="B551">
            <v>214</v>
          </cell>
          <cell r="C551">
            <v>7783</v>
          </cell>
          <cell r="D551">
            <v>711.13</v>
          </cell>
          <cell r="E551">
            <v>14</v>
          </cell>
          <cell r="F551">
            <v>20206.060000000001</v>
          </cell>
          <cell r="H551">
            <v>2</v>
          </cell>
          <cell r="I551">
            <v>0</v>
          </cell>
          <cell r="J551">
            <v>1900.21</v>
          </cell>
          <cell r="K551">
            <v>0</v>
          </cell>
          <cell r="L551">
            <v>0</v>
          </cell>
          <cell r="M551">
            <v>0</v>
          </cell>
          <cell r="N551">
            <v>1900.21</v>
          </cell>
          <cell r="O551" t="str">
            <v>Счета граждан по ссуде на ИЖС</v>
          </cell>
        </row>
        <row r="552">
          <cell r="A552">
            <v>9</v>
          </cell>
          <cell r="B552">
            <v>214</v>
          </cell>
          <cell r="C552">
            <v>7845</v>
          </cell>
          <cell r="D552">
            <v>711.13</v>
          </cell>
          <cell r="E552">
            <v>14</v>
          </cell>
          <cell r="F552">
            <v>20206.060000000001</v>
          </cell>
          <cell r="H552">
            <v>2</v>
          </cell>
          <cell r="I552">
            <v>0</v>
          </cell>
          <cell r="J552">
            <v>2.2999999999999998</v>
          </cell>
          <cell r="K552">
            <v>2.2999999999999998</v>
          </cell>
          <cell r="L552">
            <v>0</v>
          </cell>
          <cell r="M552">
            <v>0</v>
          </cell>
          <cell r="N552">
            <v>0</v>
          </cell>
          <cell r="O552" t="str">
            <v>Счета граждан по ссуде на ИЖС</v>
          </cell>
        </row>
        <row r="553">
          <cell r="A553">
            <v>9</v>
          </cell>
          <cell r="B553">
            <v>214</v>
          </cell>
          <cell r="C553">
            <v>7948</v>
          </cell>
          <cell r="D553">
            <v>711.13</v>
          </cell>
          <cell r="E553">
            <v>14</v>
          </cell>
          <cell r="F553">
            <v>20206.060000000001</v>
          </cell>
          <cell r="H553">
            <v>2</v>
          </cell>
          <cell r="I553">
            <v>0</v>
          </cell>
          <cell r="J553">
            <v>100</v>
          </cell>
          <cell r="K553">
            <v>0</v>
          </cell>
          <cell r="L553">
            <v>0</v>
          </cell>
          <cell r="M553">
            <v>0</v>
          </cell>
          <cell r="N553">
            <v>100</v>
          </cell>
          <cell r="O553" t="str">
            <v>Счета граждан по ссуде на ИЖС</v>
          </cell>
        </row>
        <row r="554">
          <cell r="A554">
            <v>9</v>
          </cell>
          <cell r="B554">
            <v>214</v>
          </cell>
          <cell r="C554">
            <v>8002</v>
          </cell>
          <cell r="D554">
            <v>711.13</v>
          </cell>
          <cell r="E554">
            <v>14</v>
          </cell>
          <cell r="F554">
            <v>20206.060000000001</v>
          </cell>
          <cell r="H554">
            <v>2</v>
          </cell>
          <cell r="I554">
            <v>0</v>
          </cell>
          <cell r="J554">
            <v>19.489999999999998</v>
          </cell>
          <cell r="K554">
            <v>0</v>
          </cell>
          <cell r="L554">
            <v>0</v>
          </cell>
          <cell r="M554">
            <v>0</v>
          </cell>
          <cell r="N554">
            <v>19.489999999999998</v>
          </cell>
          <cell r="O554" t="str">
            <v>Счета граждан по ссуде на ИЖС</v>
          </cell>
        </row>
        <row r="555">
          <cell r="A555">
            <v>9</v>
          </cell>
          <cell r="B555">
            <v>214</v>
          </cell>
          <cell r="C555">
            <v>8104</v>
          </cell>
          <cell r="D555">
            <v>711.13</v>
          </cell>
          <cell r="E555">
            <v>14</v>
          </cell>
          <cell r="F555">
            <v>20206.060000000001</v>
          </cell>
          <cell r="H555">
            <v>2</v>
          </cell>
          <cell r="I555">
            <v>0</v>
          </cell>
          <cell r="J555">
            <v>103.32</v>
          </cell>
          <cell r="K555">
            <v>0</v>
          </cell>
          <cell r="L555">
            <v>0</v>
          </cell>
          <cell r="M555">
            <v>0</v>
          </cell>
          <cell r="N555">
            <v>103.32</v>
          </cell>
          <cell r="O555" t="str">
            <v>Счета граждан по ссуде на ИЖС</v>
          </cell>
        </row>
        <row r="556">
          <cell r="A556">
            <v>9</v>
          </cell>
          <cell r="B556">
            <v>214</v>
          </cell>
          <cell r="C556">
            <v>8137</v>
          </cell>
          <cell r="D556">
            <v>711.13</v>
          </cell>
          <cell r="E556">
            <v>14</v>
          </cell>
          <cell r="F556">
            <v>20206.060000000001</v>
          </cell>
          <cell r="H556">
            <v>2</v>
          </cell>
          <cell r="I556">
            <v>0</v>
          </cell>
          <cell r="J556">
            <v>140.49</v>
          </cell>
          <cell r="K556">
            <v>140.49</v>
          </cell>
          <cell r="L556">
            <v>0</v>
          </cell>
          <cell r="M556">
            <v>0</v>
          </cell>
          <cell r="N556">
            <v>0</v>
          </cell>
          <cell r="O556" t="str">
            <v>Счета граждан по ссуде на ИЖС</v>
          </cell>
        </row>
        <row r="557">
          <cell r="A557">
            <v>9</v>
          </cell>
          <cell r="B557">
            <v>214</v>
          </cell>
          <cell r="C557">
            <v>8298</v>
          </cell>
          <cell r="D557">
            <v>711.13</v>
          </cell>
          <cell r="E557">
            <v>14</v>
          </cell>
          <cell r="F557">
            <v>20206.060000000001</v>
          </cell>
          <cell r="H557">
            <v>2</v>
          </cell>
          <cell r="I557">
            <v>0</v>
          </cell>
          <cell r="J557">
            <v>109.65</v>
          </cell>
          <cell r="K557">
            <v>0</v>
          </cell>
          <cell r="L557">
            <v>0</v>
          </cell>
          <cell r="M557">
            <v>0</v>
          </cell>
          <cell r="N557">
            <v>109.65</v>
          </cell>
          <cell r="O557" t="str">
            <v>Счета граждан по ссуде на ИЖС</v>
          </cell>
        </row>
        <row r="558">
          <cell r="A558">
            <v>9</v>
          </cell>
          <cell r="B558">
            <v>214</v>
          </cell>
          <cell r="C558">
            <v>8659</v>
          </cell>
          <cell r="D558">
            <v>711.13</v>
          </cell>
          <cell r="E558">
            <v>14</v>
          </cell>
          <cell r="F558">
            <v>20206.060000000001</v>
          </cell>
          <cell r="H558">
            <v>2</v>
          </cell>
          <cell r="I558">
            <v>0</v>
          </cell>
          <cell r="J558">
            <v>12710</v>
          </cell>
          <cell r="K558">
            <v>0</v>
          </cell>
          <cell r="L558">
            <v>0</v>
          </cell>
          <cell r="M558">
            <v>0</v>
          </cell>
          <cell r="N558">
            <v>12710</v>
          </cell>
          <cell r="O558" t="str">
            <v>Счета граждан по ссуде на ИЖС</v>
          </cell>
        </row>
        <row r="559">
          <cell r="A559">
            <v>9</v>
          </cell>
          <cell r="B559">
            <v>214</v>
          </cell>
          <cell r="C559">
            <v>3563</v>
          </cell>
          <cell r="D559">
            <v>711.14</v>
          </cell>
          <cell r="E559">
            <v>14</v>
          </cell>
          <cell r="F559">
            <v>20206.07</v>
          </cell>
          <cell r="H559">
            <v>2</v>
          </cell>
          <cell r="I559">
            <v>0</v>
          </cell>
          <cell r="J559">
            <v>18415.73</v>
          </cell>
          <cell r="K559">
            <v>110483</v>
          </cell>
          <cell r="L559">
            <v>118340.65</v>
          </cell>
          <cell r="M559">
            <v>0</v>
          </cell>
          <cell r="N559">
            <v>26273.38</v>
          </cell>
          <cell r="O559" t="str">
            <v>Спецсчета граждан свыше 200 т.с рублей</v>
          </cell>
        </row>
        <row r="560">
          <cell r="A560">
            <v>9</v>
          </cell>
          <cell r="B560">
            <v>214</v>
          </cell>
          <cell r="C560">
            <v>5996</v>
          </cell>
          <cell r="D560">
            <v>711.14</v>
          </cell>
          <cell r="E560">
            <v>14</v>
          </cell>
          <cell r="F560">
            <v>20206.07</v>
          </cell>
          <cell r="H560">
            <v>2</v>
          </cell>
          <cell r="I560">
            <v>0</v>
          </cell>
          <cell r="J560">
            <v>63552.86</v>
          </cell>
          <cell r="K560">
            <v>3304.32</v>
          </cell>
          <cell r="L560">
            <v>853.5</v>
          </cell>
          <cell r="M560">
            <v>0</v>
          </cell>
          <cell r="N560">
            <v>61102.04</v>
          </cell>
          <cell r="O560" t="str">
            <v>Спецсчета граждан свыше 200 т.с рублей</v>
          </cell>
        </row>
        <row r="561">
          <cell r="A561">
            <v>9</v>
          </cell>
          <cell r="B561">
            <v>214</v>
          </cell>
          <cell r="C561">
            <v>7783</v>
          </cell>
          <cell r="D561">
            <v>711.14</v>
          </cell>
          <cell r="E561">
            <v>14</v>
          </cell>
          <cell r="F561">
            <v>20206.07</v>
          </cell>
          <cell r="H561">
            <v>2</v>
          </cell>
          <cell r="I561">
            <v>0</v>
          </cell>
          <cell r="J561">
            <v>22752.76</v>
          </cell>
          <cell r="K561">
            <v>784.11</v>
          </cell>
          <cell r="L561">
            <v>145.1</v>
          </cell>
          <cell r="M561">
            <v>0</v>
          </cell>
          <cell r="N561">
            <v>22113.75</v>
          </cell>
          <cell r="O561" t="str">
            <v>Спецсчета граждан свыше 200 т.с рублей</v>
          </cell>
        </row>
        <row r="562">
          <cell r="A562">
            <v>9</v>
          </cell>
          <cell r="B562">
            <v>214</v>
          </cell>
          <cell r="C562">
            <v>7845</v>
          </cell>
          <cell r="D562">
            <v>711.14</v>
          </cell>
          <cell r="E562">
            <v>14</v>
          </cell>
          <cell r="F562">
            <v>20206.07</v>
          </cell>
          <cell r="H562">
            <v>2</v>
          </cell>
          <cell r="I562">
            <v>0</v>
          </cell>
          <cell r="J562">
            <v>6816.63</v>
          </cell>
          <cell r="K562">
            <v>0</v>
          </cell>
          <cell r="L562">
            <v>0</v>
          </cell>
          <cell r="M562">
            <v>0</v>
          </cell>
          <cell r="N562">
            <v>6816.63</v>
          </cell>
          <cell r="O562" t="str">
            <v>Спецсчета граждан свыше 200 т.с рублей</v>
          </cell>
        </row>
        <row r="563">
          <cell r="A563">
            <v>9</v>
          </cell>
          <cell r="B563">
            <v>214</v>
          </cell>
          <cell r="C563">
            <v>7948</v>
          </cell>
          <cell r="D563">
            <v>711.14</v>
          </cell>
          <cell r="E563">
            <v>14</v>
          </cell>
          <cell r="F563">
            <v>20206.07</v>
          </cell>
          <cell r="H563">
            <v>2</v>
          </cell>
          <cell r="I563">
            <v>0</v>
          </cell>
          <cell r="J563">
            <v>139</v>
          </cell>
          <cell r="K563">
            <v>0</v>
          </cell>
          <cell r="L563">
            <v>0</v>
          </cell>
          <cell r="M563">
            <v>0</v>
          </cell>
          <cell r="N563">
            <v>139</v>
          </cell>
          <cell r="O563" t="str">
            <v>Спецсчета граждан свыше 200 т.с рублей</v>
          </cell>
        </row>
        <row r="564">
          <cell r="A564">
            <v>9</v>
          </cell>
          <cell r="B564">
            <v>214</v>
          </cell>
          <cell r="C564">
            <v>8002</v>
          </cell>
          <cell r="D564">
            <v>711.14</v>
          </cell>
          <cell r="E564">
            <v>14</v>
          </cell>
          <cell r="F564">
            <v>20206.07</v>
          </cell>
          <cell r="H564">
            <v>2</v>
          </cell>
          <cell r="I564">
            <v>0</v>
          </cell>
          <cell r="J564">
            <v>7213.48</v>
          </cell>
          <cell r="K564">
            <v>0</v>
          </cell>
          <cell r="L564">
            <v>0</v>
          </cell>
          <cell r="M564">
            <v>0</v>
          </cell>
          <cell r="N564">
            <v>7213.48</v>
          </cell>
          <cell r="O564" t="str">
            <v>Спецсчета граждан свыше 200 т.с рублей</v>
          </cell>
        </row>
        <row r="565">
          <cell r="A565">
            <v>9</v>
          </cell>
          <cell r="B565">
            <v>214</v>
          </cell>
          <cell r="C565">
            <v>8104</v>
          </cell>
          <cell r="D565">
            <v>711.14</v>
          </cell>
          <cell r="E565">
            <v>14</v>
          </cell>
          <cell r="F565">
            <v>20206.07</v>
          </cell>
          <cell r="H565">
            <v>2</v>
          </cell>
          <cell r="I565">
            <v>0</v>
          </cell>
          <cell r="J565">
            <v>9725.61</v>
          </cell>
          <cell r="K565">
            <v>0</v>
          </cell>
          <cell r="L565">
            <v>343.73</v>
          </cell>
          <cell r="M565">
            <v>0</v>
          </cell>
          <cell r="N565">
            <v>10069.34</v>
          </cell>
          <cell r="O565" t="str">
            <v>Спецсчета граждан свыше 200 т.с рублей</v>
          </cell>
        </row>
        <row r="566">
          <cell r="A566">
            <v>9</v>
          </cell>
          <cell r="B566">
            <v>214</v>
          </cell>
          <cell r="C566">
            <v>8137</v>
          </cell>
          <cell r="D566">
            <v>711.14</v>
          </cell>
          <cell r="E566">
            <v>14</v>
          </cell>
          <cell r="F566">
            <v>20206.07</v>
          </cell>
          <cell r="H566">
            <v>2</v>
          </cell>
          <cell r="I566">
            <v>0</v>
          </cell>
          <cell r="J566">
            <v>13418.53</v>
          </cell>
          <cell r="K566">
            <v>0</v>
          </cell>
          <cell r="L566">
            <v>0</v>
          </cell>
          <cell r="M566">
            <v>0</v>
          </cell>
          <cell r="N566">
            <v>13418.53</v>
          </cell>
          <cell r="O566" t="str">
            <v>Спецсчета граждан свыше 200 т.с рублей</v>
          </cell>
        </row>
        <row r="567">
          <cell r="A567">
            <v>9</v>
          </cell>
          <cell r="B567">
            <v>214</v>
          </cell>
          <cell r="C567">
            <v>8298</v>
          </cell>
          <cell r="D567">
            <v>711.14</v>
          </cell>
          <cell r="E567">
            <v>14</v>
          </cell>
          <cell r="F567">
            <v>20206.07</v>
          </cell>
          <cell r="H567">
            <v>2</v>
          </cell>
          <cell r="I567">
            <v>0</v>
          </cell>
          <cell r="J567">
            <v>24018.81</v>
          </cell>
          <cell r="K567">
            <v>0</v>
          </cell>
          <cell r="L567">
            <v>0</v>
          </cell>
          <cell r="M567">
            <v>0</v>
          </cell>
          <cell r="N567">
            <v>24018.81</v>
          </cell>
          <cell r="O567" t="str">
            <v>Спецсчета граждан свыше 200 т.с рублей</v>
          </cell>
        </row>
        <row r="568">
          <cell r="A568">
            <v>9</v>
          </cell>
          <cell r="B568">
            <v>214</v>
          </cell>
          <cell r="C568">
            <v>8533</v>
          </cell>
          <cell r="D568">
            <v>711.14</v>
          </cell>
          <cell r="E568">
            <v>14</v>
          </cell>
          <cell r="F568">
            <v>20206.07</v>
          </cell>
          <cell r="H568">
            <v>2</v>
          </cell>
          <cell r="I568">
            <v>0</v>
          </cell>
          <cell r="J568">
            <v>7430.87</v>
          </cell>
          <cell r="K568">
            <v>0</v>
          </cell>
          <cell r="L568">
            <v>0</v>
          </cell>
          <cell r="M568">
            <v>0</v>
          </cell>
          <cell r="N568">
            <v>7430.87</v>
          </cell>
          <cell r="O568" t="str">
            <v>Спецсчета граждан свыше 200 т.с рублей</v>
          </cell>
        </row>
        <row r="569">
          <cell r="A569">
            <v>9</v>
          </cell>
          <cell r="B569">
            <v>214</v>
          </cell>
          <cell r="C569">
            <v>8659</v>
          </cell>
          <cell r="D569">
            <v>711.14</v>
          </cell>
          <cell r="E569">
            <v>14</v>
          </cell>
          <cell r="F569">
            <v>20206.07</v>
          </cell>
          <cell r="H569">
            <v>2</v>
          </cell>
          <cell r="I569">
            <v>0</v>
          </cell>
          <cell r="J569">
            <v>3166.69</v>
          </cell>
          <cell r="K569">
            <v>0</v>
          </cell>
          <cell r="L569">
            <v>0</v>
          </cell>
          <cell r="M569">
            <v>0</v>
          </cell>
          <cell r="N569">
            <v>3166.69</v>
          </cell>
          <cell r="O569" t="str">
            <v>Спецсчета граждан свыше 200 т.с рублей</v>
          </cell>
        </row>
        <row r="570">
          <cell r="A570">
            <v>9</v>
          </cell>
          <cell r="B570">
            <v>214</v>
          </cell>
          <cell r="C570">
            <v>5996</v>
          </cell>
          <cell r="D570">
            <v>711.15</v>
          </cell>
          <cell r="E570">
            <v>14</v>
          </cell>
          <cell r="F570">
            <v>20406.04</v>
          </cell>
          <cell r="H570">
            <v>2</v>
          </cell>
          <cell r="I570">
            <v>0</v>
          </cell>
          <cell r="J570">
            <v>2400</v>
          </cell>
          <cell r="K570">
            <v>5069.6499999999996</v>
          </cell>
          <cell r="L570">
            <v>2669.65</v>
          </cell>
          <cell r="M570">
            <v>0</v>
          </cell>
          <cell r="N570">
            <v>0</v>
          </cell>
          <cell r="O570" t="str">
            <v>Ссудо-жилищный вклад</v>
          </cell>
        </row>
        <row r="571">
          <cell r="A571">
            <v>9</v>
          </cell>
          <cell r="B571">
            <v>214</v>
          </cell>
          <cell r="C571">
            <v>7845</v>
          </cell>
          <cell r="D571">
            <v>711.15</v>
          </cell>
          <cell r="E571">
            <v>14</v>
          </cell>
          <cell r="F571">
            <v>20406.04</v>
          </cell>
          <cell r="H571">
            <v>2</v>
          </cell>
          <cell r="I571">
            <v>0</v>
          </cell>
          <cell r="J571">
            <v>200</v>
          </cell>
          <cell r="K571">
            <v>200</v>
          </cell>
          <cell r="L571">
            <v>0</v>
          </cell>
          <cell r="M571">
            <v>0</v>
          </cell>
          <cell r="N571">
            <v>0</v>
          </cell>
          <cell r="O571" t="str">
            <v>Ссудо-жилищный вклад</v>
          </cell>
        </row>
        <row r="572">
          <cell r="A572">
            <v>9</v>
          </cell>
          <cell r="B572">
            <v>214</v>
          </cell>
          <cell r="C572">
            <v>7948</v>
          </cell>
          <cell r="D572">
            <v>711.15</v>
          </cell>
          <cell r="E572">
            <v>14</v>
          </cell>
          <cell r="F572">
            <v>20406.04</v>
          </cell>
          <cell r="H572">
            <v>2</v>
          </cell>
          <cell r="I572">
            <v>0</v>
          </cell>
          <cell r="J572">
            <v>17230</v>
          </cell>
          <cell r="K572">
            <v>19769.78</v>
          </cell>
          <cell r="L572">
            <v>2539.7800000000002</v>
          </cell>
          <cell r="M572">
            <v>0</v>
          </cell>
          <cell r="N572">
            <v>0</v>
          </cell>
          <cell r="O572" t="str">
            <v>Ссудо-жилищный вклад</v>
          </cell>
        </row>
        <row r="573">
          <cell r="A573">
            <v>9</v>
          </cell>
          <cell r="B573">
            <v>214</v>
          </cell>
          <cell r="C573">
            <v>8298</v>
          </cell>
          <cell r="D573">
            <v>711.15</v>
          </cell>
          <cell r="E573">
            <v>14</v>
          </cell>
          <cell r="F573">
            <v>20406.04</v>
          </cell>
          <cell r="H573">
            <v>2</v>
          </cell>
          <cell r="I573">
            <v>0</v>
          </cell>
          <cell r="J573">
            <v>100</v>
          </cell>
          <cell r="K573">
            <v>250100</v>
          </cell>
          <cell r="L573">
            <v>250000</v>
          </cell>
          <cell r="M573">
            <v>0</v>
          </cell>
          <cell r="N573">
            <v>0</v>
          </cell>
          <cell r="O573" t="str">
            <v>Ссудо-жилищный вклад</v>
          </cell>
        </row>
        <row r="574">
          <cell r="A574">
            <v>9</v>
          </cell>
          <cell r="B574">
            <v>214</v>
          </cell>
          <cell r="C574">
            <v>3563</v>
          </cell>
          <cell r="D574">
            <v>711.16</v>
          </cell>
          <cell r="E574">
            <v>14</v>
          </cell>
          <cell r="F574">
            <v>20206.080000000002</v>
          </cell>
          <cell r="H574">
            <v>2</v>
          </cell>
          <cell r="I574">
            <v>0</v>
          </cell>
          <cell r="J574">
            <v>207.28</v>
          </cell>
          <cell r="K574">
            <v>0</v>
          </cell>
          <cell r="L574">
            <v>0</v>
          </cell>
          <cell r="M574">
            <v>0</v>
          </cell>
          <cell r="N574">
            <v>207.28</v>
          </cell>
          <cell r="O574" t="str">
            <v>"O`quvchi" omonati</v>
          </cell>
        </row>
        <row r="575">
          <cell r="A575">
            <v>9</v>
          </cell>
          <cell r="B575">
            <v>214</v>
          </cell>
          <cell r="C575">
            <v>5996</v>
          </cell>
          <cell r="D575">
            <v>711.16</v>
          </cell>
          <cell r="E575">
            <v>14</v>
          </cell>
          <cell r="F575">
            <v>20206.080000000002</v>
          </cell>
          <cell r="H575">
            <v>2</v>
          </cell>
          <cell r="I575">
            <v>0</v>
          </cell>
          <cell r="J575">
            <v>3127.69</v>
          </cell>
          <cell r="K575">
            <v>575.44000000000005</v>
          </cell>
          <cell r="L575">
            <v>0</v>
          </cell>
          <cell r="M575">
            <v>0</v>
          </cell>
          <cell r="N575">
            <v>2552.25</v>
          </cell>
          <cell r="O575" t="str">
            <v>"O`quvchi" omonati</v>
          </cell>
        </row>
        <row r="576">
          <cell r="A576">
            <v>9</v>
          </cell>
          <cell r="B576">
            <v>214</v>
          </cell>
          <cell r="C576">
            <v>7783</v>
          </cell>
          <cell r="D576">
            <v>711.16</v>
          </cell>
          <cell r="E576">
            <v>14</v>
          </cell>
          <cell r="F576">
            <v>20206.080000000002</v>
          </cell>
          <cell r="H576">
            <v>2</v>
          </cell>
          <cell r="I576">
            <v>0</v>
          </cell>
          <cell r="J576">
            <v>2299.5500000000002</v>
          </cell>
          <cell r="K576">
            <v>72</v>
          </cell>
          <cell r="L576">
            <v>0</v>
          </cell>
          <cell r="M576">
            <v>0</v>
          </cell>
          <cell r="N576">
            <v>2227.5500000000002</v>
          </cell>
          <cell r="O576" t="str">
            <v>"O`quvchi" omonati</v>
          </cell>
        </row>
        <row r="577">
          <cell r="A577">
            <v>9</v>
          </cell>
          <cell r="B577">
            <v>214</v>
          </cell>
          <cell r="C577">
            <v>7845</v>
          </cell>
          <cell r="D577">
            <v>711.16</v>
          </cell>
          <cell r="E577">
            <v>14</v>
          </cell>
          <cell r="F577">
            <v>20206.080000000002</v>
          </cell>
          <cell r="H577">
            <v>2</v>
          </cell>
          <cell r="I577">
            <v>0</v>
          </cell>
          <cell r="J577">
            <v>5746</v>
          </cell>
          <cell r="K577">
            <v>0</v>
          </cell>
          <cell r="L577">
            <v>0</v>
          </cell>
          <cell r="M577">
            <v>0</v>
          </cell>
          <cell r="N577">
            <v>5746</v>
          </cell>
          <cell r="O577" t="str">
            <v>"O`quvchi" omonati</v>
          </cell>
        </row>
        <row r="578">
          <cell r="A578">
            <v>9</v>
          </cell>
          <cell r="B578">
            <v>214</v>
          </cell>
          <cell r="C578">
            <v>7948</v>
          </cell>
          <cell r="D578">
            <v>711.16</v>
          </cell>
          <cell r="E578">
            <v>14</v>
          </cell>
          <cell r="F578">
            <v>20206.080000000002</v>
          </cell>
          <cell r="H578">
            <v>2</v>
          </cell>
          <cell r="I578">
            <v>0</v>
          </cell>
          <cell r="J578">
            <v>2095.48</v>
          </cell>
          <cell r="K578">
            <v>0</v>
          </cell>
          <cell r="L578">
            <v>0</v>
          </cell>
          <cell r="M578">
            <v>0</v>
          </cell>
          <cell r="N578">
            <v>2095.48</v>
          </cell>
          <cell r="O578" t="str">
            <v>"O`quvchi" omonati</v>
          </cell>
        </row>
        <row r="579">
          <cell r="A579">
            <v>9</v>
          </cell>
          <cell r="B579">
            <v>214</v>
          </cell>
          <cell r="C579">
            <v>8002</v>
          </cell>
          <cell r="D579">
            <v>711.16</v>
          </cell>
          <cell r="E579">
            <v>14</v>
          </cell>
          <cell r="F579">
            <v>20206.080000000002</v>
          </cell>
          <cell r="H579">
            <v>2</v>
          </cell>
          <cell r="I579">
            <v>0</v>
          </cell>
          <cell r="J579">
            <v>12619.42</v>
          </cell>
          <cell r="K579">
            <v>2026.16</v>
          </cell>
          <cell r="L579">
            <v>1331.62</v>
          </cell>
          <cell r="M579">
            <v>0</v>
          </cell>
          <cell r="N579">
            <v>11924.88</v>
          </cell>
          <cell r="O579" t="str">
            <v>"O`quvchi" omonati</v>
          </cell>
        </row>
        <row r="580">
          <cell r="A580">
            <v>9</v>
          </cell>
          <cell r="B580">
            <v>214</v>
          </cell>
          <cell r="C580">
            <v>8104</v>
          </cell>
          <cell r="D580">
            <v>711.16</v>
          </cell>
          <cell r="E580">
            <v>14</v>
          </cell>
          <cell r="F580">
            <v>20206.080000000002</v>
          </cell>
          <cell r="H580">
            <v>2</v>
          </cell>
          <cell r="I580">
            <v>0</v>
          </cell>
          <cell r="J580">
            <v>4506.17</v>
          </cell>
          <cell r="K580">
            <v>0</v>
          </cell>
          <cell r="L580">
            <v>5.05</v>
          </cell>
          <cell r="M580">
            <v>0</v>
          </cell>
          <cell r="N580">
            <v>4511.22</v>
          </cell>
          <cell r="O580" t="str">
            <v>"O`quvchi" omonati</v>
          </cell>
        </row>
        <row r="581">
          <cell r="A581">
            <v>9</v>
          </cell>
          <cell r="B581">
            <v>214</v>
          </cell>
          <cell r="C581">
            <v>8137</v>
          </cell>
          <cell r="D581">
            <v>711.16</v>
          </cell>
          <cell r="E581">
            <v>14</v>
          </cell>
          <cell r="F581">
            <v>20206.080000000002</v>
          </cell>
          <cell r="H581">
            <v>2</v>
          </cell>
          <cell r="I581">
            <v>0</v>
          </cell>
          <cell r="J581">
            <v>3673.92</v>
          </cell>
          <cell r="K581">
            <v>1529.56</v>
          </cell>
          <cell r="L581">
            <v>1529.56</v>
          </cell>
          <cell r="M581">
            <v>0</v>
          </cell>
          <cell r="N581">
            <v>3673.92</v>
          </cell>
          <cell r="O581" t="str">
            <v>"O`quvchi" omonati</v>
          </cell>
        </row>
        <row r="582">
          <cell r="A582">
            <v>9</v>
          </cell>
          <cell r="B582">
            <v>214</v>
          </cell>
          <cell r="C582">
            <v>8298</v>
          </cell>
          <cell r="D582">
            <v>711.16</v>
          </cell>
          <cell r="E582">
            <v>14</v>
          </cell>
          <cell r="F582">
            <v>20206.080000000002</v>
          </cell>
          <cell r="H582">
            <v>2</v>
          </cell>
          <cell r="I582">
            <v>0</v>
          </cell>
          <cell r="J582">
            <v>2917.76</v>
          </cell>
          <cell r="K582">
            <v>0</v>
          </cell>
          <cell r="L582">
            <v>0</v>
          </cell>
          <cell r="M582">
            <v>0</v>
          </cell>
          <cell r="N582">
            <v>2917.76</v>
          </cell>
          <cell r="O582" t="str">
            <v>"O`quvchi" omonati</v>
          </cell>
        </row>
        <row r="583">
          <cell r="A583">
            <v>9</v>
          </cell>
          <cell r="B583">
            <v>214</v>
          </cell>
          <cell r="C583">
            <v>8533</v>
          </cell>
          <cell r="D583">
            <v>711.16</v>
          </cell>
          <cell r="E583">
            <v>14</v>
          </cell>
          <cell r="F583">
            <v>20206.080000000002</v>
          </cell>
          <cell r="H583">
            <v>2</v>
          </cell>
          <cell r="I583">
            <v>0</v>
          </cell>
          <cell r="J583">
            <v>311.25</v>
          </cell>
          <cell r="K583">
            <v>0</v>
          </cell>
          <cell r="L583">
            <v>0</v>
          </cell>
          <cell r="M583">
            <v>0</v>
          </cell>
          <cell r="N583">
            <v>311.25</v>
          </cell>
          <cell r="O583" t="str">
            <v>"O`quvchi" omonati</v>
          </cell>
        </row>
        <row r="584">
          <cell r="A584">
            <v>9</v>
          </cell>
          <cell r="B584">
            <v>214</v>
          </cell>
          <cell r="C584">
            <v>8659</v>
          </cell>
          <cell r="D584">
            <v>711.16</v>
          </cell>
          <cell r="E584">
            <v>14</v>
          </cell>
          <cell r="F584">
            <v>20206.080000000002</v>
          </cell>
          <cell r="H584">
            <v>2</v>
          </cell>
          <cell r="I584">
            <v>0</v>
          </cell>
          <cell r="J584">
            <v>6784.27</v>
          </cell>
          <cell r="K584">
            <v>2747.44</v>
          </cell>
          <cell r="L584">
            <v>1.1200000000000001</v>
          </cell>
          <cell r="M584">
            <v>0</v>
          </cell>
          <cell r="N584">
            <v>4037.95</v>
          </cell>
          <cell r="O584" t="str">
            <v>"O`quvchi" omonati</v>
          </cell>
        </row>
        <row r="585">
          <cell r="A585">
            <v>9</v>
          </cell>
          <cell r="B585">
            <v>214</v>
          </cell>
          <cell r="C585">
            <v>3563</v>
          </cell>
          <cell r="D585">
            <v>711.18</v>
          </cell>
          <cell r="E585">
            <v>0</v>
          </cell>
          <cell r="F585">
            <v>20206.18</v>
          </cell>
          <cell r="H585">
            <v>0</v>
          </cell>
          <cell r="I585">
            <v>0</v>
          </cell>
          <cell r="J585">
            <v>190327295.75</v>
          </cell>
          <cell r="K585">
            <v>53326530.810000002</v>
          </cell>
          <cell r="L585">
            <v>2515307.1800000002</v>
          </cell>
          <cell r="M585">
            <v>0</v>
          </cell>
          <cell r="N585">
            <v>139516072.12</v>
          </cell>
          <cell r="O585" t="str">
            <v>Вклад "Индексация"</v>
          </cell>
        </row>
        <row r="586">
          <cell r="A586">
            <v>9</v>
          </cell>
          <cell r="B586">
            <v>214</v>
          </cell>
          <cell r="C586">
            <v>5996</v>
          </cell>
          <cell r="D586">
            <v>711.18</v>
          </cell>
          <cell r="E586">
            <v>0</v>
          </cell>
          <cell r="F586">
            <v>20206.18</v>
          </cell>
          <cell r="H586">
            <v>0</v>
          </cell>
          <cell r="I586">
            <v>0</v>
          </cell>
          <cell r="J586">
            <v>215543219.68000001</v>
          </cell>
          <cell r="K586">
            <v>64916756.039999999</v>
          </cell>
          <cell r="L586">
            <v>6430453.5300000003</v>
          </cell>
          <cell r="M586">
            <v>0</v>
          </cell>
          <cell r="N586">
            <v>157056917.16999999</v>
          </cell>
          <cell r="O586" t="str">
            <v>"Indeksatsiya" omonati</v>
          </cell>
        </row>
        <row r="587">
          <cell r="A587">
            <v>9</v>
          </cell>
          <cell r="B587">
            <v>214</v>
          </cell>
          <cell r="C587">
            <v>7783</v>
          </cell>
          <cell r="D587">
            <v>711.18</v>
          </cell>
          <cell r="E587">
            <v>0</v>
          </cell>
          <cell r="F587">
            <v>20206.18</v>
          </cell>
          <cell r="H587">
            <v>0</v>
          </cell>
          <cell r="I587">
            <v>0</v>
          </cell>
          <cell r="J587">
            <v>136373763.53999999</v>
          </cell>
          <cell r="K587">
            <v>35367782.710000001</v>
          </cell>
          <cell r="L587">
            <v>4349100.71</v>
          </cell>
          <cell r="M587">
            <v>0</v>
          </cell>
          <cell r="N587">
            <v>105355081.54000001</v>
          </cell>
          <cell r="O587" t="str">
            <v>Вклад "Индексация"</v>
          </cell>
        </row>
        <row r="588">
          <cell r="A588">
            <v>9</v>
          </cell>
          <cell r="B588">
            <v>214</v>
          </cell>
          <cell r="C588">
            <v>7845</v>
          </cell>
          <cell r="D588">
            <v>711.18</v>
          </cell>
          <cell r="E588">
            <v>0</v>
          </cell>
          <cell r="F588">
            <v>20206.18</v>
          </cell>
          <cell r="H588">
            <v>0</v>
          </cell>
          <cell r="I588">
            <v>0</v>
          </cell>
          <cell r="J588">
            <v>68384691</v>
          </cell>
          <cell r="K588">
            <v>17872954.969999999</v>
          </cell>
          <cell r="L588">
            <v>806746.37</v>
          </cell>
          <cell r="M588">
            <v>0</v>
          </cell>
          <cell r="N588">
            <v>51318482.399999999</v>
          </cell>
          <cell r="O588" t="str">
            <v>"Indeksatsiya" omonati</v>
          </cell>
        </row>
        <row r="589">
          <cell r="A589">
            <v>9</v>
          </cell>
          <cell r="B589">
            <v>214</v>
          </cell>
          <cell r="C589">
            <v>7948</v>
          </cell>
          <cell r="D589">
            <v>711.18</v>
          </cell>
          <cell r="E589">
            <v>0</v>
          </cell>
          <cell r="F589">
            <v>20206.18</v>
          </cell>
          <cell r="H589">
            <v>0</v>
          </cell>
          <cell r="I589">
            <v>0</v>
          </cell>
          <cell r="J589">
            <v>66549937.490000002</v>
          </cell>
          <cell r="K589">
            <v>18947707.23</v>
          </cell>
          <cell r="L589">
            <v>819439.29</v>
          </cell>
          <cell r="M589">
            <v>0</v>
          </cell>
          <cell r="N589">
            <v>48421669.549999997</v>
          </cell>
          <cell r="O589" t="str">
            <v>"Indeksatsiya" omonati</v>
          </cell>
        </row>
        <row r="590">
          <cell r="A590">
            <v>9</v>
          </cell>
          <cell r="B590">
            <v>214</v>
          </cell>
          <cell r="C590">
            <v>8002</v>
          </cell>
          <cell r="D590">
            <v>711.18</v>
          </cell>
          <cell r="E590">
            <v>0</v>
          </cell>
          <cell r="F590">
            <v>20206.18</v>
          </cell>
          <cell r="H590">
            <v>0</v>
          </cell>
          <cell r="I590">
            <v>0</v>
          </cell>
          <cell r="J590">
            <v>41771835.25</v>
          </cell>
          <cell r="K590">
            <v>12067002.35</v>
          </cell>
          <cell r="L590">
            <v>0</v>
          </cell>
          <cell r="M590">
            <v>0</v>
          </cell>
          <cell r="N590">
            <v>29704832.899999999</v>
          </cell>
          <cell r="O590" t="str">
            <v>"Indeksatsiya" omonati</v>
          </cell>
        </row>
        <row r="591">
          <cell r="A591">
            <v>9</v>
          </cell>
          <cell r="B591">
            <v>214</v>
          </cell>
          <cell r="C591">
            <v>8104</v>
          </cell>
          <cell r="D591">
            <v>711.18</v>
          </cell>
          <cell r="E591">
            <v>0</v>
          </cell>
          <cell r="F591">
            <v>20206.18</v>
          </cell>
          <cell r="H591">
            <v>2</v>
          </cell>
          <cell r="I591">
            <v>0</v>
          </cell>
          <cell r="J591">
            <v>67932627.459999993</v>
          </cell>
          <cell r="K591">
            <v>18320649.359999999</v>
          </cell>
          <cell r="L591">
            <v>70178.16</v>
          </cell>
          <cell r="M591">
            <v>0</v>
          </cell>
          <cell r="N591">
            <v>49682156.259999998</v>
          </cell>
          <cell r="O591" t="str">
            <v>"Indeksatsiya" omonati</v>
          </cell>
        </row>
        <row r="592">
          <cell r="A592">
            <v>9</v>
          </cell>
          <cell r="B592">
            <v>214</v>
          </cell>
          <cell r="C592">
            <v>8137</v>
          </cell>
          <cell r="D592">
            <v>711.18</v>
          </cell>
          <cell r="E592">
            <v>0</v>
          </cell>
          <cell r="F592">
            <v>20206.18</v>
          </cell>
          <cell r="H592">
            <v>2</v>
          </cell>
          <cell r="I592">
            <v>0</v>
          </cell>
          <cell r="J592">
            <v>38703733.009999998</v>
          </cell>
          <cell r="K592">
            <v>10012166.310000001</v>
          </cell>
          <cell r="L592">
            <v>218979.41</v>
          </cell>
          <cell r="M592">
            <v>0</v>
          </cell>
          <cell r="N592">
            <v>28910546.109999999</v>
          </cell>
          <cell r="O592" t="str">
            <v>"Indeksatsiya" omonati</v>
          </cell>
        </row>
        <row r="593">
          <cell r="A593">
            <v>9</v>
          </cell>
          <cell r="B593">
            <v>214</v>
          </cell>
          <cell r="C593">
            <v>8298</v>
          </cell>
          <cell r="D593">
            <v>711.18</v>
          </cell>
          <cell r="E593">
            <v>0</v>
          </cell>
          <cell r="F593">
            <v>20206.18</v>
          </cell>
          <cell r="H593">
            <v>0</v>
          </cell>
          <cell r="I593">
            <v>0</v>
          </cell>
          <cell r="J593">
            <v>19633225.809999999</v>
          </cell>
          <cell r="K593">
            <v>6816493.3899999997</v>
          </cell>
          <cell r="L593">
            <v>320329.37</v>
          </cell>
          <cell r="M593">
            <v>0</v>
          </cell>
          <cell r="N593">
            <v>13137061.789999999</v>
          </cell>
          <cell r="O593" t="str">
            <v>"Indeksatsiya" omonati</v>
          </cell>
        </row>
        <row r="594">
          <cell r="A594">
            <v>9</v>
          </cell>
          <cell r="B594">
            <v>214</v>
          </cell>
          <cell r="C594">
            <v>8533</v>
          </cell>
          <cell r="D594">
            <v>711.18</v>
          </cell>
          <cell r="E594">
            <v>0</v>
          </cell>
          <cell r="F594">
            <v>20206.18</v>
          </cell>
          <cell r="H594">
            <v>0</v>
          </cell>
          <cell r="I594">
            <v>0</v>
          </cell>
          <cell r="J594">
            <v>19886441.129999999</v>
          </cell>
          <cell r="K594">
            <v>5689195.5999999996</v>
          </cell>
          <cell r="L594">
            <v>246357.6</v>
          </cell>
          <cell r="M594">
            <v>0</v>
          </cell>
          <cell r="N594">
            <v>14443603.130000001</v>
          </cell>
          <cell r="O594" t="str">
            <v>"Indeksatsiya" omonati</v>
          </cell>
        </row>
        <row r="595">
          <cell r="A595">
            <v>9</v>
          </cell>
          <cell r="B595">
            <v>214</v>
          </cell>
          <cell r="C595">
            <v>8659</v>
          </cell>
          <cell r="D595">
            <v>711.18</v>
          </cell>
          <cell r="E595">
            <v>0</v>
          </cell>
          <cell r="F595">
            <v>20206.18</v>
          </cell>
          <cell r="H595">
            <v>0</v>
          </cell>
          <cell r="I595">
            <v>0</v>
          </cell>
          <cell r="J595">
            <v>17458299.32</v>
          </cell>
          <cell r="K595">
            <v>11143738.34</v>
          </cell>
          <cell r="L595">
            <v>0</v>
          </cell>
          <cell r="M595">
            <v>0</v>
          </cell>
          <cell r="N595">
            <v>6314560.9800000004</v>
          </cell>
          <cell r="O595" t="str">
            <v>"Indeksatsiya" omonati</v>
          </cell>
        </row>
        <row r="596">
          <cell r="A596">
            <v>9</v>
          </cell>
          <cell r="B596">
            <v>214</v>
          </cell>
          <cell r="C596">
            <v>3563</v>
          </cell>
          <cell r="D596">
            <v>711.21</v>
          </cell>
          <cell r="E596">
            <v>14</v>
          </cell>
          <cell r="F596">
            <v>20206.09</v>
          </cell>
          <cell r="H596">
            <v>2</v>
          </cell>
          <cell r="I596">
            <v>0</v>
          </cell>
          <cell r="J596">
            <v>75085.53</v>
          </cell>
          <cell r="K596">
            <v>80458.259999999995</v>
          </cell>
          <cell r="L596">
            <v>8430.23</v>
          </cell>
          <cell r="M596">
            <v>0</v>
          </cell>
          <cell r="N596">
            <v>3057.5</v>
          </cell>
          <cell r="O596" t="str">
            <v>"Omad" omonati</v>
          </cell>
        </row>
        <row r="597">
          <cell r="A597">
            <v>9</v>
          </cell>
          <cell r="B597">
            <v>214</v>
          </cell>
          <cell r="C597">
            <v>5996</v>
          </cell>
          <cell r="D597">
            <v>711.21</v>
          </cell>
          <cell r="E597">
            <v>14</v>
          </cell>
          <cell r="F597">
            <v>20206.09</v>
          </cell>
          <cell r="H597">
            <v>2</v>
          </cell>
          <cell r="I597">
            <v>0</v>
          </cell>
          <cell r="J597">
            <v>11004.29</v>
          </cell>
          <cell r="K597">
            <v>0</v>
          </cell>
          <cell r="L597">
            <v>0</v>
          </cell>
          <cell r="M597">
            <v>0</v>
          </cell>
          <cell r="N597">
            <v>11004.29</v>
          </cell>
          <cell r="O597" t="str">
            <v>"Omad" omonati</v>
          </cell>
        </row>
        <row r="598">
          <cell r="A598">
            <v>9</v>
          </cell>
          <cell r="B598">
            <v>214</v>
          </cell>
          <cell r="C598">
            <v>7783</v>
          </cell>
          <cell r="D598">
            <v>711.21</v>
          </cell>
          <cell r="E598">
            <v>14</v>
          </cell>
          <cell r="F598">
            <v>20206.09</v>
          </cell>
          <cell r="H598">
            <v>2</v>
          </cell>
          <cell r="I598">
            <v>0</v>
          </cell>
          <cell r="J598">
            <v>20864.580000000002</v>
          </cell>
          <cell r="K598">
            <v>0</v>
          </cell>
          <cell r="L598">
            <v>0</v>
          </cell>
          <cell r="M598">
            <v>0</v>
          </cell>
          <cell r="N598">
            <v>20864.580000000002</v>
          </cell>
          <cell r="O598" t="str">
            <v>"Omad" omonati</v>
          </cell>
        </row>
        <row r="599">
          <cell r="A599">
            <v>9</v>
          </cell>
          <cell r="B599">
            <v>214</v>
          </cell>
          <cell r="C599">
            <v>7948</v>
          </cell>
          <cell r="D599">
            <v>711.21</v>
          </cell>
          <cell r="E599">
            <v>14</v>
          </cell>
          <cell r="F599">
            <v>20206.09</v>
          </cell>
          <cell r="H599">
            <v>2</v>
          </cell>
          <cell r="I599">
            <v>0</v>
          </cell>
          <cell r="J599">
            <v>374857.16</v>
          </cell>
          <cell r="K599">
            <v>52604.78</v>
          </cell>
          <cell r="L599">
            <v>34367.360000000001</v>
          </cell>
          <cell r="M599">
            <v>0</v>
          </cell>
          <cell r="N599">
            <v>356619.74</v>
          </cell>
          <cell r="O599" t="str">
            <v>"Omad" omonati</v>
          </cell>
        </row>
        <row r="600">
          <cell r="A600">
            <v>9</v>
          </cell>
          <cell r="B600">
            <v>214</v>
          </cell>
          <cell r="C600">
            <v>8002</v>
          </cell>
          <cell r="D600">
            <v>711.21</v>
          </cell>
          <cell r="E600">
            <v>14</v>
          </cell>
          <cell r="F600">
            <v>20206.09</v>
          </cell>
          <cell r="H600">
            <v>2</v>
          </cell>
          <cell r="I600">
            <v>0</v>
          </cell>
          <cell r="J600">
            <v>1452226.85</v>
          </cell>
          <cell r="K600">
            <v>842118.55</v>
          </cell>
          <cell r="L600">
            <v>769657.7</v>
          </cell>
          <cell r="M600">
            <v>0</v>
          </cell>
          <cell r="N600">
            <v>1379766</v>
          </cell>
          <cell r="O600" t="str">
            <v>"Omad" omonati</v>
          </cell>
        </row>
        <row r="601">
          <cell r="A601">
            <v>9</v>
          </cell>
          <cell r="B601">
            <v>214</v>
          </cell>
          <cell r="C601">
            <v>8104</v>
          </cell>
          <cell r="D601">
            <v>711.21</v>
          </cell>
          <cell r="E601">
            <v>14</v>
          </cell>
          <cell r="F601">
            <v>20206.09</v>
          </cell>
          <cell r="H601">
            <v>2</v>
          </cell>
          <cell r="I601">
            <v>0</v>
          </cell>
          <cell r="J601">
            <v>29742.89</v>
          </cell>
          <cell r="K601">
            <v>28133.14</v>
          </cell>
          <cell r="L601">
            <v>27471.58</v>
          </cell>
          <cell r="M601">
            <v>0</v>
          </cell>
          <cell r="N601">
            <v>29081.33</v>
          </cell>
          <cell r="O601" t="str">
            <v>"Omad" omonati</v>
          </cell>
        </row>
        <row r="602">
          <cell r="A602">
            <v>9</v>
          </cell>
          <cell r="B602">
            <v>214</v>
          </cell>
          <cell r="C602">
            <v>8137</v>
          </cell>
          <cell r="D602">
            <v>711.21</v>
          </cell>
          <cell r="E602">
            <v>14</v>
          </cell>
          <cell r="F602">
            <v>20206.09</v>
          </cell>
          <cell r="H602">
            <v>2</v>
          </cell>
          <cell r="I602">
            <v>0</v>
          </cell>
          <cell r="J602">
            <v>1035615.38</v>
          </cell>
          <cell r="K602">
            <v>768119.48</v>
          </cell>
          <cell r="L602">
            <v>395498.01</v>
          </cell>
          <cell r="M602">
            <v>0</v>
          </cell>
          <cell r="N602">
            <v>662993.91</v>
          </cell>
          <cell r="O602" t="str">
            <v>"Omad" omonati</v>
          </cell>
        </row>
        <row r="603">
          <cell r="A603">
            <v>9</v>
          </cell>
          <cell r="B603">
            <v>214</v>
          </cell>
          <cell r="C603">
            <v>8298</v>
          </cell>
          <cell r="D603">
            <v>711.21</v>
          </cell>
          <cell r="E603">
            <v>14</v>
          </cell>
          <cell r="F603">
            <v>20206.09</v>
          </cell>
          <cell r="H603">
            <v>2</v>
          </cell>
          <cell r="I603">
            <v>0</v>
          </cell>
          <cell r="J603">
            <v>202487.6</v>
          </cell>
          <cell r="K603">
            <v>1197125.01</v>
          </cell>
          <cell r="L603">
            <v>1177138.78</v>
          </cell>
          <cell r="M603">
            <v>0</v>
          </cell>
          <cell r="N603">
            <v>182501.37</v>
          </cell>
          <cell r="O603" t="str">
            <v>"Omad" omonati</v>
          </cell>
        </row>
        <row r="604">
          <cell r="A604">
            <v>9</v>
          </cell>
          <cell r="B604">
            <v>214</v>
          </cell>
          <cell r="C604">
            <v>8659</v>
          </cell>
          <cell r="D604">
            <v>711.21</v>
          </cell>
          <cell r="E604">
            <v>14</v>
          </cell>
          <cell r="F604">
            <v>20206.09</v>
          </cell>
          <cell r="H604">
            <v>2</v>
          </cell>
          <cell r="I604">
            <v>0</v>
          </cell>
          <cell r="J604">
            <v>15673.84</v>
          </cell>
          <cell r="K604">
            <v>14414.48</v>
          </cell>
          <cell r="L604">
            <v>0</v>
          </cell>
          <cell r="M604">
            <v>0</v>
          </cell>
          <cell r="N604">
            <v>1259.3599999999999</v>
          </cell>
          <cell r="O604" t="str">
            <v>"Omad" omonati</v>
          </cell>
        </row>
        <row r="605">
          <cell r="A605">
            <v>9</v>
          </cell>
          <cell r="B605">
            <v>214</v>
          </cell>
          <cell r="C605">
            <v>3563</v>
          </cell>
          <cell r="D605">
            <v>711.23</v>
          </cell>
          <cell r="E605">
            <v>0</v>
          </cell>
          <cell r="F605">
            <v>20206.12</v>
          </cell>
          <cell r="H605">
            <v>0</v>
          </cell>
          <cell r="I605">
            <v>0</v>
          </cell>
          <cell r="J605">
            <v>2447434</v>
          </cell>
          <cell r="K605">
            <v>3536409</v>
          </cell>
          <cell r="L605">
            <v>1411789</v>
          </cell>
          <cell r="M605">
            <v>0</v>
          </cell>
          <cell r="N605">
            <v>322814</v>
          </cell>
          <cell r="O605" t="str">
            <v>Беспроцентные вклады по пособиям на детей до 16 лет</v>
          </cell>
        </row>
        <row r="606">
          <cell r="A606">
            <v>9</v>
          </cell>
          <cell r="B606">
            <v>214</v>
          </cell>
          <cell r="C606">
            <v>5996</v>
          </cell>
          <cell r="D606">
            <v>711.23</v>
          </cell>
          <cell r="E606">
            <v>0</v>
          </cell>
          <cell r="F606">
            <v>20206.12</v>
          </cell>
          <cell r="H606">
            <v>0</v>
          </cell>
          <cell r="I606">
            <v>0</v>
          </cell>
          <cell r="J606">
            <v>3743027</v>
          </cell>
          <cell r="K606">
            <v>18820799.5</v>
          </cell>
          <cell r="L606">
            <v>16011406</v>
          </cell>
          <cell r="M606">
            <v>0</v>
          </cell>
          <cell r="N606">
            <v>933633.5</v>
          </cell>
          <cell r="O606" t="str">
            <v>Беспроцентные вклады по пособиям на детей до 16 лет</v>
          </cell>
        </row>
        <row r="607">
          <cell r="A607">
            <v>9</v>
          </cell>
          <cell r="B607">
            <v>214</v>
          </cell>
          <cell r="C607">
            <v>7783</v>
          </cell>
          <cell r="D607">
            <v>711.23</v>
          </cell>
          <cell r="E607">
            <v>0</v>
          </cell>
          <cell r="F607">
            <v>20206.12</v>
          </cell>
          <cell r="H607">
            <v>0</v>
          </cell>
          <cell r="I607">
            <v>0</v>
          </cell>
          <cell r="J607">
            <v>1335479.5</v>
          </cell>
          <cell r="K607">
            <v>6445193.5</v>
          </cell>
          <cell r="L607">
            <v>5840222</v>
          </cell>
          <cell r="M607">
            <v>0</v>
          </cell>
          <cell r="N607">
            <v>730508</v>
          </cell>
          <cell r="O607" t="str">
            <v>Беспроцентные вклады по пособиям на детей до 16 лет</v>
          </cell>
        </row>
        <row r="608">
          <cell r="A608">
            <v>9</v>
          </cell>
          <cell r="B608">
            <v>214</v>
          </cell>
          <cell r="C608">
            <v>7845</v>
          </cell>
          <cell r="D608">
            <v>711.23</v>
          </cell>
          <cell r="E608">
            <v>0</v>
          </cell>
          <cell r="F608">
            <v>20206.12</v>
          </cell>
          <cell r="H608">
            <v>0</v>
          </cell>
          <cell r="I608">
            <v>0</v>
          </cell>
          <cell r="J608">
            <v>513287</v>
          </cell>
          <cell r="K608">
            <v>1023114</v>
          </cell>
          <cell r="L608">
            <v>509827</v>
          </cell>
          <cell r="M608">
            <v>0</v>
          </cell>
          <cell r="N608">
            <v>0</v>
          </cell>
          <cell r="O608" t="str">
            <v>Беспроцентные вклады по пособиям на детей до 16 лет</v>
          </cell>
        </row>
        <row r="609">
          <cell r="A609">
            <v>9</v>
          </cell>
          <cell r="B609">
            <v>214</v>
          </cell>
          <cell r="C609">
            <v>7948</v>
          </cell>
          <cell r="D609">
            <v>711.23</v>
          </cell>
          <cell r="E609">
            <v>0</v>
          </cell>
          <cell r="F609">
            <v>20206.12</v>
          </cell>
          <cell r="H609">
            <v>0</v>
          </cell>
          <cell r="I609">
            <v>0</v>
          </cell>
          <cell r="J609">
            <v>3018868</v>
          </cell>
          <cell r="K609">
            <v>3654167.5</v>
          </cell>
          <cell r="L609">
            <v>656656</v>
          </cell>
          <cell r="M609">
            <v>0</v>
          </cell>
          <cell r="N609">
            <v>21356.5</v>
          </cell>
          <cell r="O609" t="str">
            <v>Беспроцентные вклады по пособиям на детей до 16 лет</v>
          </cell>
        </row>
        <row r="610">
          <cell r="A610">
            <v>9</v>
          </cell>
          <cell r="B610">
            <v>214</v>
          </cell>
          <cell r="C610">
            <v>8002</v>
          </cell>
          <cell r="D610">
            <v>711.23</v>
          </cell>
          <cell r="E610">
            <v>0</v>
          </cell>
          <cell r="F610">
            <v>20206.12</v>
          </cell>
          <cell r="H610">
            <v>0</v>
          </cell>
          <cell r="I610">
            <v>0</v>
          </cell>
          <cell r="J610">
            <v>236494</v>
          </cell>
          <cell r="K610">
            <v>1275150</v>
          </cell>
          <cell r="L610">
            <v>1038656</v>
          </cell>
          <cell r="M610">
            <v>0</v>
          </cell>
          <cell r="N610">
            <v>0</v>
          </cell>
          <cell r="O610" t="str">
            <v>Беспроцентные вклады по пособиям на детей до 16 лет</v>
          </cell>
        </row>
        <row r="611">
          <cell r="A611">
            <v>9</v>
          </cell>
          <cell r="B611">
            <v>214</v>
          </cell>
          <cell r="C611">
            <v>8104</v>
          </cell>
          <cell r="D611">
            <v>711.23</v>
          </cell>
          <cell r="E611">
            <v>0</v>
          </cell>
          <cell r="F611">
            <v>20206.12</v>
          </cell>
          <cell r="H611">
            <v>2</v>
          </cell>
          <cell r="I611">
            <v>0</v>
          </cell>
          <cell r="J611">
            <v>520056.12</v>
          </cell>
          <cell r="K611">
            <v>1238039.1200000001</v>
          </cell>
          <cell r="L611">
            <v>752796</v>
          </cell>
          <cell r="M611">
            <v>0</v>
          </cell>
          <cell r="N611">
            <v>34813</v>
          </cell>
          <cell r="O611" t="str">
            <v>16 yoshgacna bo`lgan bolalarga to`lanadigan nafaqalar bo`yic</v>
          </cell>
        </row>
        <row r="612">
          <cell r="A612">
            <v>9</v>
          </cell>
          <cell r="B612">
            <v>214</v>
          </cell>
          <cell r="C612">
            <v>8137</v>
          </cell>
          <cell r="D612">
            <v>711.23</v>
          </cell>
          <cell r="E612">
            <v>0</v>
          </cell>
          <cell r="F612">
            <v>20206.12</v>
          </cell>
          <cell r="H612">
            <v>2</v>
          </cell>
          <cell r="I612">
            <v>0</v>
          </cell>
          <cell r="J612">
            <v>1568955.8</v>
          </cell>
          <cell r="K612">
            <v>3567732.8</v>
          </cell>
          <cell r="L612">
            <v>1998777</v>
          </cell>
          <cell r="M612">
            <v>0</v>
          </cell>
          <cell r="N612">
            <v>0</v>
          </cell>
          <cell r="O612" t="str">
            <v>16 yoshgacna bo`lgan bolalarga to`lanadigan nafaqalar bo`yic</v>
          </cell>
        </row>
        <row r="613">
          <cell r="A613">
            <v>9</v>
          </cell>
          <cell r="B613">
            <v>214</v>
          </cell>
          <cell r="C613">
            <v>8298</v>
          </cell>
          <cell r="D613">
            <v>711.23</v>
          </cell>
          <cell r="E613">
            <v>0</v>
          </cell>
          <cell r="F613">
            <v>20206.12</v>
          </cell>
          <cell r="H613">
            <v>0</v>
          </cell>
          <cell r="I613">
            <v>0</v>
          </cell>
          <cell r="J613">
            <v>797853</v>
          </cell>
          <cell r="K613">
            <v>2848838.5</v>
          </cell>
          <cell r="L613">
            <v>2257189</v>
          </cell>
          <cell r="M613">
            <v>0</v>
          </cell>
          <cell r="N613">
            <v>206203.5</v>
          </cell>
          <cell r="O613" t="str">
            <v>16 yoshgacna bo`lgan bolalarga to`lanadigan nafaqalar bo`yic</v>
          </cell>
        </row>
        <row r="614">
          <cell r="A614">
            <v>9</v>
          </cell>
          <cell r="B614">
            <v>214</v>
          </cell>
          <cell r="C614">
            <v>8533</v>
          </cell>
          <cell r="D614">
            <v>711.23</v>
          </cell>
          <cell r="E614">
            <v>0</v>
          </cell>
          <cell r="F614">
            <v>20206.12</v>
          </cell>
          <cell r="H614">
            <v>0</v>
          </cell>
          <cell r="I614">
            <v>0</v>
          </cell>
          <cell r="J614">
            <v>8072</v>
          </cell>
          <cell r="K614">
            <v>49901</v>
          </cell>
          <cell r="L614">
            <v>45329</v>
          </cell>
          <cell r="M614">
            <v>0</v>
          </cell>
          <cell r="N614">
            <v>3500</v>
          </cell>
          <cell r="O614" t="str">
            <v>16 yoshgacna bo`lgan bolalarga to`lanadigan nafaqalar bo`yic</v>
          </cell>
        </row>
        <row r="615">
          <cell r="A615">
            <v>9</v>
          </cell>
          <cell r="B615">
            <v>214</v>
          </cell>
          <cell r="C615">
            <v>8659</v>
          </cell>
          <cell r="D615">
            <v>711.23</v>
          </cell>
          <cell r="E615">
            <v>0</v>
          </cell>
          <cell r="F615">
            <v>20206.12</v>
          </cell>
          <cell r="H615">
            <v>0</v>
          </cell>
          <cell r="I615">
            <v>0</v>
          </cell>
          <cell r="J615">
            <v>4641270.5</v>
          </cell>
          <cell r="K615">
            <v>16480455</v>
          </cell>
          <cell r="L615">
            <v>11839184.5</v>
          </cell>
          <cell r="M615">
            <v>0</v>
          </cell>
          <cell r="N615">
            <v>0</v>
          </cell>
          <cell r="O615" t="str">
            <v>16 yoshgacna bo`lgan bolalarga to`lanadigan nafaqalar bo`yic</v>
          </cell>
        </row>
        <row r="616">
          <cell r="A616">
            <v>9</v>
          </cell>
          <cell r="B616">
            <v>214</v>
          </cell>
          <cell r="C616">
            <v>8137</v>
          </cell>
          <cell r="D616">
            <v>711.25</v>
          </cell>
          <cell r="E616">
            <v>14</v>
          </cell>
          <cell r="F616">
            <v>20606.080000000002</v>
          </cell>
          <cell r="H616">
            <v>2</v>
          </cell>
          <cell r="I616">
            <v>0</v>
          </cell>
          <cell r="J616">
            <v>18418.02</v>
          </cell>
          <cell r="K616">
            <v>2890.89</v>
          </cell>
          <cell r="L616">
            <v>0</v>
          </cell>
          <cell r="M616">
            <v>0</v>
          </cell>
          <cell r="N616">
            <v>15527.13</v>
          </cell>
          <cell r="O616" t="str">
            <v>Депозитный вклад 3 месяца</v>
          </cell>
        </row>
        <row r="617">
          <cell r="A617">
            <v>9</v>
          </cell>
          <cell r="B617">
            <v>214</v>
          </cell>
          <cell r="C617">
            <v>3563</v>
          </cell>
          <cell r="D617">
            <v>711.26</v>
          </cell>
          <cell r="E617">
            <v>14</v>
          </cell>
          <cell r="F617">
            <v>20606.09</v>
          </cell>
          <cell r="H617">
            <v>2</v>
          </cell>
          <cell r="I617">
            <v>0</v>
          </cell>
          <cell r="J617">
            <v>5100274.7</v>
          </cell>
          <cell r="K617">
            <v>5215403.0999999996</v>
          </cell>
          <cell r="L617">
            <v>256942.97</v>
          </cell>
          <cell r="M617">
            <v>0</v>
          </cell>
          <cell r="N617">
            <v>141814.57</v>
          </cell>
          <cell r="O617" t="str">
            <v>Muddatli depozit omonati</v>
          </cell>
        </row>
        <row r="618">
          <cell r="A618">
            <v>9</v>
          </cell>
          <cell r="B618">
            <v>214</v>
          </cell>
          <cell r="C618">
            <v>5996</v>
          </cell>
          <cell r="D618">
            <v>711.26</v>
          </cell>
          <cell r="E618">
            <v>14</v>
          </cell>
          <cell r="F618">
            <v>20606.09</v>
          </cell>
          <cell r="H618">
            <v>2</v>
          </cell>
          <cell r="I618">
            <v>0</v>
          </cell>
          <cell r="J618">
            <v>7962925.7000000002</v>
          </cell>
          <cell r="K618">
            <v>8338915.5199999996</v>
          </cell>
          <cell r="L618">
            <v>589027.91</v>
          </cell>
          <cell r="M618">
            <v>0</v>
          </cell>
          <cell r="N618">
            <v>213038.09</v>
          </cell>
          <cell r="O618" t="str">
            <v>Muddatli depozit omonati</v>
          </cell>
        </row>
        <row r="619">
          <cell r="A619">
            <v>9</v>
          </cell>
          <cell r="B619">
            <v>214</v>
          </cell>
          <cell r="C619">
            <v>7783</v>
          </cell>
          <cell r="D619">
            <v>711.26</v>
          </cell>
          <cell r="E619">
            <v>14</v>
          </cell>
          <cell r="F619">
            <v>20606.09</v>
          </cell>
          <cell r="H619">
            <v>2</v>
          </cell>
          <cell r="I619">
            <v>0</v>
          </cell>
          <cell r="J619">
            <v>2902507.15</v>
          </cell>
          <cell r="K619">
            <v>3006044.39</v>
          </cell>
          <cell r="L619">
            <v>183111.53</v>
          </cell>
          <cell r="M619">
            <v>0</v>
          </cell>
          <cell r="N619">
            <v>79574.289999999994</v>
          </cell>
          <cell r="O619" t="str">
            <v>Muddatli depozit omonati</v>
          </cell>
        </row>
        <row r="620">
          <cell r="A620">
            <v>9</v>
          </cell>
          <cell r="B620">
            <v>214</v>
          </cell>
          <cell r="C620">
            <v>7845</v>
          </cell>
          <cell r="D620">
            <v>711.26</v>
          </cell>
          <cell r="E620">
            <v>14</v>
          </cell>
          <cell r="F620">
            <v>20606.09</v>
          </cell>
          <cell r="H620">
            <v>2</v>
          </cell>
          <cell r="I620">
            <v>0</v>
          </cell>
          <cell r="J620">
            <v>1279688.49</v>
          </cell>
          <cell r="K620">
            <v>1206334.52</v>
          </cell>
          <cell r="L620">
            <v>61613.93</v>
          </cell>
          <cell r="M620">
            <v>0</v>
          </cell>
          <cell r="N620">
            <v>134967.9</v>
          </cell>
          <cell r="O620" t="str">
            <v>Muddatli depozit omonati</v>
          </cell>
        </row>
        <row r="621">
          <cell r="A621">
            <v>9</v>
          </cell>
          <cell r="B621">
            <v>214</v>
          </cell>
          <cell r="C621">
            <v>7948</v>
          </cell>
          <cell r="D621">
            <v>711.26</v>
          </cell>
          <cell r="E621">
            <v>14</v>
          </cell>
          <cell r="F621">
            <v>20606.09</v>
          </cell>
          <cell r="H621">
            <v>2</v>
          </cell>
          <cell r="I621">
            <v>0</v>
          </cell>
          <cell r="J621">
            <v>561028.98</v>
          </cell>
          <cell r="K621">
            <v>478952.3</v>
          </cell>
          <cell r="L621">
            <v>31170.87</v>
          </cell>
          <cell r="M621">
            <v>0</v>
          </cell>
          <cell r="N621">
            <v>113247.55</v>
          </cell>
          <cell r="O621" t="str">
            <v>Muddatli depozit omonati</v>
          </cell>
        </row>
        <row r="622">
          <cell r="A622">
            <v>9</v>
          </cell>
          <cell r="B622">
            <v>214</v>
          </cell>
          <cell r="C622">
            <v>8002</v>
          </cell>
          <cell r="D622">
            <v>711.26</v>
          </cell>
          <cell r="E622">
            <v>14</v>
          </cell>
          <cell r="F622">
            <v>20606.09</v>
          </cell>
          <cell r="H622">
            <v>2</v>
          </cell>
          <cell r="I622">
            <v>0</v>
          </cell>
          <cell r="J622">
            <v>591539.15</v>
          </cell>
          <cell r="K622">
            <v>561015.93000000005</v>
          </cell>
          <cell r="L622">
            <v>34596.199999999997</v>
          </cell>
          <cell r="M622">
            <v>0</v>
          </cell>
          <cell r="N622">
            <v>65119.42</v>
          </cell>
          <cell r="O622" t="str">
            <v>Muddatli depozit omonati</v>
          </cell>
        </row>
        <row r="623">
          <cell r="A623">
            <v>9</v>
          </cell>
          <cell r="B623">
            <v>214</v>
          </cell>
          <cell r="C623">
            <v>8104</v>
          </cell>
          <cell r="D623">
            <v>711.26</v>
          </cell>
          <cell r="E623">
            <v>14</v>
          </cell>
          <cell r="F623">
            <v>20606.09</v>
          </cell>
          <cell r="H623">
            <v>2</v>
          </cell>
          <cell r="I623">
            <v>0</v>
          </cell>
          <cell r="J623">
            <v>303998.09000000003</v>
          </cell>
          <cell r="K623">
            <v>260291.88</v>
          </cell>
          <cell r="L623">
            <v>7343.05</v>
          </cell>
          <cell r="M623">
            <v>0</v>
          </cell>
          <cell r="N623">
            <v>51049.26</v>
          </cell>
          <cell r="O623" t="str">
            <v>Muddatli depozit omonati</v>
          </cell>
        </row>
        <row r="624">
          <cell r="A624">
            <v>9</v>
          </cell>
          <cell r="B624">
            <v>214</v>
          </cell>
          <cell r="C624">
            <v>8137</v>
          </cell>
          <cell r="D624">
            <v>711.26</v>
          </cell>
          <cell r="E624">
            <v>14</v>
          </cell>
          <cell r="F624">
            <v>20606.09</v>
          </cell>
          <cell r="H624">
            <v>2</v>
          </cell>
          <cell r="I624">
            <v>0</v>
          </cell>
          <cell r="J624">
            <v>41336.83</v>
          </cell>
          <cell r="K624">
            <v>12036.17</v>
          </cell>
          <cell r="L624">
            <v>0</v>
          </cell>
          <cell r="M624">
            <v>0</v>
          </cell>
          <cell r="N624">
            <v>29300.66</v>
          </cell>
          <cell r="O624" t="str">
            <v>Muddatli depozit omonati</v>
          </cell>
        </row>
        <row r="625">
          <cell r="A625">
            <v>9</v>
          </cell>
          <cell r="B625">
            <v>214</v>
          </cell>
          <cell r="C625">
            <v>8533</v>
          </cell>
          <cell r="D625">
            <v>711.26</v>
          </cell>
          <cell r="E625">
            <v>14</v>
          </cell>
          <cell r="F625">
            <v>20606.09</v>
          </cell>
          <cell r="H625">
            <v>2</v>
          </cell>
          <cell r="I625">
            <v>0</v>
          </cell>
          <cell r="J625">
            <v>1879666.51</v>
          </cell>
          <cell r="K625">
            <v>1990740.12</v>
          </cell>
          <cell r="L625">
            <v>121174.09</v>
          </cell>
          <cell r="M625">
            <v>0</v>
          </cell>
          <cell r="N625">
            <v>10100.48</v>
          </cell>
          <cell r="O625" t="str">
            <v>Muddatli depozit omonati</v>
          </cell>
        </row>
        <row r="626">
          <cell r="A626">
            <v>9</v>
          </cell>
          <cell r="B626">
            <v>214</v>
          </cell>
          <cell r="C626">
            <v>8659</v>
          </cell>
          <cell r="D626">
            <v>711.26</v>
          </cell>
          <cell r="E626">
            <v>14</v>
          </cell>
          <cell r="F626">
            <v>20606.09</v>
          </cell>
          <cell r="H626">
            <v>2</v>
          </cell>
          <cell r="I626">
            <v>0</v>
          </cell>
          <cell r="J626">
            <v>103100</v>
          </cell>
          <cell r="K626">
            <v>164367.82</v>
          </cell>
          <cell r="L626">
            <v>71867.820000000007</v>
          </cell>
          <cell r="M626">
            <v>0</v>
          </cell>
          <cell r="N626">
            <v>10600</v>
          </cell>
          <cell r="O626" t="str">
            <v>Muddatli depozit omonati</v>
          </cell>
        </row>
        <row r="627">
          <cell r="A627">
            <v>9</v>
          </cell>
          <cell r="B627">
            <v>214</v>
          </cell>
          <cell r="C627">
            <v>3563</v>
          </cell>
          <cell r="D627">
            <v>711.27</v>
          </cell>
          <cell r="E627">
            <v>14</v>
          </cell>
          <cell r="F627">
            <v>20206.11</v>
          </cell>
          <cell r="H627">
            <v>2</v>
          </cell>
          <cell r="I627">
            <v>0</v>
          </cell>
          <cell r="J627">
            <v>21506.720000000001</v>
          </cell>
          <cell r="K627">
            <v>0</v>
          </cell>
          <cell r="L627">
            <v>0</v>
          </cell>
          <cell r="M627">
            <v>0</v>
          </cell>
          <cell r="N627">
            <v>21506.720000000001</v>
          </cell>
          <cell r="O627" t="str">
            <v>"Oila" omonati</v>
          </cell>
        </row>
        <row r="628">
          <cell r="A628">
            <v>9</v>
          </cell>
          <cell r="B628">
            <v>214</v>
          </cell>
          <cell r="C628">
            <v>5996</v>
          </cell>
          <cell r="D628">
            <v>711.27</v>
          </cell>
          <cell r="E628">
            <v>14</v>
          </cell>
          <cell r="F628">
            <v>20206.11</v>
          </cell>
          <cell r="H628">
            <v>2</v>
          </cell>
          <cell r="I628">
            <v>0</v>
          </cell>
          <cell r="J628">
            <v>66000</v>
          </cell>
          <cell r="K628">
            <v>68753.06</v>
          </cell>
          <cell r="L628">
            <v>2753.06</v>
          </cell>
          <cell r="M628">
            <v>0</v>
          </cell>
          <cell r="N628">
            <v>0</v>
          </cell>
          <cell r="O628" t="str">
            <v>"Oila" omonati</v>
          </cell>
        </row>
        <row r="629">
          <cell r="A629">
            <v>9</v>
          </cell>
          <cell r="B629">
            <v>214</v>
          </cell>
          <cell r="C629">
            <v>7783</v>
          </cell>
          <cell r="D629">
            <v>711.27</v>
          </cell>
          <cell r="E629">
            <v>14</v>
          </cell>
          <cell r="F629">
            <v>20206.11</v>
          </cell>
          <cell r="H629">
            <v>2</v>
          </cell>
          <cell r="I629">
            <v>0</v>
          </cell>
          <cell r="J629">
            <v>88990.48</v>
          </cell>
          <cell r="K629">
            <v>0</v>
          </cell>
          <cell r="L629">
            <v>0</v>
          </cell>
          <cell r="M629">
            <v>0</v>
          </cell>
          <cell r="N629">
            <v>88990.48</v>
          </cell>
          <cell r="O629" t="str">
            <v>"Oila" omonati</v>
          </cell>
        </row>
        <row r="630">
          <cell r="A630">
            <v>9</v>
          </cell>
          <cell r="B630">
            <v>214</v>
          </cell>
          <cell r="C630">
            <v>7948</v>
          </cell>
          <cell r="D630">
            <v>711.27</v>
          </cell>
          <cell r="E630">
            <v>14</v>
          </cell>
          <cell r="F630">
            <v>20206.11</v>
          </cell>
          <cell r="H630">
            <v>2</v>
          </cell>
          <cell r="I630">
            <v>0</v>
          </cell>
          <cell r="J630">
            <v>45773.56</v>
          </cell>
          <cell r="K630">
            <v>0</v>
          </cell>
          <cell r="L630">
            <v>0</v>
          </cell>
          <cell r="M630">
            <v>0</v>
          </cell>
          <cell r="N630">
            <v>45773.56</v>
          </cell>
          <cell r="O630" t="str">
            <v>"Oila" omonati</v>
          </cell>
        </row>
        <row r="631">
          <cell r="A631">
            <v>9</v>
          </cell>
          <cell r="B631">
            <v>214</v>
          </cell>
          <cell r="C631">
            <v>8104</v>
          </cell>
          <cell r="D631">
            <v>711.27</v>
          </cell>
          <cell r="E631">
            <v>14</v>
          </cell>
          <cell r="F631">
            <v>20206.11</v>
          </cell>
          <cell r="H631">
            <v>2</v>
          </cell>
          <cell r="I631">
            <v>0</v>
          </cell>
          <cell r="J631">
            <v>53550</v>
          </cell>
          <cell r="K631">
            <v>36505.35</v>
          </cell>
          <cell r="L631">
            <v>526.22</v>
          </cell>
          <cell r="M631">
            <v>0</v>
          </cell>
          <cell r="N631">
            <v>17570.87</v>
          </cell>
          <cell r="O631" t="str">
            <v>"Oila" omonati</v>
          </cell>
        </row>
        <row r="632">
          <cell r="A632">
            <v>9</v>
          </cell>
          <cell r="B632">
            <v>214</v>
          </cell>
          <cell r="C632">
            <v>8137</v>
          </cell>
          <cell r="D632">
            <v>711.27</v>
          </cell>
          <cell r="E632">
            <v>14</v>
          </cell>
          <cell r="F632">
            <v>20206.11</v>
          </cell>
          <cell r="H632">
            <v>2</v>
          </cell>
          <cell r="I632">
            <v>0</v>
          </cell>
          <cell r="J632">
            <v>63000</v>
          </cell>
          <cell r="K632">
            <v>64846.3</v>
          </cell>
          <cell r="L632">
            <v>9196.2999999999993</v>
          </cell>
          <cell r="M632">
            <v>0</v>
          </cell>
          <cell r="N632">
            <v>7350</v>
          </cell>
          <cell r="O632" t="str">
            <v>"Oila" omonati</v>
          </cell>
        </row>
        <row r="633">
          <cell r="A633">
            <v>9</v>
          </cell>
          <cell r="B633">
            <v>214</v>
          </cell>
          <cell r="C633">
            <v>8298</v>
          </cell>
          <cell r="D633">
            <v>711.27</v>
          </cell>
          <cell r="E633">
            <v>14</v>
          </cell>
          <cell r="F633">
            <v>20206.11</v>
          </cell>
          <cell r="H633">
            <v>2</v>
          </cell>
          <cell r="I633">
            <v>0</v>
          </cell>
          <cell r="J633">
            <v>25000</v>
          </cell>
          <cell r="K633">
            <v>26668</v>
          </cell>
          <cell r="L633">
            <v>1668</v>
          </cell>
          <cell r="M633">
            <v>0</v>
          </cell>
          <cell r="N633">
            <v>0</v>
          </cell>
          <cell r="O633" t="str">
            <v>"Oila" omonati</v>
          </cell>
        </row>
        <row r="634">
          <cell r="A634">
            <v>9</v>
          </cell>
          <cell r="B634">
            <v>214</v>
          </cell>
          <cell r="C634">
            <v>8659</v>
          </cell>
          <cell r="D634">
            <v>711.27</v>
          </cell>
          <cell r="E634">
            <v>14</v>
          </cell>
          <cell r="F634">
            <v>20206.11</v>
          </cell>
          <cell r="H634">
            <v>2</v>
          </cell>
          <cell r="I634">
            <v>0</v>
          </cell>
          <cell r="J634">
            <v>17396</v>
          </cell>
          <cell r="K634">
            <v>0</v>
          </cell>
          <cell r="L634">
            <v>0</v>
          </cell>
          <cell r="M634">
            <v>0</v>
          </cell>
          <cell r="N634">
            <v>17396</v>
          </cell>
          <cell r="O634" t="str">
            <v>"Oila" omonati</v>
          </cell>
        </row>
        <row r="635">
          <cell r="A635">
            <v>9</v>
          </cell>
          <cell r="B635">
            <v>214</v>
          </cell>
          <cell r="C635">
            <v>3563</v>
          </cell>
          <cell r="D635">
            <v>711.28</v>
          </cell>
          <cell r="E635">
            <v>0</v>
          </cell>
          <cell r="F635">
            <v>20206.13</v>
          </cell>
          <cell r="H635">
            <v>0</v>
          </cell>
          <cell r="I635">
            <v>0</v>
          </cell>
          <cell r="J635">
            <v>332675</v>
          </cell>
          <cell r="K635">
            <v>428730</v>
          </cell>
          <cell r="L635">
            <v>103105</v>
          </cell>
          <cell r="M635">
            <v>0</v>
          </cell>
          <cell r="N635">
            <v>7050</v>
          </cell>
          <cell r="O635" t="str">
            <v>Беспроцентные вклады по пособиям малообеспеченным семьям</v>
          </cell>
        </row>
        <row r="636">
          <cell r="A636">
            <v>9</v>
          </cell>
          <cell r="B636">
            <v>214</v>
          </cell>
          <cell r="C636">
            <v>5996</v>
          </cell>
          <cell r="D636">
            <v>711.28</v>
          </cell>
          <cell r="E636">
            <v>0</v>
          </cell>
          <cell r="F636">
            <v>20206.13</v>
          </cell>
          <cell r="H636">
            <v>0</v>
          </cell>
          <cell r="I636">
            <v>0</v>
          </cell>
          <cell r="J636">
            <v>300273</v>
          </cell>
          <cell r="K636">
            <v>1935962.5</v>
          </cell>
          <cell r="L636">
            <v>1727437.07</v>
          </cell>
          <cell r="M636">
            <v>0</v>
          </cell>
          <cell r="N636">
            <v>91747.57</v>
          </cell>
          <cell r="O636" t="str">
            <v>Kam ta`minlangan oilalarga to`lanadigan nafaqalar bo`yicha f</v>
          </cell>
        </row>
        <row r="637">
          <cell r="A637">
            <v>9</v>
          </cell>
          <cell r="B637">
            <v>214</v>
          </cell>
          <cell r="C637">
            <v>7783</v>
          </cell>
          <cell r="D637">
            <v>711.28</v>
          </cell>
          <cell r="E637">
            <v>0</v>
          </cell>
          <cell r="F637">
            <v>20206.13</v>
          </cell>
          <cell r="H637">
            <v>0</v>
          </cell>
          <cell r="I637">
            <v>0</v>
          </cell>
          <cell r="J637">
            <v>296430</v>
          </cell>
          <cell r="K637">
            <v>1183630</v>
          </cell>
          <cell r="L637">
            <v>997815</v>
          </cell>
          <cell r="M637">
            <v>0</v>
          </cell>
          <cell r="N637">
            <v>110615</v>
          </cell>
          <cell r="O637" t="str">
            <v>Беспроцентные вклады по пособиям малообеспеченным семьям</v>
          </cell>
        </row>
        <row r="638">
          <cell r="A638">
            <v>9</v>
          </cell>
          <cell r="B638">
            <v>214</v>
          </cell>
          <cell r="C638">
            <v>7845</v>
          </cell>
          <cell r="D638">
            <v>711.28</v>
          </cell>
          <cell r="E638">
            <v>0</v>
          </cell>
          <cell r="F638">
            <v>20206.13</v>
          </cell>
          <cell r="H638">
            <v>0</v>
          </cell>
          <cell r="I638">
            <v>0</v>
          </cell>
          <cell r="J638">
            <v>0</v>
          </cell>
          <cell r="K638">
            <v>87210</v>
          </cell>
          <cell r="L638">
            <v>87210</v>
          </cell>
          <cell r="M638">
            <v>0</v>
          </cell>
          <cell r="N638">
            <v>0</v>
          </cell>
          <cell r="O638" t="str">
            <v>Kam ta`minlangan oilalarga to`lanadigan nafaqalar bo`yicha f</v>
          </cell>
        </row>
        <row r="639">
          <cell r="A639">
            <v>9</v>
          </cell>
          <cell r="B639">
            <v>214</v>
          </cell>
          <cell r="C639">
            <v>7948</v>
          </cell>
          <cell r="D639">
            <v>711.28</v>
          </cell>
          <cell r="E639">
            <v>0</v>
          </cell>
          <cell r="F639">
            <v>20206.13</v>
          </cell>
          <cell r="H639">
            <v>0</v>
          </cell>
          <cell r="I639">
            <v>0</v>
          </cell>
          <cell r="J639">
            <v>375531</v>
          </cell>
          <cell r="K639">
            <v>414811</v>
          </cell>
          <cell r="L639">
            <v>41260</v>
          </cell>
          <cell r="M639">
            <v>0</v>
          </cell>
          <cell r="N639">
            <v>1980</v>
          </cell>
          <cell r="O639" t="str">
            <v>Kam ta`minlangan oilalarga to`lanadigan nafaqalar bo`yicha f</v>
          </cell>
        </row>
        <row r="640">
          <cell r="A640">
            <v>9</v>
          </cell>
          <cell r="B640">
            <v>214</v>
          </cell>
          <cell r="C640">
            <v>8002</v>
          </cell>
          <cell r="D640">
            <v>711.28</v>
          </cell>
          <cell r="E640">
            <v>0</v>
          </cell>
          <cell r="F640">
            <v>20206.13</v>
          </cell>
          <cell r="H640">
            <v>0</v>
          </cell>
          <cell r="I640">
            <v>0</v>
          </cell>
          <cell r="J640">
            <v>154757</v>
          </cell>
          <cell r="K640">
            <v>351920</v>
          </cell>
          <cell r="L640">
            <v>197163</v>
          </cell>
          <cell r="M640">
            <v>0</v>
          </cell>
          <cell r="N640">
            <v>0</v>
          </cell>
          <cell r="O640" t="str">
            <v>Kam ta`minlangan oilalarga to`lanadigan nafaqalar bo`yicha f</v>
          </cell>
        </row>
        <row r="641">
          <cell r="A641">
            <v>9</v>
          </cell>
          <cell r="B641">
            <v>214</v>
          </cell>
          <cell r="C641">
            <v>8104</v>
          </cell>
          <cell r="D641">
            <v>711.28</v>
          </cell>
          <cell r="E641">
            <v>0</v>
          </cell>
          <cell r="F641">
            <v>20206.13</v>
          </cell>
          <cell r="H641">
            <v>2</v>
          </cell>
          <cell r="I641">
            <v>0</v>
          </cell>
          <cell r="J641">
            <v>174475</v>
          </cell>
          <cell r="K641">
            <v>386821</v>
          </cell>
          <cell r="L641">
            <v>214326</v>
          </cell>
          <cell r="M641">
            <v>0</v>
          </cell>
          <cell r="N641">
            <v>1980</v>
          </cell>
          <cell r="O641" t="str">
            <v>Kam ta`minlangan oilalarga to`lanadigan nafaqalar bo`yicha f</v>
          </cell>
        </row>
        <row r="642">
          <cell r="A642">
            <v>9</v>
          </cell>
          <cell r="B642">
            <v>214</v>
          </cell>
          <cell r="C642">
            <v>8137</v>
          </cell>
          <cell r="D642">
            <v>711.28</v>
          </cell>
          <cell r="E642">
            <v>0</v>
          </cell>
          <cell r="F642">
            <v>20206.13</v>
          </cell>
          <cell r="H642">
            <v>2</v>
          </cell>
          <cell r="I642">
            <v>0</v>
          </cell>
          <cell r="J642">
            <v>55662.5</v>
          </cell>
          <cell r="K642">
            <v>280683.5</v>
          </cell>
          <cell r="L642">
            <v>225021</v>
          </cell>
          <cell r="M642">
            <v>0</v>
          </cell>
          <cell r="N642">
            <v>0</v>
          </cell>
          <cell r="O642" t="str">
            <v>Kam ta`minlangan oilalarga to`lanadigan nafaqalar bo`yicha f</v>
          </cell>
        </row>
        <row r="643">
          <cell r="A643">
            <v>9</v>
          </cell>
          <cell r="B643">
            <v>214</v>
          </cell>
          <cell r="C643">
            <v>8298</v>
          </cell>
          <cell r="D643">
            <v>711.28</v>
          </cell>
          <cell r="E643">
            <v>0</v>
          </cell>
          <cell r="F643">
            <v>20206.13</v>
          </cell>
          <cell r="H643">
            <v>0</v>
          </cell>
          <cell r="I643">
            <v>0</v>
          </cell>
          <cell r="J643">
            <v>59400</v>
          </cell>
          <cell r="K643">
            <v>265165</v>
          </cell>
          <cell r="L643">
            <v>211215</v>
          </cell>
          <cell r="M643">
            <v>0</v>
          </cell>
          <cell r="N643">
            <v>5450</v>
          </cell>
          <cell r="O643" t="str">
            <v>Kam ta`minlangan oilalarga to`lanadigan nafaqalar bo`yicha f</v>
          </cell>
        </row>
        <row r="644">
          <cell r="A644">
            <v>9</v>
          </cell>
          <cell r="B644">
            <v>214</v>
          </cell>
          <cell r="C644">
            <v>8533</v>
          </cell>
          <cell r="D644">
            <v>711.28</v>
          </cell>
          <cell r="E644">
            <v>0</v>
          </cell>
          <cell r="F644">
            <v>20206.13</v>
          </cell>
          <cell r="H644">
            <v>0</v>
          </cell>
          <cell r="I644">
            <v>0</v>
          </cell>
          <cell r="J644">
            <v>1650</v>
          </cell>
          <cell r="K644">
            <v>12210</v>
          </cell>
          <cell r="L644">
            <v>10560</v>
          </cell>
          <cell r="M644">
            <v>0</v>
          </cell>
          <cell r="N644">
            <v>0</v>
          </cell>
          <cell r="O644" t="str">
            <v>Kam ta`minlangan oilalarga to`lanadigan nafaqalar bo`yicha f</v>
          </cell>
        </row>
        <row r="645">
          <cell r="A645">
            <v>9</v>
          </cell>
          <cell r="B645">
            <v>214</v>
          </cell>
          <cell r="C645">
            <v>8659</v>
          </cell>
          <cell r="D645">
            <v>711.28</v>
          </cell>
          <cell r="E645">
            <v>0</v>
          </cell>
          <cell r="F645">
            <v>20206.13</v>
          </cell>
          <cell r="H645">
            <v>0</v>
          </cell>
          <cell r="I645">
            <v>0</v>
          </cell>
          <cell r="J645">
            <v>385333</v>
          </cell>
          <cell r="K645">
            <v>1899088</v>
          </cell>
          <cell r="L645">
            <v>1513755</v>
          </cell>
          <cell r="M645">
            <v>0</v>
          </cell>
          <cell r="N645">
            <v>0</v>
          </cell>
          <cell r="O645" t="str">
            <v>Kam ta`minlangan oilalarga to`lanadigan nafaqalar bo`yicha f</v>
          </cell>
        </row>
        <row r="646">
          <cell r="A646">
            <v>9</v>
          </cell>
          <cell r="B646">
            <v>214</v>
          </cell>
          <cell r="C646">
            <v>3563</v>
          </cell>
          <cell r="D646">
            <v>711.29</v>
          </cell>
          <cell r="E646">
            <v>0</v>
          </cell>
          <cell r="F646">
            <v>20606.099999999999</v>
          </cell>
          <cell r="H646">
            <v>0</v>
          </cell>
          <cell r="I646">
            <v>0</v>
          </cell>
          <cell r="J646">
            <v>0</v>
          </cell>
          <cell r="K646">
            <v>7138697.2999999998</v>
          </cell>
          <cell r="L646">
            <v>10928225.449999999</v>
          </cell>
          <cell r="M646">
            <v>0</v>
          </cell>
          <cell r="N646">
            <v>3789528.15</v>
          </cell>
          <cell r="O646" t="str">
            <v>Вклад "ДАРОМАД"</v>
          </cell>
        </row>
        <row r="647">
          <cell r="A647">
            <v>9</v>
          </cell>
          <cell r="B647">
            <v>214</v>
          </cell>
          <cell r="C647">
            <v>5996</v>
          </cell>
          <cell r="D647">
            <v>711.29</v>
          </cell>
          <cell r="E647">
            <v>0</v>
          </cell>
          <cell r="F647">
            <v>20606.099999999999</v>
          </cell>
          <cell r="H647">
            <v>0</v>
          </cell>
          <cell r="I647">
            <v>0</v>
          </cell>
          <cell r="J647">
            <v>0</v>
          </cell>
          <cell r="K647">
            <v>13116431.74</v>
          </cell>
          <cell r="L647">
            <v>19759086.300000001</v>
          </cell>
          <cell r="M647">
            <v>0</v>
          </cell>
          <cell r="N647">
            <v>6642654.5599999996</v>
          </cell>
          <cell r="O647" t="str">
            <v>Вклад "ДАРОМАД"</v>
          </cell>
        </row>
        <row r="648">
          <cell r="A648">
            <v>9</v>
          </cell>
          <cell r="B648">
            <v>214</v>
          </cell>
          <cell r="C648">
            <v>7783</v>
          </cell>
          <cell r="D648">
            <v>711.29</v>
          </cell>
          <cell r="E648">
            <v>0</v>
          </cell>
          <cell r="F648">
            <v>20606.099999999999</v>
          </cell>
          <cell r="H648">
            <v>0</v>
          </cell>
          <cell r="I648">
            <v>0</v>
          </cell>
          <cell r="J648">
            <v>0</v>
          </cell>
          <cell r="K648">
            <v>838278.45</v>
          </cell>
          <cell r="L648">
            <v>3355614.66</v>
          </cell>
          <cell r="M648">
            <v>0</v>
          </cell>
          <cell r="N648">
            <v>2517336.21</v>
          </cell>
          <cell r="O648" t="str">
            <v>Вклад "ДАРОМАД"</v>
          </cell>
        </row>
        <row r="649">
          <cell r="A649">
            <v>9</v>
          </cell>
          <cell r="B649">
            <v>214</v>
          </cell>
          <cell r="C649">
            <v>7845</v>
          </cell>
          <cell r="D649">
            <v>711.29</v>
          </cell>
          <cell r="E649">
            <v>0</v>
          </cell>
          <cell r="F649">
            <v>20606.099999999999</v>
          </cell>
          <cell r="H649">
            <v>0</v>
          </cell>
          <cell r="I649">
            <v>0</v>
          </cell>
          <cell r="J649">
            <v>0</v>
          </cell>
          <cell r="K649">
            <v>313731.34000000003</v>
          </cell>
          <cell r="L649">
            <v>1402549.16</v>
          </cell>
          <cell r="M649">
            <v>0</v>
          </cell>
          <cell r="N649">
            <v>1088817.82</v>
          </cell>
          <cell r="O649" t="str">
            <v>Вклад "ДАРОМАД"</v>
          </cell>
        </row>
        <row r="650">
          <cell r="A650">
            <v>9</v>
          </cell>
          <cell r="B650">
            <v>214</v>
          </cell>
          <cell r="C650">
            <v>7948</v>
          </cell>
          <cell r="D650">
            <v>711.29</v>
          </cell>
          <cell r="E650">
            <v>0</v>
          </cell>
          <cell r="F650">
            <v>20606.099999999999</v>
          </cell>
          <cell r="H650">
            <v>0</v>
          </cell>
          <cell r="I650">
            <v>0</v>
          </cell>
          <cell r="J650">
            <v>0</v>
          </cell>
          <cell r="K650">
            <v>195111</v>
          </cell>
          <cell r="L650">
            <v>663837.18999999994</v>
          </cell>
          <cell r="M650">
            <v>0</v>
          </cell>
          <cell r="N650">
            <v>468726.19</v>
          </cell>
          <cell r="O650" t="str">
            <v>Вклад "ДАРОМАД"</v>
          </cell>
        </row>
        <row r="651">
          <cell r="A651">
            <v>9</v>
          </cell>
          <cell r="B651">
            <v>214</v>
          </cell>
          <cell r="C651">
            <v>8002</v>
          </cell>
          <cell r="D651">
            <v>711.29</v>
          </cell>
          <cell r="E651">
            <v>0</v>
          </cell>
          <cell r="F651">
            <v>20606.099999999999</v>
          </cell>
          <cell r="H651">
            <v>0</v>
          </cell>
          <cell r="I651">
            <v>0</v>
          </cell>
          <cell r="J651">
            <v>0</v>
          </cell>
          <cell r="K651">
            <v>114980</v>
          </cell>
          <cell r="L651">
            <v>368717.7</v>
          </cell>
          <cell r="M651">
            <v>0</v>
          </cell>
          <cell r="N651">
            <v>253737.7</v>
          </cell>
          <cell r="O651" t="str">
            <v>Вклад "ДАРОМАД"</v>
          </cell>
        </row>
        <row r="652">
          <cell r="A652">
            <v>9</v>
          </cell>
          <cell r="B652">
            <v>214</v>
          </cell>
          <cell r="C652">
            <v>8104</v>
          </cell>
          <cell r="D652">
            <v>711.29</v>
          </cell>
          <cell r="E652">
            <v>0</v>
          </cell>
          <cell r="F652">
            <v>20606.099999999999</v>
          </cell>
          <cell r="H652">
            <v>0</v>
          </cell>
          <cell r="I652">
            <v>0</v>
          </cell>
          <cell r="J652">
            <v>0</v>
          </cell>
          <cell r="K652">
            <v>69275.740000000005</v>
          </cell>
          <cell r="L652">
            <v>281696.7</v>
          </cell>
          <cell r="M652">
            <v>0</v>
          </cell>
          <cell r="N652">
            <v>212420.96</v>
          </cell>
          <cell r="O652" t="str">
            <v>Вклад "ДАРОМАД"</v>
          </cell>
        </row>
        <row r="653">
          <cell r="A653">
            <v>9</v>
          </cell>
          <cell r="B653">
            <v>214</v>
          </cell>
          <cell r="C653">
            <v>8533</v>
          </cell>
          <cell r="D653">
            <v>711.29</v>
          </cell>
          <cell r="E653">
            <v>0</v>
          </cell>
          <cell r="F653">
            <v>20606.099999999999</v>
          </cell>
          <cell r="H653">
            <v>0</v>
          </cell>
          <cell r="I653">
            <v>0</v>
          </cell>
          <cell r="J653">
            <v>0</v>
          </cell>
          <cell r="K653">
            <v>2586226.65</v>
          </cell>
          <cell r="L653">
            <v>4051743.81</v>
          </cell>
          <cell r="M653">
            <v>0</v>
          </cell>
          <cell r="N653">
            <v>1465517.16</v>
          </cell>
          <cell r="O653" t="str">
            <v>Вклад "ДАРОМАД"</v>
          </cell>
        </row>
        <row r="654">
          <cell r="A654">
            <v>9</v>
          </cell>
          <cell r="B654">
            <v>214</v>
          </cell>
          <cell r="C654">
            <v>8659</v>
          </cell>
          <cell r="D654">
            <v>711.29</v>
          </cell>
          <cell r="E654">
            <v>0</v>
          </cell>
          <cell r="F654">
            <v>20606.099999999999</v>
          </cell>
          <cell r="H654">
            <v>0</v>
          </cell>
          <cell r="I654">
            <v>0</v>
          </cell>
          <cell r="J654">
            <v>0</v>
          </cell>
          <cell r="K654">
            <v>218950</v>
          </cell>
          <cell r="L654">
            <v>321950</v>
          </cell>
          <cell r="M654">
            <v>0</v>
          </cell>
          <cell r="N654">
            <v>103000</v>
          </cell>
          <cell r="O654" t="str">
            <v>Вклад "ДАРОМАД"</v>
          </cell>
        </row>
        <row r="655">
          <cell r="A655">
            <v>9</v>
          </cell>
          <cell r="B655">
            <v>214</v>
          </cell>
          <cell r="C655">
            <v>3563</v>
          </cell>
          <cell r="D655">
            <v>711.3</v>
          </cell>
          <cell r="E655">
            <v>0</v>
          </cell>
          <cell r="F655">
            <v>20206.14</v>
          </cell>
          <cell r="H655">
            <v>0</v>
          </cell>
          <cell r="I655">
            <v>0</v>
          </cell>
          <cell r="J655">
            <v>0</v>
          </cell>
          <cell r="K655">
            <v>752745</v>
          </cell>
          <cell r="L655">
            <v>962730</v>
          </cell>
          <cell r="M655">
            <v>0</v>
          </cell>
          <cell r="N655">
            <v>209985</v>
          </cell>
          <cell r="O655" t="str">
            <v>Беспроцентные вклады по пособиям матерям с детьми до 2-х лет</v>
          </cell>
        </row>
        <row r="656">
          <cell r="A656">
            <v>9</v>
          </cell>
          <cell r="B656">
            <v>214</v>
          </cell>
          <cell r="C656">
            <v>5996</v>
          </cell>
          <cell r="D656">
            <v>711.3</v>
          </cell>
          <cell r="E656">
            <v>0</v>
          </cell>
          <cell r="F656">
            <v>20206.14</v>
          </cell>
          <cell r="H656">
            <v>0</v>
          </cell>
          <cell r="I656">
            <v>0</v>
          </cell>
          <cell r="J656">
            <v>0</v>
          </cell>
          <cell r="K656">
            <v>4304226</v>
          </cell>
          <cell r="L656">
            <v>4985675</v>
          </cell>
          <cell r="M656">
            <v>0</v>
          </cell>
          <cell r="N656">
            <v>681449</v>
          </cell>
          <cell r="O656" t="str">
            <v>Беспроцентные вклады по пособиям матерям с детьми до 2-х лет</v>
          </cell>
        </row>
        <row r="657">
          <cell r="A657">
            <v>9</v>
          </cell>
          <cell r="B657">
            <v>214</v>
          </cell>
          <cell r="C657">
            <v>7783</v>
          </cell>
          <cell r="D657">
            <v>711.3</v>
          </cell>
          <cell r="E657">
            <v>0</v>
          </cell>
          <cell r="F657">
            <v>20206.14</v>
          </cell>
          <cell r="H657">
            <v>0</v>
          </cell>
          <cell r="I657">
            <v>0</v>
          </cell>
          <cell r="J657">
            <v>0</v>
          </cell>
          <cell r="K657">
            <v>2219940</v>
          </cell>
          <cell r="L657">
            <v>2847210</v>
          </cell>
          <cell r="M657">
            <v>0</v>
          </cell>
          <cell r="N657">
            <v>627270</v>
          </cell>
          <cell r="O657" t="str">
            <v>Беспроцентные вклады по пособиям матерям с детьми до 2-х лет</v>
          </cell>
        </row>
        <row r="658">
          <cell r="A658">
            <v>9</v>
          </cell>
          <cell r="B658">
            <v>214</v>
          </cell>
          <cell r="C658">
            <v>7948</v>
          </cell>
          <cell r="D658">
            <v>711.3</v>
          </cell>
          <cell r="E658">
            <v>0</v>
          </cell>
          <cell r="F658">
            <v>20206.14</v>
          </cell>
          <cell r="H658">
            <v>0</v>
          </cell>
          <cell r="I658">
            <v>0</v>
          </cell>
          <cell r="J658">
            <v>0</v>
          </cell>
          <cell r="K658">
            <v>118755</v>
          </cell>
          <cell r="L658">
            <v>158820</v>
          </cell>
          <cell r="M658">
            <v>0</v>
          </cell>
          <cell r="N658">
            <v>40065</v>
          </cell>
          <cell r="O658" t="str">
            <v>Беспроцентные вклады по пособиям матерям с детьми до 2-х лет</v>
          </cell>
        </row>
        <row r="659">
          <cell r="A659">
            <v>9</v>
          </cell>
          <cell r="B659">
            <v>214</v>
          </cell>
          <cell r="C659">
            <v>8002</v>
          </cell>
          <cell r="D659">
            <v>711.3</v>
          </cell>
          <cell r="E659">
            <v>0</v>
          </cell>
          <cell r="F659">
            <v>20206.14</v>
          </cell>
          <cell r="H659">
            <v>0</v>
          </cell>
          <cell r="I659">
            <v>0</v>
          </cell>
          <cell r="J659">
            <v>0</v>
          </cell>
          <cell r="K659">
            <v>27780</v>
          </cell>
          <cell r="L659">
            <v>27780</v>
          </cell>
          <cell r="M659">
            <v>0</v>
          </cell>
          <cell r="N659">
            <v>0</v>
          </cell>
          <cell r="O659" t="str">
            <v>Беспроцентные вклады по пособиям матерям с детьми до 2-х лет</v>
          </cell>
        </row>
        <row r="660">
          <cell r="A660">
            <v>9</v>
          </cell>
          <cell r="B660">
            <v>214</v>
          </cell>
          <cell r="C660">
            <v>8137</v>
          </cell>
          <cell r="D660">
            <v>711.3</v>
          </cell>
          <cell r="E660">
            <v>0</v>
          </cell>
          <cell r="F660">
            <v>20206.14</v>
          </cell>
          <cell r="H660">
            <v>0</v>
          </cell>
          <cell r="I660">
            <v>0</v>
          </cell>
          <cell r="J660">
            <v>0</v>
          </cell>
          <cell r="K660">
            <v>405900</v>
          </cell>
          <cell r="L660">
            <v>405900</v>
          </cell>
          <cell r="M660">
            <v>0</v>
          </cell>
          <cell r="N660">
            <v>0</v>
          </cell>
          <cell r="O660" t="str">
            <v>Беспроцентные вклады по пособиям матерям с детьми до 2-х лет</v>
          </cell>
        </row>
        <row r="661">
          <cell r="A661">
            <v>9</v>
          </cell>
          <cell r="B661">
            <v>214</v>
          </cell>
          <cell r="C661">
            <v>8298</v>
          </cell>
          <cell r="D661">
            <v>711.3</v>
          </cell>
          <cell r="E661">
            <v>0</v>
          </cell>
          <cell r="F661">
            <v>20206.14</v>
          </cell>
          <cell r="H661">
            <v>0</v>
          </cell>
          <cell r="I661">
            <v>0</v>
          </cell>
          <cell r="J661">
            <v>0</v>
          </cell>
          <cell r="K661">
            <v>564030</v>
          </cell>
          <cell r="L661">
            <v>648567</v>
          </cell>
          <cell r="M661">
            <v>0</v>
          </cell>
          <cell r="N661">
            <v>84537</v>
          </cell>
          <cell r="O661" t="str">
            <v>Беспроцентные вклады по пособиям матерям с детьми до 2-х лет</v>
          </cell>
        </row>
        <row r="662">
          <cell r="A662">
            <v>9</v>
          </cell>
          <cell r="B662">
            <v>214</v>
          </cell>
          <cell r="C662">
            <v>8533</v>
          </cell>
          <cell r="D662">
            <v>711.3</v>
          </cell>
          <cell r="E662">
            <v>0</v>
          </cell>
          <cell r="F662">
            <v>20206.14</v>
          </cell>
          <cell r="H662">
            <v>0</v>
          </cell>
          <cell r="I662">
            <v>0</v>
          </cell>
          <cell r="J662">
            <v>0</v>
          </cell>
          <cell r="K662">
            <v>100935</v>
          </cell>
          <cell r="L662">
            <v>115395</v>
          </cell>
          <cell r="M662">
            <v>0</v>
          </cell>
          <cell r="N662">
            <v>14460</v>
          </cell>
          <cell r="O662" t="str">
            <v>Беспроцентные вклады по пособиям матерям с детьми до 2-х лет</v>
          </cell>
        </row>
        <row r="663">
          <cell r="A663">
            <v>9</v>
          </cell>
          <cell r="B663">
            <v>214</v>
          </cell>
          <cell r="C663">
            <v>8659</v>
          </cell>
          <cell r="D663">
            <v>711.3</v>
          </cell>
          <cell r="E663">
            <v>0</v>
          </cell>
          <cell r="F663">
            <v>20206.14</v>
          </cell>
          <cell r="H663">
            <v>0</v>
          </cell>
          <cell r="I663">
            <v>0</v>
          </cell>
          <cell r="J663">
            <v>0</v>
          </cell>
          <cell r="K663">
            <v>647460</v>
          </cell>
          <cell r="L663">
            <v>647460</v>
          </cell>
          <cell r="M663">
            <v>0</v>
          </cell>
          <cell r="N663">
            <v>0</v>
          </cell>
          <cell r="O663" t="str">
            <v>Беспроцентные вклады по пособиям матерям с детьми до 2-х лет</v>
          </cell>
        </row>
        <row r="664">
          <cell r="A664">
            <v>9</v>
          </cell>
          <cell r="B664">
            <v>214</v>
          </cell>
          <cell r="C664">
            <v>8002</v>
          </cell>
          <cell r="D664">
            <v>715</v>
          </cell>
          <cell r="E664">
            <v>14</v>
          </cell>
          <cell r="F664">
            <v>20218</v>
          </cell>
          <cell r="H664">
            <v>2</v>
          </cell>
          <cell r="I664">
            <v>0</v>
          </cell>
          <cell r="J664">
            <v>20900</v>
          </cell>
          <cell r="K664">
            <v>20900</v>
          </cell>
          <cell r="L664">
            <v>0</v>
          </cell>
          <cell r="M664">
            <v>0</v>
          </cell>
          <cell r="N664">
            <v>0</v>
          </cell>
          <cell r="O664" t="str">
            <v>Депозиты до востребования предпр-лей, не имеющих статуса юр.</v>
          </cell>
        </row>
        <row r="665">
          <cell r="A665">
            <v>9</v>
          </cell>
          <cell r="B665">
            <v>214</v>
          </cell>
          <cell r="C665">
            <v>8659</v>
          </cell>
          <cell r="D665">
            <v>715</v>
          </cell>
          <cell r="E665">
            <v>14</v>
          </cell>
          <cell r="F665">
            <v>20218</v>
          </cell>
          <cell r="H665">
            <v>2</v>
          </cell>
          <cell r="I665">
            <v>0</v>
          </cell>
          <cell r="J665">
            <v>150</v>
          </cell>
          <cell r="K665">
            <v>250560</v>
          </cell>
          <cell r="L665">
            <v>265880</v>
          </cell>
          <cell r="M665">
            <v>0</v>
          </cell>
          <cell r="N665">
            <v>15470</v>
          </cell>
          <cell r="O665" t="str">
            <v>Депозиты до востребования предпр-лей, не имеющих статуса юр.</v>
          </cell>
        </row>
        <row r="666">
          <cell r="A666">
            <v>9</v>
          </cell>
          <cell r="B666">
            <v>214</v>
          </cell>
          <cell r="C666">
            <v>7948</v>
          </cell>
          <cell r="D666">
            <v>725.02</v>
          </cell>
          <cell r="E666">
            <v>0</v>
          </cell>
          <cell r="F666">
            <v>23210</v>
          </cell>
          <cell r="H666">
            <v>0</v>
          </cell>
          <cell r="I666">
            <v>0</v>
          </cell>
          <cell r="J666">
            <v>0</v>
          </cell>
          <cell r="K666">
            <v>3856049.36</v>
          </cell>
          <cell r="L666">
            <v>4163059</v>
          </cell>
          <cell r="M666">
            <v>0</v>
          </cell>
          <cell r="N666">
            <v>307009.64</v>
          </cell>
          <cell r="O666" t="str">
            <v>Целевые средства, полученные из Фонда МФ</v>
          </cell>
        </row>
        <row r="667">
          <cell r="A667">
            <v>9</v>
          </cell>
          <cell r="B667">
            <v>214</v>
          </cell>
          <cell r="C667">
            <v>8137</v>
          </cell>
          <cell r="D667">
            <v>725.02</v>
          </cell>
          <cell r="E667">
            <v>0</v>
          </cell>
          <cell r="F667">
            <v>23210</v>
          </cell>
          <cell r="H667">
            <v>0</v>
          </cell>
          <cell r="I667">
            <v>0</v>
          </cell>
          <cell r="J667">
            <v>0</v>
          </cell>
          <cell r="K667">
            <v>431660</v>
          </cell>
          <cell r="L667">
            <v>431660</v>
          </cell>
          <cell r="M667">
            <v>0</v>
          </cell>
          <cell r="N667">
            <v>0</v>
          </cell>
          <cell r="O667" t="str">
            <v>Целевые средства, полученные из Фонда МФ</v>
          </cell>
        </row>
        <row r="668">
          <cell r="A668">
            <v>9</v>
          </cell>
          <cell r="B668">
            <v>214</v>
          </cell>
          <cell r="C668">
            <v>7948</v>
          </cell>
          <cell r="D668">
            <v>725.03</v>
          </cell>
          <cell r="E668">
            <v>0</v>
          </cell>
          <cell r="F668">
            <v>23204</v>
          </cell>
          <cell r="H668">
            <v>0</v>
          </cell>
          <cell r="I668">
            <v>0</v>
          </cell>
          <cell r="J668">
            <v>0</v>
          </cell>
          <cell r="K668">
            <v>584600</v>
          </cell>
          <cell r="L668">
            <v>1032000</v>
          </cell>
          <cell r="M668">
            <v>0</v>
          </cell>
          <cell r="N668">
            <v>447400</v>
          </cell>
          <cell r="O668" t="str">
            <v>Средства бюджета для разовых зачетов</v>
          </cell>
        </row>
        <row r="669">
          <cell r="A669">
            <v>9</v>
          </cell>
          <cell r="B669">
            <v>214</v>
          </cell>
          <cell r="C669">
            <v>3563</v>
          </cell>
          <cell r="D669">
            <v>727.01</v>
          </cell>
          <cell r="E669">
            <v>10</v>
          </cell>
          <cell r="F669">
            <v>29804.01</v>
          </cell>
          <cell r="H669">
            <v>2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 t="str">
            <v>Расчеты по инкасированной выручке торг.организаций</v>
          </cell>
        </row>
        <row r="670">
          <cell r="A670">
            <v>9</v>
          </cell>
          <cell r="B670">
            <v>214</v>
          </cell>
          <cell r="C670">
            <v>8298</v>
          </cell>
          <cell r="D670">
            <v>727.01</v>
          </cell>
          <cell r="E670">
            <v>10</v>
          </cell>
          <cell r="F670">
            <v>29804.01</v>
          </cell>
          <cell r="H670">
            <v>2</v>
          </cell>
          <cell r="I670">
            <v>0</v>
          </cell>
          <cell r="J670">
            <v>3670988.38</v>
          </cell>
          <cell r="K670">
            <v>3670988.38</v>
          </cell>
          <cell r="L670">
            <v>0</v>
          </cell>
          <cell r="M670">
            <v>0</v>
          </cell>
          <cell r="N670">
            <v>0</v>
          </cell>
          <cell r="O670" t="str">
            <v>Расчеты по инкасированной выручке торг.организаций</v>
          </cell>
        </row>
        <row r="671">
          <cell r="A671">
            <v>9</v>
          </cell>
          <cell r="B671">
            <v>214</v>
          </cell>
          <cell r="C671">
            <v>8533</v>
          </cell>
          <cell r="D671">
            <v>727.01</v>
          </cell>
          <cell r="E671">
            <v>10</v>
          </cell>
          <cell r="F671">
            <v>29804.01</v>
          </cell>
          <cell r="H671">
            <v>2</v>
          </cell>
          <cell r="I671">
            <v>0</v>
          </cell>
          <cell r="J671">
            <v>0</v>
          </cell>
          <cell r="K671">
            <v>792200</v>
          </cell>
          <cell r="L671">
            <v>792200</v>
          </cell>
          <cell r="M671">
            <v>0</v>
          </cell>
          <cell r="N671">
            <v>0</v>
          </cell>
          <cell r="O671" t="str">
            <v>Расчеты по инкасированной выручке торг.организаций</v>
          </cell>
        </row>
        <row r="672">
          <cell r="A672">
            <v>9</v>
          </cell>
          <cell r="B672">
            <v>214</v>
          </cell>
          <cell r="C672">
            <v>3563</v>
          </cell>
          <cell r="D672">
            <v>727.02</v>
          </cell>
          <cell r="E672">
            <v>10</v>
          </cell>
          <cell r="F672">
            <v>29804.02</v>
          </cell>
          <cell r="H672">
            <v>2</v>
          </cell>
          <cell r="I672">
            <v>0</v>
          </cell>
          <cell r="J672">
            <v>9163014.5800000001</v>
          </cell>
          <cell r="K672">
            <v>11926155.01</v>
          </cell>
          <cell r="L672">
            <v>2763140.43</v>
          </cell>
          <cell r="M672">
            <v>0</v>
          </cell>
          <cell r="N672">
            <v>0</v>
          </cell>
          <cell r="O672" t="str">
            <v>Расчеты по принятым комм.плат. (счет закрывается на 1 феврал</v>
          </cell>
        </row>
        <row r="673">
          <cell r="A673">
            <v>9</v>
          </cell>
          <cell r="B673">
            <v>214</v>
          </cell>
          <cell r="C673">
            <v>5996</v>
          </cell>
          <cell r="D673">
            <v>727.02</v>
          </cell>
          <cell r="E673">
            <v>10</v>
          </cell>
          <cell r="F673">
            <v>29804.02</v>
          </cell>
          <cell r="H673">
            <v>2</v>
          </cell>
          <cell r="I673">
            <v>0</v>
          </cell>
          <cell r="J673">
            <v>5605680.6699999999</v>
          </cell>
          <cell r="K673">
            <v>8498396.4600000009</v>
          </cell>
          <cell r="L673">
            <v>2892715.79</v>
          </cell>
          <cell r="M673">
            <v>0</v>
          </cell>
          <cell r="N673">
            <v>0</v>
          </cell>
          <cell r="O673" t="str">
            <v>Расчеты по принятым комм.плат. (счет закрывается на 1 феврал</v>
          </cell>
        </row>
        <row r="674">
          <cell r="A674">
            <v>9</v>
          </cell>
          <cell r="B674">
            <v>214</v>
          </cell>
          <cell r="C674">
            <v>7783</v>
          </cell>
          <cell r="D674">
            <v>727.02</v>
          </cell>
          <cell r="E674">
            <v>10</v>
          </cell>
          <cell r="F674">
            <v>29804.02</v>
          </cell>
          <cell r="H674">
            <v>2</v>
          </cell>
          <cell r="I674">
            <v>0</v>
          </cell>
          <cell r="J674">
            <v>927992.84</v>
          </cell>
          <cell r="K674">
            <v>2721602.58</v>
          </cell>
          <cell r="L674">
            <v>1793609.74</v>
          </cell>
          <cell r="M674">
            <v>0</v>
          </cell>
          <cell r="N674">
            <v>0</v>
          </cell>
          <cell r="O674" t="str">
            <v>Расчеты по принятым комм.плат. (счет закрывается на 1 феврал</v>
          </cell>
        </row>
        <row r="675">
          <cell r="A675">
            <v>9</v>
          </cell>
          <cell r="B675">
            <v>214</v>
          </cell>
          <cell r="C675">
            <v>7845</v>
          </cell>
          <cell r="D675">
            <v>727.02</v>
          </cell>
          <cell r="E675">
            <v>10</v>
          </cell>
          <cell r="F675">
            <v>29804.02</v>
          </cell>
          <cell r="H675">
            <v>2</v>
          </cell>
          <cell r="I675">
            <v>0</v>
          </cell>
          <cell r="J675">
            <v>124729.33</v>
          </cell>
          <cell r="K675">
            <v>560626.87</v>
          </cell>
          <cell r="L675">
            <v>435897.54</v>
          </cell>
          <cell r="M675">
            <v>0</v>
          </cell>
          <cell r="N675">
            <v>0</v>
          </cell>
          <cell r="O675" t="str">
            <v>Расчеты по принятым комм.плат. (счет закрывается на 1 феврал</v>
          </cell>
        </row>
        <row r="676">
          <cell r="A676">
            <v>9</v>
          </cell>
          <cell r="B676">
            <v>214</v>
          </cell>
          <cell r="C676">
            <v>7948</v>
          </cell>
          <cell r="D676">
            <v>727.02</v>
          </cell>
          <cell r="E676">
            <v>10</v>
          </cell>
          <cell r="F676">
            <v>29804.02</v>
          </cell>
          <cell r="H676">
            <v>2</v>
          </cell>
          <cell r="I676">
            <v>0</v>
          </cell>
          <cell r="J676">
            <v>1084029.8700000001</v>
          </cell>
          <cell r="K676">
            <v>1853052.03</v>
          </cell>
          <cell r="L676">
            <v>769022.16</v>
          </cell>
          <cell r="M676">
            <v>0</v>
          </cell>
          <cell r="N676">
            <v>0</v>
          </cell>
          <cell r="O676" t="str">
            <v>Расчеты по принятым комм.плат. (счет закрывается на 1 феврал</v>
          </cell>
        </row>
        <row r="677">
          <cell r="A677">
            <v>9</v>
          </cell>
          <cell r="B677">
            <v>214</v>
          </cell>
          <cell r="C677">
            <v>8002</v>
          </cell>
          <cell r="D677">
            <v>727.02</v>
          </cell>
          <cell r="E677">
            <v>10</v>
          </cell>
          <cell r="F677">
            <v>29804.02</v>
          </cell>
          <cell r="H677">
            <v>2</v>
          </cell>
          <cell r="I677">
            <v>0</v>
          </cell>
          <cell r="J677">
            <v>510444.5</v>
          </cell>
          <cell r="K677">
            <v>2087940.17</v>
          </cell>
          <cell r="L677">
            <v>1577495.67</v>
          </cell>
          <cell r="M677">
            <v>0</v>
          </cell>
          <cell r="N677">
            <v>0</v>
          </cell>
          <cell r="O677" t="str">
            <v>Расчеты по принятым комм.плат. (счет закрывается на 1 феврал</v>
          </cell>
        </row>
        <row r="678">
          <cell r="A678">
            <v>9</v>
          </cell>
          <cell r="B678">
            <v>214</v>
          </cell>
          <cell r="C678">
            <v>8104</v>
          </cell>
          <cell r="D678">
            <v>727.02</v>
          </cell>
          <cell r="E678">
            <v>10</v>
          </cell>
          <cell r="F678">
            <v>29804.02</v>
          </cell>
          <cell r="H678">
            <v>2</v>
          </cell>
          <cell r="I678">
            <v>0</v>
          </cell>
          <cell r="J678">
            <v>205377.25</v>
          </cell>
          <cell r="K678">
            <v>205377.25</v>
          </cell>
          <cell r="L678">
            <v>0</v>
          </cell>
          <cell r="M678">
            <v>0</v>
          </cell>
          <cell r="N678">
            <v>0</v>
          </cell>
          <cell r="O678" t="str">
            <v>Расчеты по принятым комм.плат. (счет закрывается на 1 феврал</v>
          </cell>
        </row>
        <row r="679">
          <cell r="A679">
            <v>9</v>
          </cell>
          <cell r="B679">
            <v>214</v>
          </cell>
          <cell r="C679">
            <v>8137</v>
          </cell>
          <cell r="D679">
            <v>727.02</v>
          </cell>
          <cell r="E679">
            <v>10</v>
          </cell>
          <cell r="F679">
            <v>29804.02</v>
          </cell>
          <cell r="H679">
            <v>2</v>
          </cell>
          <cell r="I679">
            <v>0</v>
          </cell>
          <cell r="J679">
            <v>55512</v>
          </cell>
          <cell r="K679">
            <v>854790.99</v>
          </cell>
          <cell r="L679">
            <v>799278.99</v>
          </cell>
          <cell r="M679">
            <v>0</v>
          </cell>
          <cell r="N679">
            <v>0</v>
          </cell>
          <cell r="O679" t="str">
            <v>Расчеты по принятым комм.плат. (счет закрывается на 1 феврал</v>
          </cell>
        </row>
        <row r="680">
          <cell r="A680">
            <v>9</v>
          </cell>
          <cell r="B680">
            <v>214</v>
          </cell>
          <cell r="C680">
            <v>8533</v>
          </cell>
          <cell r="D680">
            <v>727.02</v>
          </cell>
          <cell r="E680">
            <v>10</v>
          </cell>
          <cell r="F680">
            <v>29804.02</v>
          </cell>
          <cell r="H680">
            <v>2</v>
          </cell>
          <cell r="I680">
            <v>0</v>
          </cell>
          <cell r="J680">
            <v>4712730.2</v>
          </cell>
          <cell r="K680">
            <v>5740762.2000000002</v>
          </cell>
          <cell r="L680">
            <v>1028032</v>
          </cell>
          <cell r="M680">
            <v>0</v>
          </cell>
          <cell r="N680">
            <v>0</v>
          </cell>
          <cell r="O680" t="str">
            <v>Расчеты по принятым комм.плат. (счет закрывается на 1 феврал</v>
          </cell>
        </row>
        <row r="681">
          <cell r="A681">
            <v>9</v>
          </cell>
          <cell r="B681">
            <v>214</v>
          </cell>
          <cell r="C681">
            <v>8659</v>
          </cell>
          <cell r="D681">
            <v>727.02</v>
          </cell>
          <cell r="E681">
            <v>10</v>
          </cell>
          <cell r="F681">
            <v>29804.02</v>
          </cell>
          <cell r="H681">
            <v>2</v>
          </cell>
          <cell r="I681">
            <v>0</v>
          </cell>
          <cell r="J681">
            <v>544279.25</v>
          </cell>
          <cell r="K681">
            <v>958443.74</v>
          </cell>
          <cell r="L681">
            <v>414164.49</v>
          </cell>
          <cell r="M681">
            <v>0</v>
          </cell>
          <cell r="N681">
            <v>0</v>
          </cell>
          <cell r="O681" t="str">
            <v>Расчеты по принятым комм.плат. (счет закрывается на 1 феврал</v>
          </cell>
        </row>
        <row r="682">
          <cell r="A682">
            <v>9</v>
          </cell>
          <cell r="B682">
            <v>214</v>
          </cell>
          <cell r="C682">
            <v>3563</v>
          </cell>
          <cell r="D682">
            <v>727.03</v>
          </cell>
          <cell r="E682">
            <v>10</v>
          </cell>
          <cell r="F682">
            <v>29804.03</v>
          </cell>
          <cell r="H682">
            <v>2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 t="str">
            <v>Расчеты по выплате Госстраха</v>
          </cell>
        </row>
        <row r="683">
          <cell r="A683">
            <v>9</v>
          </cell>
          <cell r="B683">
            <v>214</v>
          </cell>
          <cell r="C683">
            <v>7783</v>
          </cell>
          <cell r="D683">
            <v>727.03</v>
          </cell>
          <cell r="E683">
            <v>10</v>
          </cell>
          <cell r="F683">
            <v>29804.03</v>
          </cell>
          <cell r="H683">
            <v>2</v>
          </cell>
          <cell r="I683">
            <v>0</v>
          </cell>
          <cell r="J683">
            <v>0</v>
          </cell>
          <cell r="K683">
            <v>104546.76</v>
          </cell>
          <cell r="L683">
            <v>104546.76</v>
          </cell>
          <cell r="M683">
            <v>0</v>
          </cell>
          <cell r="N683">
            <v>0</v>
          </cell>
          <cell r="O683" t="str">
            <v>Расчеты по выплате Госстраха</v>
          </cell>
        </row>
        <row r="684">
          <cell r="A684">
            <v>9</v>
          </cell>
          <cell r="B684">
            <v>214</v>
          </cell>
          <cell r="C684">
            <v>7845</v>
          </cell>
          <cell r="D684">
            <v>727.03</v>
          </cell>
          <cell r="E684">
            <v>10</v>
          </cell>
          <cell r="F684">
            <v>29804.03</v>
          </cell>
          <cell r="H684">
            <v>2</v>
          </cell>
          <cell r="I684">
            <v>0</v>
          </cell>
          <cell r="J684">
            <v>0</v>
          </cell>
          <cell r="K684">
            <v>827080.32</v>
          </cell>
          <cell r="L684">
            <v>831310.26</v>
          </cell>
          <cell r="M684">
            <v>0</v>
          </cell>
          <cell r="N684">
            <v>4229.9399999999996</v>
          </cell>
          <cell r="O684" t="str">
            <v>Расчеты по выплате Госстраха</v>
          </cell>
        </row>
        <row r="685">
          <cell r="A685">
            <v>9</v>
          </cell>
          <cell r="B685">
            <v>214</v>
          </cell>
          <cell r="C685">
            <v>8298</v>
          </cell>
          <cell r="D685">
            <v>727.03</v>
          </cell>
          <cell r="E685">
            <v>10</v>
          </cell>
          <cell r="F685">
            <v>29804.03</v>
          </cell>
          <cell r="H685">
            <v>2</v>
          </cell>
          <cell r="I685">
            <v>0</v>
          </cell>
          <cell r="J685">
            <v>1250</v>
          </cell>
          <cell r="K685">
            <v>0</v>
          </cell>
          <cell r="L685">
            <v>0</v>
          </cell>
          <cell r="M685">
            <v>0</v>
          </cell>
          <cell r="N685">
            <v>1250</v>
          </cell>
          <cell r="O685" t="str">
            <v>Расчеты по выплате Госстраха</v>
          </cell>
        </row>
        <row r="686">
          <cell r="A686">
            <v>9</v>
          </cell>
          <cell r="B686">
            <v>214</v>
          </cell>
          <cell r="C686">
            <v>8659</v>
          </cell>
          <cell r="D686">
            <v>727.03</v>
          </cell>
          <cell r="E686">
            <v>10</v>
          </cell>
          <cell r="F686">
            <v>29804.03</v>
          </cell>
          <cell r="H686">
            <v>2</v>
          </cell>
          <cell r="I686">
            <v>0</v>
          </cell>
          <cell r="J686">
            <v>590</v>
          </cell>
          <cell r="K686">
            <v>22570</v>
          </cell>
          <cell r="L686">
            <v>28120</v>
          </cell>
          <cell r="M686">
            <v>0</v>
          </cell>
          <cell r="N686">
            <v>6140</v>
          </cell>
          <cell r="O686" t="str">
            <v>Расчеты по выплате Госстраха</v>
          </cell>
        </row>
        <row r="687">
          <cell r="A687">
            <v>9</v>
          </cell>
          <cell r="B687">
            <v>214</v>
          </cell>
          <cell r="C687">
            <v>3563</v>
          </cell>
          <cell r="D687">
            <v>727.05</v>
          </cell>
          <cell r="E687">
            <v>10</v>
          </cell>
          <cell r="F687">
            <v>29804.05</v>
          </cell>
          <cell r="H687">
            <v>2</v>
          </cell>
          <cell r="I687">
            <v>0</v>
          </cell>
          <cell r="J687">
            <v>0</v>
          </cell>
          <cell r="K687">
            <v>10356240.08</v>
          </cell>
          <cell r="L687">
            <v>13296296.289999999</v>
          </cell>
          <cell r="M687">
            <v>0</v>
          </cell>
          <cell r="N687">
            <v>2940056.21</v>
          </cell>
          <cell r="O687" t="str">
            <v>Платежи от населения в пользу налоговых органов</v>
          </cell>
        </row>
        <row r="688">
          <cell r="A688">
            <v>9</v>
          </cell>
          <cell r="B688">
            <v>214</v>
          </cell>
          <cell r="C688">
            <v>5996</v>
          </cell>
          <cell r="D688">
            <v>727.05</v>
          </cell>
          <cell r="E688">
            <v>10</v>
          </cell>
          <cell r="F688">
            <v>29804.05</v>
          </cell>
          <cell r="H688">
            <v>2</v>
          </cell>
          <cell r="I688">
            <v>0</v>
          </cell>
          <cell r="J688">
            <v>0</v>
          </cell>
          <cell r="K688">
            <v>625167.77</v>
          </cell>
          <cell r="L688">
            <v>625167.77</v>
          </cell>
          <cell r="M688">
            <v>0</v>
          </cell>
          <cell r="N688">
            <v>0</v>
          </cell>
          <cell r="O688" t="str">
            <v>Платежи от населения в пользу налоговых органов</v>
          </cell>
        </row>
        <row r="689">
          <cell r="A689">
            <v>9</v>
          </cell>
          <cell r="B689">
            <v>214</v>
          </cell>
          <cell r="C689">
            <v>7783</v>
          </cell>
          <cell r="D689">
            <v>727.05</v>
          </cell>
          <cell r="E689">
            <v>10</v>
          </cell>
          <cell r="F689">
            <v>29804.05</v>
          </cell>
          <cell r="H689">
            <v>2</v>
          </cell>
          <cell r="I689">
            <v>0</v>
          </cell>
          <cell r="J689">
            <v>0</v>
          </cell>
          <cell r="K689">
            <v>3996526.46</v>
          </cell>
          <cell r="L689">
            <v>3996526.46</v>
          </cell>
          <cell r="M689">
            <v>0</v>
          </cell>
          <cell r="N689">
            <v>0</v>
          </cell>
          <cell r="O689" t="str">
            <v>Платежи от населения в пользу налоговых органов</v>
          </cell>
        </row>
        <row r="690">
          <cell r="A690">
            <v>9</v>
          </cell>
          <cell r="B690">
            <v>214</v>
          </cell>
          <cell r="C690">
            <v>7948</v>
          </cell>
          <cell r="D690">
            <v>727.05</v>
          </cell>
          <cell r="E690">
            <v>10</v>
          </cell>
          <cell r="F690">
            <v>29804.05</v>
          </cell>
          <cell r="H690">
            <v>2</v>
          </cell>
          <cell r="I690">
            <v>0</v>
          </cell>
          <cell r="J690">
            <v>0</v>
          </cell>
          <cell r="K690">
            <v>142967.42000000001</v>
          </cell>
          <cell r="L690">
            <v>142967.42000000001</v>
          </cell>
          <cell r="M690">
            <v>0</v>
          </cell>
          <cell r="N690">
            <v>0</v>
          </cell>
          <cell r="O690" t="str">
            <v>Платежи от населения в пользу налоговых органов</v>
          </cell>
        </row>
        <row r="691">
          <cell r="A691">
            <v>9</v>
          </cell>
          <cell r="B691">
            <v>214</v>
          </cell>
          <cell r="C691">
            <v>8104</v>
          </cell>
          <cell r="D691">
            <v>727.05</v>
          </cell>
          <cell r="E691">
            <v>10</v>
          </cell>
          <cell r="F691">
            <v>29804.05</v>
          </cell>
          <cell r="H691">
            <v>2</v>
          </cell>
          <cell r="I691">
            <v>0</v>
          </cell>
          <cell r="J691">
            <v>0</v>
          </cell>
          <cell r="K691">
            <v>186894</v>
          </cell>
          <cell r="L691">
            <v>186894</v>
          </cell>
          <cell r="M691">
            <v>0</v>
          </cell>
          <cell r="N691">
            <v>0</v>
          </cell>
          <cell r="O691" t="str">
            <v>Платежи от населения в пользу налоговых органов</v>
          </cell>
        </row>
        <row r="692">
          <cell r="A692">
            <v>9</v>
          </cell>
          <cell r="B692">
            <v>214</v>
          </cell>
          <cell r="C692">
            <v>8659</v>
          </cell>
          <cell r="D692">
            <v>727.05</v>
          </cell>
          <cell r="E692">
            <v>10</v>
          </cell>
          <cell r="F692">
            <v>29804.05</v>
          </cell>
          <cell r="H692">
            <v>2</v>
          </cell>
          <cell r="I692">
            <v>0</v>
          </cell>
          <cell r="J692">
            <v>0</v>
          </cell>
          <cell r="K692">
            <v>122835</v>
          </cell>
          <cell r="L692">
            <v>122835</v>
          </cell>
          <cell r="M692">
            <v>0</v>
          </cell>
          <cell r="N692">
            <v>0</v>
          </cell>
          <cell r="O692" t="str">
            <v>Платежи от населения в пользу налоговых органов</v>
          </cell>
        </row>
        <row r="693">
          <cell r="A693">
            <v>9</v>
          </cell>
          <cell r="B693">
            <v>214</v>
          </cell>
          <cell r="C693">
            <v>3563</v>
          </cell>
          <cell r="D693">
            <v>727.06</v>
          </cell>
          <cell r="E693">
            <v>10</v>
          </cell>
          <cell r="F693">
            <v>29804.06</v>
          </cell>
          <cell r="H693">
            <v>2</v>
          </cell>
          <cell r="I693">
            <v>0</v>
          </cell>
          <cell r="J693">
            <v>0</v>
          </cell>
          <cell r="K693">
            <v>18000</v>
          </cell>
          <cell r="L693">
            <v>18000</v>
          </cell>
          <cell r="M693">
            <v>0</v>
          </cell>
          <cell r="N693">
            <v>0</v>
          </cell>
          <cell r="O693" t="str">
            <v>Платежи от населения в пользу других бюджетных организаций</v>
          </cell>
        </row>
        <row r="694">
          <cell r="A694">
            <v>9</v>
          </cell>
          <cell r="B694">
            <v>214</v>
          </cell>
          <cell r="C694">
            <v>5996</v>
          </cell>
          <cell r="D694">
            <v>727.06</v>
          </cell>
          <cell r="E694">
            <v>10</v>
          </cell>
          <cell r="F694">
            <v>29804.06</v>
          </cell>
          <cell r="H694">
            <v>2</v>
          </cell>
          <cell r="I694">
            <v>0</v>
          </cell>
          <cell r="J694">
            <v>0</v>
          </cell>
          <cell r="K694">
            <v>16527943.34</v>
          </cell>
          <cell r="L694">
            <v>17712838.510000002</v>
          </cell>
          <cell r="M694">
            <v>0</v>
          </cell>
          <cell r="N694">
            <v>1184895.17</v>
          </cell>
          <cell r="O694" t="str">
            <v>Платежи от населения в пользу других бюджетных организаций</v>
          </cell>
        </row>
        <row r="695">
          <cell r="A695">
            <v>9</v>
          </cell>
          <cell r="B695">
            <v>214</v>
          </cell>
          <cell r="C695">
            <v>7783</v>
          </cell>
          <cell r="D695">
            <v>727.06</v>
          </cell>
          <cell r="E695">
            <v>10</v>
          </cell>
          <cell r="F695">
            <v>29804.06</v>
          </cell>
          <cell r="H695">
            <v>2</v>
          </cell>
          <cell r="I695">
            <v>0</v>
          </cell>
          <cell r="J695">
            <v>0</v>
          </cell>
          <cell r="K695">
            <v>7004374.8200000003</v>
          </cell>
          <cell r="L695">
            <v>7242961.0199999996</v>
          </cell>
          <cell r="M695">
            <v>0</v>
          </cell>
          <cell r="N695">
            <v>238586.2</v>
          </cell>
          <cell r="O695" t="str">
            <v>Платежи от населения в пользу других бюджетных организаций</v>
          </cell>
        </row>
        <row r="696">
          <cell r="A696">
            <v>9</v>
          </cell>
          <cell r="B696">
            <v>214</v>
          </cell>
          <cell r="C696">
            <v>7845</v>
          </cell>
          <cell r="D696">
            <v>727.06</v>
          </cell>
          <cell r="E696">
            <v>10</v>
          </cell>
          <cell r="F696">
            <v>29804.06</v>
          </cell>
          <cell r="H696">
            <v>2</v>
          </cell>
          <cell r="I696">
            <v>0</v>
          </cell>
          <cell r="J696">
            <v>0</v>
          </cell>
          <cell r="K696">
            <v>3294916.34</v>
          </cell>
          <cell r="L696">
            <v>3298369.98</v>
          </cell>
          <cell r="M696">
            <v>0</v>
          </cell>
          <cell r="N696">
            <v>3453.64</v>
          </cell>
          <cell r="O696" t="str">
            <v>Платежи от населения в пользу других бюджетных организаций</v>
          </cell>
        </row>
        <row r="697">
          <cell r="A697">
            <v>9</v>
          </cell>
          <cell r="B697">
            <v>214</v>
          </cell>
          <cell r="C697">
            <v>7948</v>
          </cell>
          <cell r="D697">
            <v>727.06</v>
          </cell>
          <cell r="E697">
            <v>10</v>
          </cell>
          <cell r="F697">
            <v>29804.06</v>
          </cell>
          <cell r="H697">
            <v>2</v>
          </cell>
          <cell r="I697">
            <v>0</v>
          </cell>
          <cell r="J697">
            <v>0</v>
          </cell>
          <cell r="K697">
            <v>4307263.13</v>
          </cell>
          <cell r="L697">
            <v>4307263.13</v>
          </cell>
          <cell r="M697">
            <v>0</v>
          </cell>
          <cell r="N697">
            <v>0</v>
          </cell>
          <cell r="O697" t="str">
            <v>Платежи от населения в пользу других бюджетных организаций</v>
          </cell>
        </row>
        <row r="698">
          <cell r="A698">
            <v>9</v>
          </cell>
          <cell r="B698">
            <v>214</v>
          </cell>
          <cell r="C698">
            <v>8002</v>
          </cell>
          <cell r="D698">
            <v>727.06</v>
          </cell>
          <cell r="E698">
            <v>10</v>
          </cell>
          <cell r="F698">
            <v>29804.06</v>
          </cell>
          <cell r="H698">
            <v>2</v>
          </cell>
          <cell r="I698">
            <v>0</v>
          </cell>
          <cell r="J698">
            <v>0</v>
          </cell>
          <cell r="K698">
            <v>4154332.77</v>
          </cell>
          <cell r="L698">
            <v>4187428.08</v>
          </cell>
          <cell r="M698">
            <v>0</v>
          </cell>
          <cell r="N698">
            <v>33095.31</v>
          </cell>
          <cell r="O698" t="str">
            <v>Платежи от населения в пользу других бюджетных организаций</v>
          </cell>
        </row>
        <row r="699">
          <cell r="A699">
            <v>9</v>
          </cell>
          <cell r="B699">
            <v>214</v>
          </cell>
          <cell r="C699">
            <v>8104</v>
          </cell>
          <cell r="D699">
            <v>727.06</v>
          </cell>
          <cell r="E699">
            <v>10</v>
          </cell>
          <cell r="F699">
            <v>29804.06</v>
          </cell>
          <cell r="H699">
            <v>2</v>
          </cell>
          <cell r="I699">
            <v>0</v>
          </cell>
          <cell r="J699">
            <v>0</v>
          </cell>
          <cell r="K699">
            <v>3095760</v>
          </cell>
          <cell r="L699">
            <v>3095961</v>
          </cell>
          <cell r="M699">
            <v>0</v>
          </cell>
          <cell r="N699">
            <v>201</v>
          </cell>
          <cell r="O699" t="str">
            <v>Платежи от населения в пользу других бюджетных организаций</v>
          </cell>
        </row>
        <row r="700">
          <cell r="A700">
            <v>9</v>
          </cell>
          <cell r="B700">
            <v>214</v>
          </cell>
          <cell r="C700">
            <v>8137</v>
          </cell>
          <cell r="D700">
            <v>727.06</v>
          </cell>
          <cell r="E700">
            <v>10</v>
          </cell>
          <cell r="F700">
            <v>29804.06</v>
          </cell>
          <cell r="H700">
            <v>2</v>
          </cell>
          <cell r="I700">
            <v>0</v>
          </cell>
          <cell r="J700">
            <v>0</v>
          </cell>
          <cell r="K700">
            <v>1290334.8</v>
          </cell>
          <cell r="L700">
            <v>1290334.8</v>
          </cell>
          <cell r="M700">
            <v>0</v>
          </cell>
          <cell r="N700">
            <v>0</v>
          </cell>
          <cell r="O700" t="str">
            <v>Платежи от населения в пользу других бюджетных организаций</v>
          </cell>
        </row>
        <row r="701">
          <cell r="A701">
            <v>9</v>
          </cell>
          <cell r="B701">
            <v>214</v>
          </cell>
          <cell r="C701">
            <v>8298</v>
          </cell>
          <cell r="D701">
            <v>727.06</v>
          </cell>
          <cell r="E701">
            <v>10</v>
          </cell>
          <cell r="F701">
            <v>29804.06</v>
          </cell>
          <cell r="H701">
            <v>2</v>
          </cell>
          <cell r="I701">
            <v>0</v>
          </cell>
          <cell r="J701">
            <v>0</v>
          </cell>
          <cell r="K701">
            <v>8394150.4700000007</v>
          </cell>
          <cell r="L701">
            <v>8839100.1999999993</v>
          </cell>
          <cell r="M701">
            <v>0</v>
          </cell>
          <cell r="N701">
            <v>444949.73</v>
          </cell>
          <cell r="O701" t="str">
            <v>Платежи от населения в пользу других бюджетных организаций</v>
          </cell>
        </row>
        <row r="702">
          <cell r="A702">
            <v>9</v>
          </cell>
          <cell r="B702">
            <v>214</v>
          </cell>
          <cell r="C702">
            <v>8533</v>
          </cell>
          <cell r="D702">
            <v>727.06</v>
          </cell>
          <cell r="E702">
            <v>10</v>
          </cell>
          <cell r="F702">
            <v>29804.06</v>
          </cell>
          <cell r="H702">
            <v>2</v>
          </cell>
          <cell r="I702">
            <v>0</v>
          </cell>
          <cell r="J702">
            <v>0</v>
          </cell>
          <cell r="K702">
            <v>1002479</v>
          </cell>
          <cell r="L702">
            <v>1002479</v>
          </cell>
          <cell r="M702">
            <v>0</v>
          </cell>
          <cell r="N702">
            <v>0</v>
          </cell>
          <cell r="O702" t="str">
            <v>Платежи от населения в пользу других бюджетных организаций</v>
          </cell>
        </row>
        <row r="703">
          <cell r="A703">
            <v>9</v>
          </cell>
          <cell r="B703">
            <v>214</v>
          </cell>
          <cell r="C703">
            <v>8659</v>
          </cell>
          <cell r="D703">
            <v>727.06</v>
          </cell>
          <cell r="E703">
            <v>10</v>
          </cell>
          <cell r="F703">
            <v>29804.06</v>
          </cell>
          <cell r="H703">
            <v>2</v>
          </cell>
          <cell r="I703">
            <v>0</v>
          </cell>
          <cell r="J703">
            <v>0</v>
          </cell>
          <cell r="K703">
            <v>1843366.75</v>
          </cell>
          <cell r="L703">
            <v>1922865.75</v>
          </cell>
          <cell r="M703">
            <v>0</v>
          </cell>
          <cell r="N703">
            <v>79499</v>
          </cell>
          <cell r="O703" t="str">
            <v>Платежи от населения в пользу других бюджетных организаций</v>
          </cell>
        </row>
        <row r="704">
          <cell r="A704">
            <v>9</v>
          </cell>
          <cell r="B704">
            <v>214</v>
          </cell>
          <cell r="C704">
            <v>3563</v>
          </cell>
          <cell r="D704">
            <v>727.07</v>
          </cell>
          <cell r="E704">
            <v>10</v>
          </cell>
          <cell r="F704">
            <v>29804.07</v>
          </cell>
          <cell r="H704">
            <v>2</v>
          </cell>
          <cell r="I704">
            <v>0</v>
          </cell>
          <cell r="J704">
            <v>0</v>
          </cell>
          <cell r="K704">
            <v>2429194.09</v>
          </cell>
          <cell r="L704">
            <v>2437463.4700000002</v>
          </cell>
          <cell r="M704">
            <v>0</v>
          </cell>
          <cell r="N704">
            <v>8269.3799999999992</v>
          </cell>
          <cell r="O704" t="str">
            <v>Коммун. платежи от населения за квартплату</v>
          </cell>
        </row>
        <row r="705">
          <cell r="A705">
            <v>9</v>
          </cell>
          <cell r="B705">
            <v>214</v>
          </cell>
          <cell r="C705">
            <v>5996</v>
          </cell>
          <cell r="D705">
            <v>727.07</v>
          </cell>
          <cell r="E705">
            <v>10</v>
          </cell>
          <cell r="F705">
            <v>29804.07</v>
          </cell>
          <cell r="H705">
            <v>2</v>
          </cell>
          <cell r="I705">
            <v>0</v>
          </cell>
          <cell r="J705">
            <v>0</v>
          </cell>
          <cell r="K705">
            <v>312764.55</v>
          </cell>
          <cell r="L705">
            <v>329014.21999999997</v>
          </cell>
          <cell r="M705">
            <v>0</v>
          </cell>
          <cell r="N705">
            <v>16249.67</v>
          </cell>
          <cell r="O705" t="str">
            <v>Коммун. платежи от населения за квартплату</v>
          </cell>
        </row>
        <row r="706">
          <cell r="A706">
            <v>9</v>
          </cell>
          <cell r="B706">
            <v>214</v>
          </cell>
          <cell r="C706">
            <v>7783</v>
          </cell>
          <cell r="D706">
            <v>727.07</v>
          </cell>
          <cell r="E706">
            <v>10</v>
          </cell>
          <cell r="F706">
            <v>29804.07</v>
          </cell>
          <cell r="H706">
            <v>2</v>
          </cell>
          <cell r="I706">
            <v>0</v>
          </cell>
          <cell r="J706">
            <v>0</v>
          </cell>
          <cell r="K706">
            <v>283913.36</v>
          </cell>
          <cell r="L706">
            <v>283913.36</v>
          </cell>
          <cell r="M706">
            <v>0</v>
          </cell>
          <cell r="N706">
            <v>0</v>
          </cell>
          <cell r="O706" t="str">
            <v>Коммун. платежи от населения за квартплату</v>
          </cell>
        </row>
        <row r="707">
          <cell r="A707">
            <v>9</v>
          </cell>
          <cell r="B707">
            <v>214</v>
          </cell>
          <cell r="C707">
            <v>7845</v>
          </cell>
          <cell r="D707">
            <v>727.07</v>
          </cell>
          <cell r="E707">
            <v>10</v>
          </cell>
          <cell r="F707">
            <v>29804.07</v>
          </cell>
          <cell r="H707">
            <v>2</v>
          </cell>
          <cell r="I707">
            <v>0</v>
          </cell>
          <cell r="J707">
            <v>0</v>
          </cell>
          <cell r="K707">
            <v>58871</v>
          </cell>
          <cell r="L707">
            <v>58871</v>
          </cell>
          <cell r="M707">
            <v>0</v>
          </cell>
          <cell r="N707">
            <v>0</v>
          </cell>
          <cell r="O707" t="str">
            <v>Коммун. платежи от населения за квартплату</v>
          </cell>
        </row>
        <row r="708">
          <cell r="A708">
            <v>9</v>
          </cell>
          <cell r="B708">
            <v>214</v>
          </cell>
          <cell r="C708">
            <v>8137</v>
          </cell>
          <cell r="D708">
            <v>727.07</v>
          </cell>
          <cell r="E708">
            <v>10</v>
          </cell>
          <cell r="F708">
            <v>29804.07</v>
          </cell>
          <cell r="H708">
            <v>2</v>
          </cell>
          <cell r="I708">
            <v>0</v>
          </cell>
          <cell r="J708">
            <v>0</v>
          </cell>
          <cell r="K708">
            <v>53880</v>
          </cell>
          <cell r="L708">
            <v>53880</v>
          </cell>
          <cell r="M708">
            <v>0</v>
          </cell>
          <cell r="N708">
            <v>0</v>
          </cell>
          <cell r="O708" t="str">
            <v>Коммун. платежи от населения за квартплату</v>
          </cell>
        </row>
        <row r="709">
          <cell r="A709">
            <v>9</v>
          </cell>
          <cell r="B709">
            <v>214</v>
          </cell>
          <cell r="C709">
            <v>8533</v>
          </cell>
          <cell r="D709">
            <v>727.07</v>
          </cell>
          <cell r="E709">
            <v>10</v>
          </cell>
          <cell r="F709">
            <v>29804.07</v>
          </cell>
          <cell r="H709">
            <v>2</v>
          </cell>
          <cell r="I709">
            <v>0</v>
          </cell>
          <cell r="J709">
            <v>0</v>
          </cell>
          <cell r="K709">
            <v>2820256</v>
          </cell>
          <cell r="L709">
            <v>6811999.0300000003</v>
          </cell>
          <cell r="M709">
            <v>0</v>
          </cell>
          <cell r="N709">
            <v>3991743.03</v>
          </cell>
          <cell r="O709" t="str">
            <v>Коммун. платежи от населения за квартплату</v>
          </cell>
        </row>
        <row r="710">
          <cell r="A710">
            <v>9</v>
          </cell>
          <cell r="B710">
            <v>214</v>
          </cell>
          <cell r="C710">
            <v>3563</v>
          </cell>
          <cell r="D710">
            <v>727.08</v>
          </cell>
          <cell r="E710">
            <v>10</v>
          </cell>
          <cell r="F710">
            <v>29804.080000000002</v>
          </cell>
          <cell r="H710">
            <v>2</v>
          </cell>
          <cell r="I710">
            <v>0</v>
          </cell>
          <cell r="J710">
            <v>0</v>
          </cell>
          <cell r="K710">
            <v>4800074.49</v>
          </cell>
          <cell r="L710">
            <v>4841416.67</v>
          </cell>
          <cell r="M710">
            <v>0</v>
          </cell>
          <cell r="N710">
            <v>41342.18</v>
          </cell>
          <cell r="O710" t="str">
            <v>Коммун. платежи от населения за электроэнергию</v>
          </cell>
        </row>
        <row r="711">
          <cell r="A711">
            <v>9</v>
          </cell>
          <cell r="B711">
            <v>214</v>
          </cell>
          <cell r="C711">
            <v>5996</v>
          </cell>
          <cell r="D711">
            <v>727.08</v>
          </cell>
          <cell r="E711">
            <v>10</v>
          </cell>
          <cell r="F711">
            <v>29804.080000000002</v>
          </cell>
          <cell r="H711">
            <v>2</v>
          </cell>
          <cell r="I711">
            <v>0</v>
          </cell>
          <cell r="J711">
            <v>0</v>
          </cell>
          <cell r="K711">
            <v>1468442.61</v>
          </cell>
          <cell r="L711">
            <v>1570386.41</v>
          </cell>
          <cell r="M711">
            <v>0</v>
          </cell>
          <cell r="N711">
            <v>101943.8</v>
          </cell>
          <cell r="O711" t="str">
            <v>Коммун. платежи от населения за электроэнергию</v>
          </cell>
        </row>
        <row r="712">
          <cell r="A712">
            <v>9</v>
          </cell>
          <cell r="B712">
            <v>214</v>
          </cell>
          <cell r="C712">
            <v>7783</v>
          </cell>
          <cell r="D712">
            <v>727.08</v>
          </cell>
          <cell r="E712">
            <v>10</v>
          </cell>
          <cell r="F712">
            <v>29804.080000000002</v>
          </cell>
          <cell r="H712">
            <v>2</v>
          </cell>
          <cell r="I712">
            <v>0</v>
          </cell>
          <cell r="J712">
            <v>0</v>
          </cell>
          <cell r="K712">
            <v>1068282.42</v>
          </cell>
          <cell r="L712">
            <v>1068282.42</v>
          </cell>
          <cell r="M712">
            <v>0</v>
          </cell>
          <cell r="N712">
            <v>0</v>
          </cell>
          <cell r="O712" t="str">
            <v>Коммун. платежи от населения за электроэнергию</v>
          </cell>
        </row>
        <row r="713">
          <cell r="A713">
            <v>9</v>
          </cell>
          <cell r="B713">
            <v>214</v>
          </cell>
          <cell r="C713">
            <v>7845</v>
          </cell>
          <cell r="D713">
            <v>727.08</v>
          </cell>
          <cell r="E713">
            <v>10</v>
          </cell>
          <cell r="F713">
            <v>29804.080000000002</v>
          </cell>
          <cell r="H713">
            <v>2</v>
          </cell>
          <cell r="I713">
            <v>0</v>
          </cell>
          <cell r="J713">
            <v>0</v>
          </cell>
          <cell r="K713">
            <v>178977.25</v>
          </cell>
          <cell r="L713">
            <v>179092.75</v>
          </cell>
          <cell r="M713">
            <v>0</v>
          </cell>
          <cell r="N713">
            <v>115.5</v>
          </cell>
          <cell r="O713" t="str">
            <v>Коммун. платежи от населения за электроэнергию</v>
          </cell>
        </row>
        <row r="714">
          <cell r="A714">
            <v>9</v>
          </cell>
          <cell r="B714">
            <v>214</v>
          </cell>
          <cell r="C714">
            <v>7948</v>
          </cell>
          <cell r="D714">
            <v>727.08</v>
          </cell>
          <cell r="E714">
            <v>10</v>
          </cell>
          <cell r="F714">
            <v>29804.080000000002</v>
          </cell>
          <cell r="H714">
            <v>2</v>
          </cell>
          <cell r="I714">
            <v>0</v>
          </cell>
          <cell r="J714">
            <v>0</v>
          </cell>
          <cell r="K714">
            <v>2864808.93</v>
          </cell>
          <cell r="L714">
            <v>2864808.93</v>
          </cell>
          <cell r="M714">
            <v>0</v>
          </cell>
          <cell r="N714">
            <v>0</v>
          </cell>
          <cell r="O714" t="str">
            <v>Коммун. платежи от населения за электроэнергию</v>
          </cell>
        </row>
        <row r="715">
          <cell r="A715">
            <v>9</v>
          </cell>
          <cell r="B715">
            <v>214</v>
          </cell>
          <cell r="C715">
            <v>8104</v>
          </cell>
          <cell r="D715">
            <v>727.08</v>
          </cell>
          <cell r="E715">
            <v>10</v>
          </cell>
          <cell r="F715">
            <v>29804.080000000002</v>
          </cell>
          <cell r="H715">
            <v>2</v>
          </cell>
          <cell r="I715">
            <v>0</v>
          </cell>
          <cell r="J715">
            <v>0</v>
          </cell>
          <cell r="K715">
            <v>8538</v>
          </cell>
          <cell r="L715">
            <v>8538</v>
          </cell>
          <cell r="M715">
            <v>0</v>
          </cell>
          <cell r="N715">
            <v>0</v>
          </cell>
          <cell r="O715" t="str">
            <v>Коммун. платежи от населения за электроэнергию</v>
          </cell>
        </row>
        <row r="716">
          <cell r="A716">
            <v>9</v>
          </cell>
          <cell r="B716">
            <v>214</v>
          </cell>
          <cell r="C716">
            <v>8137</v>
          </cell>
          <cell r="D716">
            <v>727.08</v>
          </cell>
          <cell r="E716">
            <v>10</v>
          </cell>
          <cell r="F716">
            <v>29804.080000000002</v>
          </cell>
          <cell r="H716">
            <v>2</v>
          </cell>
          <cell r="I716">
            <v>0</v>
          </cell>
          <cell r="J716">
            <v>0</v>
          </cell>
          <cell r="K716">
            <v>2850109.55</v>
          </cell>
          <cell r="L716">
            <v>2850109.55</v>
          </cell>
          <cell r="M716">
            <v>0</v>
          </cell>
          <cell r="N716">
            <v>0</v>
          </cell>
          <cell r="O716" t="str">
            <v>Коммун. платежи от населения за электроэнергию</v>
          </cell>
        </row>
        <row r="717">
          <cell r="A717">
            <v>9</v>
          </cell>
          <cell r="B717">
            <v>214</v>
          </cell>
          <cell r="C717">
            <v>8298</v>
          </cell>
          <cell r="D717">
            <v>727.08</v>
          </cell>
          <cell r="E717">
            <v>10</v>
          </cell>
          <cell r="F717">
            <v>29804.080000000002</v>
          </cell>
          <cell r="H717">
            <v>2</v>
          </cell>
          <cell r="I717">
            <v>0</v>
          </cell>
          <cell r="J717">
            <v>0</v>
          </cell>
          <cell r="K717">
            <v>89269.7</v>
          </cell>
          <cell r="L717">
            <v>90455.45</v>
          </cell>
          <cell r="M717">
            <v>0</v>
          </cell>
          <cell r="N717">
            <v>1185.75</v>
          </cell>
          <cell r="O717" t="str">
            <v>Коммун. платежи от населения за электроэнергию</v>
          </cell>
        </row>
        <row r="718">
          <cell r="A718">
            <v>9</v>
          </cell>
          <cell r="B718">
            <v>214</v>
          </cell>
          <cell r="C718">
            <v>8533</v>
          </cell>
          <cell r="D718">
            <v>727.08</v>
          </cell>
          <cell r="E718">
            <v>10</v>
          </cell>
          <cell r="F718">
            <v>29804.080000000002</v>
          </cell>
          <cell r="H718">
            <v>2</v>
          </cell>
          <cell r="I718">
            <v>0</v>
          </cell>
          <cell r="J718">
            <v>0</v>
          </cell>
          <cell r="K718">
            <v>1286322</v>
          </cell>
          <cell r="L718">
            <v>1322819.5</v>
          </cell>
          <cell r="M718">
            <v>0</v>
          </cell>
          <cell r="N718">
            <v>36497.5</v>
          </cell>
          <cell r="O718" t="str">
            <v>Коммун. платежи от населения за электроэнергию</v>
          </cell>
        </row>
        <row r="719">
          <cell r="A719">
            <v>9</v>
          </cell>
          <cell r="B719">
            <v>214</v>
          </cell>
          <cell r="C719">
            <v>8659</v>
          </cell>
          <cell r="D719">
            <v>727.08</v>
          </cell>
          <cell r="E719">
            <v>10</v>
          </cell>
          <cell r="F719">
            <v>29804.080000000002</v>
          </cell>
          <cell r="H719">
            <v>2</v>
          </cell>
          <cell r="I719">
            <v>0</v>
          </cell>
          <cell r="J719">
            <v>0</v>
          </cell>
          <cell r="K719">
            <v>1455621.6</v>
          </cell>
          <cell r="L719">
            <v>1525498.6</v>
          </cell>
          <cell r="M719">
            <v>0</v>
          </cell>
          <cell r="N719">
            <v>69877</v>
          </cell>
          <cell r="O719" t="str">
            <v>Коммун. платежи от населения за электроэнергию</v>
          </cell>
        </row>
        <row r="720">
          <cell r="A720">
            <v>9</v>
          </cell>
          <cell r="B720">
            <v>214</v>
          </cell>
          <cell r="C720">
            <v>3563</v>
          </cell>
          <cell r="D720">
            <v>727.09</v>
          </cell>
          <cell r="E720">
            <v>10</v>
          </cell>
          <cell r="F720">
            <v>29804.09</v>
          </cell>
          <cell r="H720">
            <v>2</v>
          </cell>
          <cell r="I720">
            <v>0</v>
          </cell>
          <cell r="J720">
            <v>0</v>
          </cell>
          <cell r="K720">
            <v>19335297.43</v>
          </cell>
          <cell r="L720">
            <v>19388245.170000002</v>
          </cell>
          <cell r="M720">
            <v>0</v>
          </cell>
          <cell r="N720">
            <v>52947.74</v>
          </cell>
          <cell r="O720" t="str">
            <v>Коммун. платежи от населения за газ и воду</v>
          </cell>
        </row>
        <row r="721">
          <cell r="A721">
            <v>9</v>
          </cell>
          <cell r="B721">
            <v>214</v>
          </cell>
          <cell r="C721">
            <v>5996</v>
          </cell>
          <cell r="D721">
            <v>727.09</v>
          </cell>
          <cell r="E721">
            <v>10</v>
          </cell>
          <cell r="F721">
            <v>29804.09</v>
          </cell>
          <cell r="H721">
            <v>2</v>
          </cell>
          <cell r="I721">
            <v>0</v>
          </cell>
          <cell r="J721">
            <v>0</v>
          </cell>
          <cell r="K721">
            <v>7939580.5</v>
          </cell>
          <cell r="L721">
            <v>8296137.9000000004</v>
          </cell>
          <cell r="M721">
            <v>0</v>
          </cell>
          <cell r="N721">
            <v>356557.4</v>
          </cell>
          <cell r="O721" t="str">
            <v>Коммун. платежи от населения за газ и воду</v>
          </cell>
        </row>
        <row r="722">
          <cell r="A722">
            <v>9</v>
          </cell>
          <cell r="B722">
            <v>214</v>
          </cell>
          <cell r="C722">
            <v>7783</v>
          </cell>
          <cell r="D722">
            <v>727.09</v>
          </cell>
          <cell r="E722">
            <v>10</v>
          </cell>
          <cell r="F722">
            <v>29804.09</v>
          </cell>
          <cell r="H722">
            <v>2</v>
          </cell>
          <cell r="I722">
            <v>0</v>
          </cell>
          <cell r="J722">
            <v>0</v>
          </cell>
          <cell r="K722">
            <v>1302378.5900000001</v>
          </cell>
          <cell r="L722">
            <v>1302378.5900000001</v>
          </cell>
          <cell r="M722">
            <v>0</v>
          </cell>
          <cell r="N722">
            <v>0</v>
          </cell>
          <cell r="O722" t="str">
            <v>Коммун. платежи от населения за газ и воду</v>
          </cell>
        </row>
        <row r="723">
          <cell r="A723">
            <v>9</v>
          </cell>
          <cell r="B723">
            <v>214</v>
          </cell>
          <cell r="C723">
            <v>7845</v>
          </cell>
          <cell r="D723">
            <v>727.09</v>
          </cell>
          <cell r="E723">
            <v>10</v>
          </cell>
          <cell r="F723">
            <v>29804.09</v>
          </cell>
          <cell r="H723">
            <v>2</v>
          </cell>
          <cell r="I723">
            <v>0</v>
          </cell>
          <cell r="J723">
            <v>0</v>
          </cell>
          <cell r="K723">
            <v>1158436.46</v>
          </cell>
          <cell r="L723">
            <v>1158436.52</v>
          </cell>
          <cell r="M723">
            <v>0</v>
          </cell>
          <cell r="N723">
            <v>0.06</v>
          </cell>
          <cell r="O723" t="str">
            <v>Коммун. платежи от населения за газ и воду</v>
          </cell>
        </row>
        <row r="724">
          <cell r="A724">
            <v>9</v>
          </cell>
          <cell r="B724">
            <v>214</v>
          </cell>
          <cell r="C724">
            <v>7948</v>
          </cell>
          <cell r="D724">
            <v>727.09</v>
          </cell>
          <cell r="E724">
            <v>10</v>
          </cell>
          <cell r="F724">
            <v>29804.09</v>
          </cell>
          <cell r="H724">
            <v>2</v>
          </cell>
          <cell r="I724">
            <v>0</v>
          </cell>
          <cell r="J724">
            <v>0</v>
          </cell>
          <cell r="K724">
            <v>1034164.97</v>
          </cell>
          <cell r="L724">
            <v>1034164.97</v>
          </cell>
          <cell r="M724">
            <v>0</v>
          </cell>
          <cell r="N724">
            <v>0</v>
          </cell>
          <cell r="O724" t="str">
            <v>Коммун. платежи от населения за газ и воду</v>
          </cell>
        </row>
        <row r="725">
          <cell r="A725">
            <v>9</v>
          </cell>
          <cell r="B725">
            <v>214</v>
          </cell>
          <cell r="C725">
            <v>8002</v>
          </cell>
          <cell r="D725">
            <v>727.09</v>
          </cell>
          <cell r="E725">
            <v>10</v>
          </cell>
          <cell r="F725">
            <v>29804.09</v>
          </cell>
          <cell r="H725">
            <v>2</v>
          </cell>
          <cell r="I725">
            <v>0</v>
          </cell>
          <cell r="J725">
            <v>0</v>
          </cell>
          <cell r="K725">
            <v>1614502.31</v>
          </cell>
          <cell r="L725">
            <v>1620610.31</v>
          </cell>
          <cell r="M725">
            <v>0</v>
          </cell>
          <cell r="N725">
            <v>6108</v>
          </cell>
          <cell r="O725" t="str">
            <v>Коммун. платежи от населения за газ и воду</v>
          </cell>
        </row>
        <row r="726">
          <cell r="A726">
            <v>9</v>
          </cell>
          <cell r="B726">
            <v>214</v>
          </cell>
          <cell r="C726">
            <v>8104</v>
          </cell>
          <cell r="D726">
            <v>727.09</v>
          </cell>
          <cell r="E726">
            <v>10</v>
          </cell>
          <cell r="F726">
            <v>29804.09</v>
          </cell>
          <cell r="H726">
            <v>2</v>
          </cell>
          <cell r="I726">
            <v>0</v>
          </cell>
          <cell r="J726">
            <v>0</v>
          </cell>
          <cell r="K726">
            <v>50911</v>
          </cell>
          <cell r="L726">
            <v>50911</v>
          </cell>
          <cell r="M726">
            <v>0</v>
          </cell>
          <cell r="N726">
            <v>0</v>
          </cell>
          <cell r="O726" t="str">
            <v>Коммун. платежи от населения за газ и воду</v>
          </cell>
        </row>
        <row r="727">
          <cell r="A727">
            <v>9</v>
          </cell>
          <cell r="B727">
            <v>214</v>
          </cell>
          <cell r="C727">
            <v>8137</v>
          </cell>
          <cell r="D727">
            <v>727.09</v>
          </cell>
          <cell r="E727">
            <v>10</v>
          </cell>
          <cell r="F727">
            <v>29804.09</v>
          </cell>
          <cell r="H727">
            <v>2</v>
          </cell>
          <cell r="I727">
            <v>0</v>
          </cell>
          <cell r="J727">
            <v>0</v>
          </cell>
          <cell r="K727">
            <v>3128121.78</v>
          </cell>
          <cell r="L727">
            <v>3128121.78</v>
          </cell>
          <cell r="M727">
            <v>0</v>
          </cell>
          <cell r="N727">
            <v>0</v>
          </cell>
          <cell r="O727" t="str">
            <v>Коммун. платежи от населения за газ и воду</v>
          </cell>
        </row>
        <row r="728">
          <cell r="A728">
            <v>9</v>
          </cell>
          <cell r="B728">
            <v>214</v>
          </cell>
          <cell r="C728">
            <v>8298</v>
          </cell>
          <cell r="D728">
            <v>727.09</v>
          </cell>
          <cell r="E728">
            <v>10</v>
          </cell>
          <cell r="F728">
            <v>29804.09</v>
          </cell>
          <cell r="H728">
            <v>2</v>
          </cell>
          <cell r="I728">
            <v>0</v>
          </cell>
          <cell r="J728">
            <v>0</v>
          </cell>
          <cell r="K728">
            <v>953443.7</v>
          </cell>
          <cell r="L728">
            <v>991770.7</v>
          </cell>
          <cell r="M728">
            <v>0</v>
          </cell>
          <cell r="N728">
            <v>38327</v>
          </cell>
          <cell r="O728" t="str">
            <v>Коммун. платежи от населения за газ и воду</v>
          </cell>
        </row>
        <row r="729">
          <cell r="A729">
            <v>9</v>
          </cell>
          <cell r="B729">
            <v>214</v>
          </cell>
          <cell r="C729">
            <v>8533</v>
          </cell>
          <cell r="D729">
            <v>727.09</v>
          </cell>
          <cell r="E729">
            <v>10</v>
          </cell>
          <cell r="F729">
            <v>29804.09</v>
          </cell>
          <cell r="H729">
            <v>2</v>
          </cell>
          <cell r="I729">
            <v>0</v>
          </cell>
          <cell r="J729">
            <v>0</v>
          </cell>
          <cell r="K729">
            <v>2795078.8</v>
          </cell>
          <cell r="L729">
            <v>2823539.6</v>
          </cell>
          <cell r="M729">
            <v>0</v>
          </cell>
          <cell r="N729">
            <v>28460.799999999999</v>
          </cell>
          <cell r="O729" t="str">
            <v>Коммун. платежи от населения за газ и воду</v>
          </cell>
        </row>
        <row r="730">
          <cell r="A730">
            <v>9</v>
          </cell>
          <cell r="B730">
            <v>214</v>
          </cell>
          <cell r="C730">
            <v>8659</v>
          </cell>
          <cell r="D730">
            <v>727.09</v>
          </cell>
          <cell r="E730">
            <v>10</v>
          </cell>
          <cell r="F730">
            <v>29804.09</v>
          </cell>
          <cell r="H730">
            <v>2</v>
          </cell>
          <cell r="I730">
            <v>0</v>
          </cell>
          <cell r="J730">
            <v>0</v>
          </cell>
          <cell r="K730">
            <v>2078652.1</v>
          </cell>
          <cell r="L730">
            <v>2129791.1</v>
          </cell>
          <cell r="M730">
            <v>0</v>
          </cell>
          <cell r="N730">
            <v>51139</v>
          </cell>
          <cell r="O730" t="str">
            <v>Коммун. платежи от населения за газ и воду</v>
          </cell>
        </row>
        <row r="731">
          <cell r="A731">
            <v>9</v>
          </cell>
          <cell r="B731">
            <v>214</v>
          </cell>
          <cell r="C731">
            <v>3563</v>
          </cell>
          <cell r="D731">
            <v>727.1</v>
          </cell>
          <cell r="E731">
            <v>10</v>
          </cell>
          <cell r="F731">
            <v>29804.1</v>
          </cell>
          <cell r="H731">
            <v>2</v>
          </cell>
          <cell r="I731">
            <v>0</v>
          </cell>
          <cell r="J731">
            <v>0</v>
          </cell>
          <cell r="K731">
            <v>4959712.3</v>
          </cell>
          <cell r="L731">
            <v>5407569.5800000001</v>
          </cell>
          <cell r="M731">
            <v>0</v>
          </cell>
          <cell r="N731">
            <v>447857.28</v>
          </cell>
          <cell r="O731" t="str">
            <v>Другие платежи от населения</v>
          </cell>
        </row>
        <row r="732">
          <cell r="A732">
            <v>9</v>
          </cell>
          <cell r="B732">
            <v>214</v>
          </cell>
          <cell r="C732">
            <v>5996</v>
          </cell>
          <cell r="D732">
            <v>727.1</v>
          </cell>
          <cell r="E732">
            <v>10</v>
          </cell>
          <cell r="F732">
            <v>29804.1</v>
          </cell>
          <cell r="H732">
            <v>2</v>
          </cell>
          <cell r="I732">
            <v>0</v>
          </cell>
          <cell r="J732">
            <v>0</v>
          </cell>
          <cell r="K732">
            <v>7815259.3499999996</v>
          </cell>
          <cell r="L732">
            <v>8171444.71</v>
          </cell>
          <cell r="M732">
            <v>0</v>
          </cell>
          <cell r="N732">
            <v>356185.36</v>
          </cell>
          <cell r="O732" t="str">
            <v>Другие платежи от населения</v>
          </cell>
        </row>
        <row r="733">
          <cell r="A733">
            <v>9</v>
          </cell>
          <cell r="B733">
            <v>214</v>
          </cell>
          <cell r="C733">
            <v>7783</v>
          </cell>
          <cell r="D733">
            <v>727.1</v>
          </cell>
          <cell r="E733">
            <v>10</v>
          </cell>
          <cell r="F733">
            <v>29804.1</v>
          </cell>
          <cell r="H733">
            <v>2</v>
          </cell>
          <cell r="I733">
            <v>0</v>
          </cell>
          <cell r="J733">
            <v>0</v>
          </cell>
          <cell r="K733">
            <v>2169150.96</v>
          </cell>
          <cell r="L733">
            <v>2734791.66</v>
          </cell>
          <cell r="M733">
            <v>0</v>
          </cell>
          <cell r="N733">
            <v>565640.69999999995</v>
          </cell>
          <cell r="O733" t="str">
            <v>Другие платежи от населения</v>
          </cell>
        </row>
        <row r="734">
          <cell r="A734">
            <v>9</v>
          </cell>
          <cell r="B734">
            <v>214</v>
          </cell>
          <cell r="C734">
            <v>7948</v>
          </cell>
          <cell r="D734">
            <v>727.1</v>
          </cell>
          <cell r="E734">
            <v>10</v>
          </cell>
          <cell r="F734">
            <v>29804.1</v>
          </cell>
          <cell r="H734">
            <v>2</v>
          </cell>
          <cell r="I734">
            <v>0</v>
          </cell>
          <cell r="J734">
            <v>0</v>
          </cell>
          <cell r="K734">
            <v>30141.4</v>
          </cell>
          <cell r="L734">
            <v>30141.4</v>
          </cell>
          <cell r="M734">
            <v>0</v>
          </cell>
          <cell r="N734">
            <v>0</v>
          </cell>
          <cell r="O734" t="str">
            <v>Другие платежи от населения</v>
          </cell>
        </row>
        <row r="735">
          <cell r="A735">
            <v>9</v>
          </cell>
          <cell r="B735">
            <v>214</v>
          </cell>
          <cell r="C735">
            <v>8002</v>
          </cell>
          <cell r="D735">
            <v>727.1</v>
          </cell>
          <cell r="E735">
            <v>10</v>
          </cell>
          <cell r="F735">
            <v>29804.1</v>
          </cell>
          <cell r="H735">
            <v>2</v>
          </cell>
          <cell r="I735">
            <v>0</v>
          </cell>
          <cell r="J735">
            <v>0</v>
          </cell>
          <cell r="K735">
            <v>1923377.1</v>
          </cell>
          <cell r="L735">
            <v>1923377.1</v>
          </cell>
          <cell r="M735">
            <v>0</v>
          </cell>
          <cell r="N735">
            <v>0</v>
          </cell>
          <cell r="O735" t="str">
            <v>Другие платежи от населения</v>
          </cell>
        </row>
        <row r="736">
          <cell r="A736">
            <v>9</v>
          </cell>
          <cell r="B736">
            <v>214</v>
          </cell>
          <cell r="C736">
            <v>8104</v>
          </cell>
          <cell r="D736">
            <v>727.1</v>
          </cell>
          <cell r="E736">
            <v>10</v>
          </cell>
          <cell r="F736">
            <v>29804.1</v>
          </cell>
          <cell r="H736">
            <v>2</v>
          </cell>
          <cell r="I736">
            <v>0</v>
          </cell>
          <cell r="J736">
            <v>0</v>
          </cell>
          <cell r="K736">
            <v>248529.58</v>
          </cell>
          <cell r="L736">
            <v>248529.58</v>
          </cell>
          <cell r="M736">
            <v>0</v>
          </cell>
          <cell r="N736">
            <v>0</v>
          </cell>
          <cell r="O736" t="str">
            <v>Другие платежи от населения</v>
          </cell>
        </row>
        <row r="737">
          <cell r="A737">
            <v>9</v>
          </cell>
          <cell r="B737">
            <v>214</v>
          </cell>
          <cell r="C737">
            <v>8137</v>
          </cell>
          <cell r="D737">
            <v>727.1</v>
          </cell>
          <cell r="E737">
            <v>10</v>
          </cell>
          <cell r="F737">
            <v>29804.1</v>
          </cell>
          <cell r="H737">
            <v>2</v>
          </cell>
          <cell r="I737">
            <v>0</v>
          </cell>
          <cell r="J737">
            <v>0</v>
          </cell>
          <cell r="K737">
            <v>73965</v>
          </cell>
          <cell r="L737">
            <v>73965</v>
          </cell>
          <cell r="M737">
            <v>0</v>
          </cell>
          <cell r="N737">
            <v>0</v>
          </cell>
          <cell r="O737" t="str">
            <v>Другие платежи от населения</v>
          </cell>
        </row>
        <row r="738">
          <cell r="A738">
            <v>9</v>
          </cell>
          <cell r="B738">
            <v>214</v>
          </cell>
          <cell r="C738">
            <v>8298</v>
          </cell>
          <cell r="D738">
            <v>727.1</v>
          </cell>
          <cell r="E738">
            <v>10</v>
          </cell>
          <cell r="F738">
            <v>29804.1</v>
          </cell>
          <cell r="H738">
            <v>2</v>
          </cell>
          <cell r="I738">
            <v>0</v>
          </cell>
          <cell r="J738">
            <v>0</v>
          </cell>
          <cell r="K738">
            <v>8020150.5999999996</v>
          </cell>
          <cell r="L738">
            <v>8111206.2000000002</v>
          </cell>
          <cell r="M738">
            <v>0</v>
          </cell>
          <cell r="N738">
            <v>91055.6</v>
          </cell>
          <cell r="O738" t="str">
            <v>Другие платежи от населения</v>
          </cell>
        </row>
        <row r="739">
          <cell r="A739">
            <v>9</v>
          </cell>
          <cell r="B739">
            <v>214</v>
          </cell>
          <cell r="C739">
            <v>8533</v>
          </cell>
          <cell r="D739">
            <v>727.1</v>
          </cell>
          <cell r="E739">
            <v>10</v>
          </cell>
          <cell r="F739">
            <v>29804.1</v>
          </cell>
          <cell r="H739">
            <v>2</v>
          </cell>
          <cell r="I739">
            <v>0</v>
          </cell>
          <cell r="J739">
            <v>0</v>
          </cell>
          <cell r="K739">
            <v>2457927.75</v>
          </cell>
          <cell r="L739">
            <v>2854907</v>
          </cell>
          <cell r="M739">
            <v>0</v>
          </cell>
          <cell r="N739">
            <v>396979.25</v>
          </cell>
          <cell r="O739" t="str">
            <v>Другие платежи от населения</v>
          </cell>
        </row>
        <row r="740">
          <cell r="A740">
            <v>9</v>
          </cell>
          <cell r="B740">
            <v>214</v>
          </cell>
          <cell r="C740">
            <v>8659</v>
          </cell>
          <cell r="D740">
            <v>727.1</v>
          </cell>
          <cell r="E740">
            <v>10</v>
          </cell>
          <cell r="F740">
            <v>29804.1</v>
          </cell>
          <cell r="H740">
            <v>2</v>
          </cell>
          <cell r="I740">
            <v>0</v>
          </cell>
          <cell r="J740">
            <v>0</v>
          </cell>
          <cell r="K740">
            <v>235546.67</v>
          </cell>
          <cell r="L740">
            <v>245204.47</v>
          </cell>
          <cell r="M740">
            <v>0</v>
          </cell>
          <cell r="N740">
            <v>9657.7999999999993</v>
          </cell>
          <cell r="O740" t="str">
            <v>Другие платежи от населения</v>
          </cell>
        </row>
        <row r="741">
          <cell r="A741">
            <v>9</v>
          </cell>
          <cell r="B741">
            <v>214</v>
          </cell>
          <cell r="C741">
            <v>3563</v>
          </cell>
          <cell r="D741">
            <v>778.01</v>
          </cell>
          <cell r="E741">
            <v>15</v>
          </cell>
          <cell r="F741">
            <v>14901</v>
          </cell>
          <cell r="H741">
            <v>1</v>
          </cell>
          <cell r="I741">
            <v>2312090.33</v>
          </cell>
          <cell r="J741">
            <v>0</v>
          </cell>
          <cell r="K741">
            <v>400000</v>
          </cell>
          <cell r="L741">
            <v>182898.33</v>
          </cell>
          <cell r="M741">
            <v>2529192</v>
          </cell>
          <cell r="N741">
            <v>0</v>
          </cell>
          <cell r="O741" t="str">
            <v>Долгосроч.ссуды предоставленные физ.лиц.</v>
          </cell>
        </row>
        <row r="742">
          <cell r="A742">
            <v>9</v>
          </cell>
          <cell r="B742">
            <v>214</v>
          </cell>
          <cell r="C742">
            <v>5996</v>
          </cell>
          <cell r="D742">
            <v>778.01</v>
          </cell>
          <cell r="E742">
            <v>15</v>
          </cell>
          <cell r="F742">
            <v>14901</v>
          </cell>
          <cell r="H742">
            <v>1</v>
          </cell>
          <cell r="I742">
            <v>5871013.0999999996</v>
          </cell>
          <cell r="J742">
            <v>0</v>
          </cell>
          <cell r="K742">
            <v>0</v>
          </cell>
          <cell r="L742">
            <v>748320</v>
          </cell>
          <cell r="M742">
            <v>5122693.0999999996</v>
          </cell>
          <cell r="N742">
            <v>0</v>
          </cell>
          <cell r="O742" t="str">
            <v>Долгосроч.ссуды предоставленные физ.лиц.</v>
          </cell>
        </row>
        <row r="743">
          <cell r="A743">
            <v>9</v>
          </cell>
          <cell r="B743">
            <v>214</v>
          </cell>
          <cell r="C743">
            <v>7783</v>
          </cell>
          <cell r="D743">
            <v>778.01</v>
          </cell>
          <cell r="E743">
            <v>15</v>
          </cell>
          <cell r="F743">
            <v>14901</v>
          </cell>
          <cell r="H743">
            <v>1</v>
          </cell>
          <cell r="I743">
            <v>3366118.57</v>
          </cell>
          <cell r="J743">
            <v>0</v>
          </cell>
          <cell r="K743">
            <v>0</v>
          </cell>
          <cell r="L743">
            <v>448863.34</v>
          </cell>
          <cell r="M743">
            <v>2917255.23</v>
          </cell>
          <cell r="N743">
            <v>0</v>
          </cell>
          <cell r="O743" t="str">
            <v>Долгосроч.ссуды предоставленные физ.лиц.</v>
          </cell>
        </row>
        <row r="744">
          <cell r="A744">
            <v>9</v>
          </cell>
          <cell r="B744">
            <v>214</v>
          </cell>
          <cell r="C744">
            <v>7845</v>
          </cell>
          <cell r="D744">
            <v>778.01</v>
          </cell>
          <cell r="E744">
            <v>15</v>
          </cell>
          <cell r="F744">
            <v>14901</v>
          </cell>
          <cell r="H744">
            <v>1</v>
          </cell>
          <cell r="I744">
            <v>1933168.5</v>
          </cell>
          <cell r="J744">
            <v>0</v>
          </cell>
          <cell r="K744">
            <v>0</v>
          </cell>
          <cell r="L744">
            <v>165150</v>
          </cell>
          <cell r="M744">
            <v>1768018.5</v>
          </cell>
          <cell r="N744">
            <v>0</v>
          </cell>
          <cell r="O744" t="str">
            <v>Долгосроч.ссуды предоставленные физ.лиц.</v>
          </cell>
        </row>
        <row r="745">
          <cell r="A745">
            <v>9</v>
          </cell>
          <cell r="B745">
            <v>214</v>
          </cell>
          <cell r="C745">
            <v>7948</v>
          </cell>
          <cell r="D745">
            <v>778.01</v>
          </cell>
          <cell r="E745">
            <v>15</v>
          </cell>
          <cell r="F745">
            <v>14901</v>
          </cell>
          <cell r="H745">
            <v>1</v>
          </cell>
          <cell r="I745">
            <v>1063426</v>
          </cell>
          <cell r="J745">
            <v>0</v>
          </cell>
          <cell r="K745">
            <v>0</v>
          </cell>
          <cell r="L745">
            <v>157708.5</v>
          </cell>
          <cell r="M745">
            <v>905717.5</v>
          </cell>
          <cell r="N745">
            <v>0</v>
          </cell>
          <cell r="O745" t="str">
            <v>Долгосроч.ссуды предоставленные физ.лиц.</v>
          </cell>
        </row>
        <row r="746">
          <cell r="A746">
            <v>9</v>
          </cell>
          <cell r="B746">
            <v>214</v>
          </cell>
          <cell r="C746">
            <v>8002</v>
          </cell>
          <cell r="D746">
            <v>778.01</v>
          </cell>
          <cell r="E746">
            <v>15</v>
          </cell>
          <cell r="F746">
            <v>14901</v>
          </cell>
          <cell r="H746">
            <v>1</v>
          </cell>
          <cell r="I746">
            <v>634267.79</v>
          </cell>
          <cell r="J746">
            <v>0</v>
          </cell>
          <cell r="K746">
            <v>520000</v>
          </cell>
          <cell r="L746">
            <v>66546</v>
          </cell>
          <cell r="M746">
            <v>1087721.79</v>
          </cell>
          <cell r="N746">
            <v>0</v>
          </cell>
          <cell r="O746" t="str">
            <v>Долгосроч.ссуды предоставленные физ.лиц.</v>
          </cell>
        </row>
        <row r="747">
          <cell r="A747">
            <v>9</v>
          </cell>
          <cell r="B747">
            <v>214</v>
          </cell>
          <cell r="C747">
            <v>8104</v>
          </cell>
          <cell r="D747">
            <v>778.01</v>
          </cell>
          <cell r="E747">
            <v>15</v>
          </cell>
          <cell r="F747">
            <v>14901</v>
          </cell>
          <cell r="H747">
            <v>1</v>
          </cell>
          <cell r="I747">
            <v>1667483</v>
          </cell>
          <cell r="J747">
            <v>0</v>
          </cell>
          <cell r="K747">
            <v>0</v>
          </cell>
          <cell r="L747">
            <v>131930</v>
          </cell>
          <cell r="M747">
            <v>1535553</v>
          </cell>
          <cell r="N747">
            <v>0</v>
          </cell>
          <cell r="O747" t="str">
            <v>Долгосроч.ссуды предоставленные физ.лиц.</v>
          </cell>
        </row>
        <row r="748">
          <cell r="A748">
            <v>9</v>
          </cell>
          <cell r="B748">
            <v>214</v>
          </cell>
          <cell r="C748">
            <v>8137</v>
          </cell>
          <cell r="D748">
            <v>778.01</v>
          </cell>
          <cell r="E748">
            <v>15</v>
          </cell>
          <cell r="F748">
            <v>14901</v>
          </cell>
          <cell r="H748">
            <v>1</v>
          </cell>
          <cell r="I748">
            <v>1183464</v>
          </cell>
          <cell r="J748">
            <v>0</v>
          </cell>
          <cell r="K748">
            <v>0</v>
          </cell>
          <cell r="L748">
            <v>190743</v>
          </cell>
          <cell r="M748">
            <v>992721</v>
          </cell>
          <cell r="N748">
            <v>0</v>
          </cell>
          <cell r="O748" t="str">
            <v>Долгосроч.ссуды предоставленные физ.лиц.</v>
          </cell>
        </row>
        <row r="749">
          <cell r="A749">
            <v>9</v>
          </cell>
          <cell r="B749">
            <v>214</v>
          </cell>
          <cell r="C749">
            <v>8298</v>
          </cell>
          <cell r="D749">
            <v>778.01</v>
          </cell>
          <cell r="E749">
            <v>15</v>
          </cell>
          <cell r="F749">
            <v>14901</v>
          </cell>
          <cell r="H749">
            <v>1</v>
          </cell>
          <cell r="I749">
            <v>2043047.26</v>
          </cell>
          <cell r="J749">
            <v>0</v>
          </cell>
          <cell r="K749">
            <v>250000</v>
          </cell>
          <cell r="L749">
            <v>96818.18</v>
          </cell>
          <cell r="M749">
            <v>2196229.08</v>
          </cell>
          <cell r="N749">
            <v>0</v>
          </cell>
          <cell r="O749" t="str">
            <v>Долгосроч.ссуды предоставленные физ.лиц.</v>
          </cell>
        </row>
        <row r="750">
          <cell r="A750">
            <v>9</v>
          </cell>
          <cell r="B750">
            <v>214</v>
          </cell>
          <cell r="C750">
            <v>8533</v>
          </cell>
          <cell r="D750">
            <v>778.01</v>
          </cell>
          <cell r="E750">
            <v>15</v>
          </cell>
          <cell r="F750">
            <v>14901</v>
          </cell>
          <cell r="H750">
            <v>1</v>
          </cell>
          <cell r="I750">
            <v>476847.08</v>
          </cell>
          <cell r="J750">
            <v>0</v>
          </cell>
          <cell r="K750">
            <v>0</v>
          </cell>
          <cell r="L750">
            <v>116833</v>
          </cell>
          <cell r="M750">
            <v>360014.08000000002</v>
          </cell>
          <cell r="N750">
            <v>0</v>
          </cell>
          <cell r="O750" t="str">
            <v>Долгосроч.ссуды предоставленные физ.лиц.</v>
          </cell>
        </row>
        <row r="751">
          <cell r="A751">
            <v>9</v>
          </cell>
          <cell r="B751">
            <v>214</v>
          </cell>
          <cell r="C751">
            <v>8659</v>
          </cell>
          <cell r="D751">
            <v>778.01</v>
          </cell>
          <cell r="E751">
            <v>15</v>
          </cell>
          <cell r="F751">
            <v>14901</v>
          </cell>
          <cell r="H751">
            <v>1</v>
          </cell>
          <cell r="I751">
            <v>2006950.43</v>
          </cell>
          <cell r="J751">
            <v>0</v>
          </cell>
          <cell r="K751">
            <v>0</v>
          </cell>
          <cell r="L751">
            <v>444233</v>
          </cell>
          <cell r="M751">
            <v>1562717.43</v>
          </cell>
          <cell r="N751">
            <v>0</v>
          </cell>
          <cell r="O751" t="str">
            <v>Долгосроч.ссуды предоставленные физ.лиц.</v>
          </cell>
        </row>
        <row r="752">
          <cell r="A752">
            <v>9</v>
          </cell>
          <cell r="B752">
            <v>214</v>
          </cell>
          <cell r="C752">
            <v>5996</v>
          </cell>
          <cell r="D752">
            <v>780.01</v>
          </cell>
          <cell r="E752">
            <v>15</v>
          </cell>
          <cell r="F752">
            <v>12505</v>
          </cell>
          <cell r="H752">
            <v>1</v>
          </cell>
          <cell r="I752">
            <v>28571</v>
          </cell>
          <cell r="J752">
            <v>0</v>
          </cell>
          <cell r="K752">
            <v>300500</v>
          </cell>
          <cell r="L752">
            <v>329071</v>
          </cell>
          <cell r="M752">
            <v>0</v>
          </cell>
          <cell r="N752">
            <v>0</v>
          </cell>
          <cell r="O752" t="str">
            <v>Просроченная задолженность по долгосрочным ссудам (ИЖС)</v>
          </cell>
        </row>
        <row r="753">
          <cell r="A753">
            <v>9</v>
          </cell>
          <cell r="B753">
            <v>214</v>
          </cell>
          <cell r="C753">
            <v>7783</v>
          </cell>
          <cell r="D753">
            <v>780.01</v>
          </cell>
          <cell r="E753">
            <v>15</v>
          </cell>
          <cell r="F753">
            <v>12505</v>
          </cell>
          <cell r="H753">
            <v>1</v>
          </cell>
          <cell r="I753">
            <v>0</v>
          </cell>
          <cell r="J753">
            <v>0</v>
          </cell>
          <cell r="K753">
            <v>138600</v>
          </cell>
          <cell r="L753">
            <v>138600</v>
          </cell>
          <cell r="M753">
            <v>0</v>
          </cell>
          <cell r="N753">
            <v>0</v>
          </cell>
          <cell r="O753" t="str">
            <v>Просроченная задолженность по долгосрочным ссудам (ИЖС)</v>
          </cell>
        </row>
        <row r="754">
          <cell r="A754">
            <v>9</v>
          </cell>
          <cell r="B754">
            <v>214</v>
          </cell>
          <cell r="C754">
            <v>7948</v>
          </cell>
          <cell r="D754">
            <v>780.01</v>
          </cell>
          <cell r="E754">
            <v>15</v>
          </cell>
          <cell r="F754">
            <v>12505</v>
          </cell>
          <cell r="H754">
            <v>1</v>
          </cell>
          <cell r="I754">
            <v>0</v>
          </cell>
          <cell r="J754">
            <v>0</v>
          </cell>
          <cell r="K754">
            <v>31405</v>
          </cell>
          <cell r="L754">
            <v>31405</v>
          </cell>
          <cell r="M754">
            <v>0</v>
          </cell>
          <cell r="N754">
            <v>0</v>
          </cell>
          <cell r="O754" t="str">
            <v>Просроченная задолженность по долгосрочным ссудам (ИЖС)</v>
          </cell>
        </row>
        <row r="755">
          <cell r="A755">
            <v>9</v>
          </cell>
          <cell r="B755">
            <v>214</v>
          </cell>
          <cell r="C755">
            <v>214</v>
          </cell>
          <cell r="D755">
            <v>816</v>
          </cell>
          <cell r="E755">
            <v>18</v>
          </cell>
          <cell r="F755">
            <v>10309</v>
          </cell>
          <cell r="H755">
            <v>1</v>
          </cell>
          <cell r="I755">
            <v>3854200</v>
          </cell>
          <cell r="J755">
            <v>0</v>
          </cell>
          <cell r="K755">
            <v>33670000</v>
          </cell>
          <cell r="L755">
            <v>37524200</v>
          </cell>
          <cell r="M755">
            <v>0</v>
          </cell>
          <cell r="N755">
            <v>0</v>
          </cell>
          <cell r="O755" t="str">
            <v>К получению с обязательного резервного счета в ЦБРУз</v>
          </cell>
        </row>
        <row r="756">
          <cell r="A756">
            <v>9</v>
          </cell>
          <cell r="B756">
            <v>214</v>
          </cell>
          <cell r="C756">
            <v>3563</v>
          </cell>
          <cell r="D756">
            <v>816</v>
          </cell>
          <cell r="E756">
            <v>18</v>
          </cell>
          <cell r="F756">
            <v>10309</v>
          </cell>
          <cell r="H756">
            <v>1</v>
          </cell>
          <cell r="I756">
            <v>6390840</v>
          </cell>
          <cell r="J756">
            <v>0</v>
          </cell>
          <cell r="K756">
            <v>7361720</v>
          </cell>
          <cell r="L756">
            <v>7832490</v>
          </cell>
          <cell r="M756">
            <v>5920070</v>
          </cell>
          <cell r="N756">
            <v>0</v>
          </cell>
          <cell r="O756" t="str">
            <v>К получению с обязательного резервного счета в ЦБРУз</v>
          </cell>
        </row>
        <row r="757">
          <cell r="A757">
            <v>9</v>
          </cell>
          <cell r="B757">
            <v>214</v>
          </cell>
          <cell r="C757">
            <v>5996</v>
          </cell>
          <cell r="D757">
            <v>816</v>
          </cell>
          <cell r="E757">
            <v>18</v>
          </cell>
          <cell r="F757">
            <v>10309</v>
          </cell>
          <cell r="H757">
            <v>1</v>
          </cell>
          <cell r="I757">
            <v>5638160</v>
          </cell>
          <cell r="J757">
            <v>0</v>
          </cell>
          <cell r="K757">
            <v>11141310</v>
          </cell>
          <cell r="L757">
            <v>8970800</v>
          </cell>
          <cell r="M757">
            <v>7808670</v>
          </cell>
          <cell r="N757">
            <v>0</v>
          </cell>
          <cell r="O757" t="str">
            <v>К получению с обязательного резервного счета в ЦБРУз</v>
          </cell>
        </row>
        <row r="758">
          <cell r="A758">
            <v>9</v>
          </cell>
          <cell r="B758">
            <v>214</v>
          </cell>
          <cell r="C758">
            <v>7783</v>
          </cell>
          <cell r="D758">
            <v>816</v>
          </cell>
          <cell r="E758">
            <v>18</v>
          </cell>
          <cell r="F758">
            <v>10309</v>
          </cell>
          <cell r="H758">
            <v>1</v>
          </cell>
          <cell r="I758">
            <v>3129650</v>
          </cell>
          <cell r="J758">
            <v>0</v>
          </cell>
          <cell r="K758">
            <v>4093120</v>
          </cell>
          <cell r="L758">
            <v>3248060</v>
          </cell>
          <cell r="M758">
            <v>3974710</v>
          </cell>
          <cell r="N758">
            <v>0</v>
          </cell>
          <cell r="O758" t="str">
            <v>К получению с обязательного резервного счета в ЦБРУз</v>
          </cell>
        </row>
        <row r="759">
          <cell r="A759">
            <v>9</v>
          </cell>
          <cell r="B759">
            <v>214</v>
          </cell>
          <cell r="C759">
            <v>7845</v>
          </cell>
          <cell r="D759">
            <v>816</v>
          </cell>
          <cell r="E759">
            <v>18</v>
          </cell>
          <cell r="F759">
            <v>10309</v>
          </cell>
          <cell r="H759">
            <v>1</v>
          </cell>
          <cell r="I759">
            <v>2994400</v>
          </cell>
          <cell r="J759">
            <v>0</v>
          </cell>
          <cell r="K759">
            <v>2306340</v>
          </cell>
          <cell r="L759">
            <v>2236790</v>
          </cell>
          <cell r="M759">
            <v>3063950</v>
          </cell>
          <cell r="N759">
            <v>0</v>
          </cell>
          <cell r="O759" t="str">
            <v>К получению с обязательного резервного счета в ЦБРУз</v>
          </cell>
        </row>
        <row r="760">
          <cell r="A760">
            <v>9</v>
          </cell>
          <cell r="B760">
            <v>214</v>
          </cell>
          <cell r="C760">
            <v>7948</v>
          </cell>
          <cell r="D760">
            <v>816</v>
          </cell>
          <cell r="E760">
            <v>18</v>
          </cell>
          <cell r="F760">
            <v>10309</v>
          </cell>
          <cell r="H760">
            <v>1</v>
          </cell>
          <cell r="I760">
            <v>2899460</v>
          </cell>
          <cell r="J760">
            <v>0</v>
          </cell>
          <cell r="K760">
            <v>5070120</v>
          </cell>
          <cell r="L760">
            <v>5015020</v>
          </cell>
          <cell r="M760">
            <v>2954560</v>
          </cell>
          <cell r="N760">
            <v>0</v>
          </cell>
          <cell r="O760" t="str">
            <v>К получению с обязательного резервного счета в ЦБРУз</v>
          </cell>
        </row>
        <row r="761">
          <cell r="A761">
            <v>9</v>
          </cell>
          <cell r="B761">
            <v>214</v>
          </cell>
          <cell r="C761">
            <v>8002</v>
          </cell>
          <cell r="D761">
            <v>816</v>
          </cell>
          <cell r="E761">
            <v>18</v>
          </cell>
          <cell r="F761">
            <v>10309</v>
          </cell>
          <cell r="H761">
            <v>1</v>
          </cell>
          <cell r="I761">
            <v>1805000</v>
          </cell>
          <cell r="J761">
            <v>0</v>
          </cell>
          <cell r="K761">
            <v>3156540</v>
          </cell>
          <cell r="L761">
            <v>2437200</v>
          </cell>
          <cell r="M761">
            <v>2524340</v>
          </cell>
          <cell r="N761">
            <v>0</v>
          </cell>
          <cell r="O761" t="str">
            <v>К получению с обязательного резервного счета в ЦБРУз</v>
          </cell>
        </row>
        <row r="762">
          <cell r="A762">
            <v>9</v>
          </cell>
          <cell r="B762">
            <v>214</v>
          </cell>
          <cell r="C762">
            <v>8104</v>
          </cell>
          <cell r="D762">
            <v>816</v>
          </cell>
          <cell r="E762">
            <v>18</v>
          </cell>
          <cell r="F762">
            <v>10309</v>
          </cell>
          <cell r="H762">
            <v>1</v>
          </cell>
          <cell r="I762">
            <v>1765460</v>
          </cell>
          <cell r="J762">
            <v>0</v>
          </cell>
          <cell r="K762">
            <v>4687480</v>
          </cell>
          <cell r="L762">
            <v>4344370</v>
          </cell>
          <cell r="M762">
            <v>2108570</v>
          </cell>
          <cell r="N762">
            <v>0</v>
          </cell>
          <cell r="O762" t="str">
            <v>К получению с обязательного резервного счета в ЦБРУз</v>
          </cell>
        </row>
        <row r="763">
          <cell r="A763">
            <v>9</v>
          </cell>
          <cell r="B763">
            <v>214</v>
          </cell>
          <cell r="C763">
            <v>8137</v>
          </cell>
          <cell r="D763">
            <v>816</v>
          </cell>
          <cell r="E763">
            <v>18</v>
          </cell>
          <cell r="F763">
            <v>10309</v>
          </cell>
          <cell r="H763">
            <v>1</v>
          </cell>
          <cell r="I763">
            <v>1935780</v>
          </cell>
          <cell r="J763">
            <v>0</v>
          </cell>
          <cell r="K763">
            <v>1918230</v>
          </cell>
          <cell r="L763">
            <v>1898410</v>
          </cell>
          <cell r="M763">
            <v>1955600</v>
          </cell>
          <cell r="N763">
            <v>0</v>
          </cell>
          <cell r="O763" t="str">
            <v>К получению с обязательного резервного счета в ЦБРУз</v>
          </cell>
        </row>
        <row r="764">
          <cell r="A764">
            <v>9</v>
          </cell>
          <cell r="B764">
            <v>214</v>
          </cell>
          <cell r="C764">
            <v>8298</v>
          </cell>
          <cell r="D764">
            <v>816</v>
          </cell>
          <cell r="E764">
            <v>18</v>
          </cell>
          <cell r="F764">
            <v>10309</v>
          </cell>
          <cell r="H764">
            <v>1</v>
          </cell>
          <cell r="I764">
            <v>1200280</v>
          </cell>
          <cell r="J764">
            <v>0</v>
          </cell>
          <cell r="K764">
            <v>4245800</v>
          </cell>
          <cell r="L764">
            <v>3224510</v>
          </cell>
          <cell r="M764">
            <v>2221570</v>
          </cell>
          <cell r="N764">
            <v>0</v>
          </cell>
          <cell r="O764" t="str">
            <v>К получению с обязательного резервного счета в ЦБРУз</v>
          </cell>
        </row>
        <row r="765">
          <cell r="A765">
            <v>9</v>
          </cell>
          <cell r="B765">
            <v>214</v>
          </cell>
          <cell r="C765">
            <v>8533</v>
          </cell>
          <cell r="D765">
            <v>816</v>
          </cell>
          <cell r="E765">
            <v>18</v>
          </cell>
          <cell r="F765">
            <v>10309</v>
          </cell>
          <cell r="H765">
            <v>1</v>
          </cell>
          <cell r="I765">
            <v>1285350</v>
          </cell>
          <cell r="J765">
            <v>0</v>
          </cell>
          <cell r="K765">
            <v>941720</v>
          </cell>
          <cell r="L765">
            <v>1301770</v>
          </cell>
          <cell r="M765">
            <v>925300</v>
          </cell>
          <cell r="N765">
            <v>0</v>
          </cell>
          <cell r="O765" t="str">
            <v>К получению с обязательного резервного счета в ЦБРУз</v>
          </cell>
        </row>
        <row r="766">
          <cell r="A766">
            <v>9</v>
          </cell>
          <cell r="B766">
            <v>214</v>
          </cell>
          <cell r="C766">
            <v>8659</v>
          </cell>
          <cell r="D766">
            <v>816</v>
          </cell>
          <cell r="E766">
            <v>18</v>
          </cell>
          <cell r="F766">
            <v>10309</v>
          </cell>
          <cell r="H766">
            <v>1</v>
          </cell>
          <cell r="I766">
            <v>659120</v>
          </cell>
          <cell r="J766">
            <v>0</v>
          </cell>
          <cell r="K766">
            <v>5933950</v>
          </cell>
          <cell r="L766">
            <v>5938310</v>
          </cell>
          <cell r="M766">
            <v>654760</v>
          </cell>
          <cell r="N766">
            <v>0</v>
          </cell>
          <cell r="O766" t="str">
            <v>К получению с обязательного резервного счета в ЦБРУз</v>
          </cell>
        </row>
        <row r="767">
          <cell r="A767">
            <v>9</v>
          </cell>
          <cell r="B767">
            <v>214</v>
          </cell>
          <cell r="C767">
            <v>214</v>
          </cell>
          <cell r="D767">
            <v>826</v>
          </cell>
          <cell r="E767">
            <v>18</v>
          </cell>
          <cell r="F767">
            <v>22202.05</v>
          </cell>
          <cell r="H767">
            <v>2</v>
          </cell>
          <cell r="I767">
            <v>0</v>
          </cell>
          <cell r="J767">
            <v>35320351.32</v>
          </cell>
          <cell r="K767">
            <v>54045525.990000002</v>
          </cell>
          <cell r="L767">
            <v>59545882.759999998</v>
          </cell>
          <cell r="M767">
            <v>0</v>
          </cell>
          <cell r="N767">
            <v>40820708.090000004</v>
          </cell>
          <cell r="O767" t="str">
            <v>Кредитные ресурсы полученные</v>
          </cell>
        </row>
        <row r="768">
          <cell r="A768">
            <v>9</v>
          </cell>
          <cell r="B768">
            <v>214</v>
          </cell>
          <cell r="C768">
            <v>5996</v>
          </cell>
          <cell r="D768">
            <v>826</v>
          </cell>
          <cell r="E768">
            <v>18</v>
          </cell>
          <cell r="F768">
            <v>22202.05</v>
          </cell>
          <cell r="H768">
            <v>2</v>
          </cell>
          <cell r="I768">
            <v>0</v>
          </cell>
          <cell r="J768">
            <v>0</v>
          </cell>
          <cell r="K768">
            <v>6155043.6699999999</v>
          </cell>
          <cell r="L768">
            <v>6155043.6699999999</v>
          </cell>
          <cell r="M768">
            <v>0</v>
          </cell>
          <cell r="N768">
            <v>0</v>
          </cell>
          <cell r="O768" t="str">
            <v>Кредитные ресурсы полученные</v>
          </cell>
        </row>
        <row r="769">
          <cell r="A769">
            <v>9</v>
          </cell>
          <cell r="B769">
            <v>214</v>
          </cell>
          <cell r="C769">
            <v>8002</v>
          </cell>
          <cell r="D769">
            <v>826</v>
          </cell>
          <cell r="E769">
            <v>18</v>
          </cell>
          <cell r="F769">
            <v>22202.05</v>
          </cell>
          <cell r="H769">
            <v>2</v>
          </cell>
          <cell r="I769">
            <v>0</v>
          </cell>
          <cell r="J769">
            <v>1278067.5900000001</v>
          </cell>
          <cell r="K769">
            <v>4728883.2000000002</v>
          </cell>
          <cell r="L769">
            <v>3576446.87</v>
          </cell>
          <cell r="M769">
            <v>0</v>
          </cell>
          <cell r="N769">
            <v>125631.26</v>
          </cell>
          <cell r="O769" t="str">
            <v>Кредитные ресурсы полученные</v>
          </cell>
        </row>
        <row r="770">
          <cell r="A770">
            <v>9</v>
          </cell>
          <cell r="B770">
            <v>214</v>
          </cell>
          <cell r="C770">
            <v>8298</v>
          </cell>
          <cell r="D770">
            <v>826</v>
          </cell>
          <cell r="E770">
            <v>18</v>
          </cell>
          <cell r="F770">
            <v>22202.05</v>
          </cell>
          <cell r="H770">
            <v>2</v>
          </cell>
          <cell r="I770">
            <v>0</v>
          </cell>
          <cell r="J770">
            <v>11733251.18</v>
          </cell>
          <cell r="K770">
            <v>6299400</v>
          </cell>
          <cell r="L770">
            <v>4466483.68</v>
          </cell>
          <cell r="M770">
            <v>0</v>
          </cell>
          <cell r="N770">
            <v>9900334.8599999994</v>
          </cell>
          <cell r="O770" t="str">
            <v>Кредитные ресурсы полученные</v>
          </cell>
        </row>
        <row r="771">
          <cell r="A771">
            <v>9</v>
          </cell>
          <cell r="B771">
            <v>214</v>
          </cell>
          <cell r="C771">
            <v>8533</v>
          </cell>
          <cell r="D771">
            <v>826</v>
          </cell>
          <cell r="E771">
            <v>18</v>
          </cell>
          <cell r="F771">
            <v>22202.05</v>
          </cell>
          <cell r="H771">
            <v>2</v>
          </cell>
          <cell r="I771">
            <v>0</v>
          </cell>
          <cell r="J771">
            <v>408497.98</v>
          </cell>
          <cell r="K771">
            <v>1196975.93</v>
          </cell>
          <cell r="L771">
            <v>956474.35</v>
          </cell>
          <cell r="M771">
            <v>0</v>
          </cell>
          <cell r="N771">
            <v>167996.4</v>
          </cell>
          <cell r="O771" t="str">
            <v>Кредитные ресурсы полученные</v>
          </cell>
        </row>
        <row r="772">
          <cell r="A772">
            <v>9</v>
          </cell>
          <cell r="B772">
            <v>214</v>
          </cell>
          <cell r="C772">
            <v>8659</v>
          </cell>
          <cell r="D772">
            <v>826</v>
          </cell>
          <cell r="E772">
            <v>18</v>
          </cell>
          <cell r="F772">
            <v>22202.05</v>
          </cell>
          <cell r="H772">
            <v>2</v>
          </cell>
          <cell r="I772">
            <v>0</v>
          </cell>
          <cell r="J772">
            <v>2702890.54</v>
          </cell>
          <cell r="K772">
            <v>7401752.5700000003</v>
          </cell>
          <cell r="L772">
            <v>6424508.25</v>
          </cell>
          <cell r="M772">
            <v>0</v>
          </cell>
          <cell r="N772">
            <v>1725646.22</v>
          </cell>
          <cell r="O772" t="str">
            <v>Кредитные ресурсы полученные</v>
          </cell>
        </row>
        <row r="773">
          <cell r="A773">
            <v>9</v>
          </cell>
          <cell r="B773">
            <v>214</v>
          </cell>
          <cell r="C773">
            <v>214</v>
          </cell>
          <cell r="D773">
            <v>826.02</v>
          </cell>
          <cell r="E773">
            <v>18</v>
          </cell>
          <cell r="F773">
            <v>22202.07</v>
          </cell>
          <cell r="H773">
            <v>2</v>
          </cell>
          <cell r="I773">
            <v>0</v>
          </cell>
          <cell r="J773">
            <v>304400</v>
          </cell>
          <cell r="K773">
            <v>0</v>
          </cell>
          <cell r="L773">
            <v>0</v>
          </cell>
          <cell r="M773">
            <v>0</v>
          </cell>
          <cell r="N773">
            <v>304400</v>
          </cell>
          <cell r="O773" t="str">
            <v>Полученные кредитные ресурсы по вкладу "Оила"</v>
          </cell>
        </row>
        <row r="774">
          <cell r="A774">
            <v>9</v>
          </cell>
          <cell r="B774">
            <v>214</v>
          </cell>
          <cell r="C774">
            <v>214</v>
          </cell>
          <cell r="D774">
            <v>827</v>
          </cell>
          <cell r="E774">
            <v>18</v>
          </cell>
          <cell r="F774">
            <v>16101.06</v>
          </cell>
          <cell r="H774">
            <v>1</v>
          </cell>
          <cell r="I774">
            <v>1132792.96</v>
          </cell>
          <cell r="J774">
            <v>0</v>
          </cell>
          <cell r="K774">
            <v>25712153.5</v>
          </cell>
          <cell r="L774">
            <v>14554700</v>
          </cell>
          <cell r="M774">
            <v>12290246.460000001</v>
          </cell>
          <cell r="N774">
            <v>0</v>
          </cell>
          <cell r="O774" t="str">
            <v>Кредитные ресурсы, переданные в головной офис</v>
          </cell>
        </row>
        <row r="775">
          <cell r="A775">
            <v>9</v>
          </cell>
          <cell r="B775">
            <v>214</v>
          </cell>
          <cell r="C775">
            <v>3563</v>
          </cell>
          <cell r="D775">
            <v>827</v>
          </cell>
          <cell r="E775">
            <v>18</v>
          </cell>
          <cell r="F775">
            <v>16101.06</v>
          </cell>
          <cell r="H775">
            <v>1</v>
          </cell>
          <cell r="I775">
            <v>16447960.01</v>
          </cell>
          <cell r="J775">
            <v>0</v>
          </cell>
          <cell r="K775">
            <v>11098007</v>
          </cell>
          <cell r="L775">
            <v>11251212.68</v>
          </cell>
          <cell r="M775">
            <v>16294754.33</v>
          </cell>
          <cell r="N775">
            <v>0</v>
          </cell>
          <cell r="O775" t="str">
            <v>Кредитные ресурсы, переданные в головной офис</v>
          </cell>
        </row>
        <row r="776">
          <cell r="A776">
            <v>9</v>
          </cell>
          <cell r="B776">
            <v>214</v>
          </cell>
          <cell r="C776">
            <v>5996</v>
          </cell>
          <cell r="D776">
            <v>827</v>
          </cell>
          <cell r="E776">
            <v>18</v>
          </cell>
          <cell r="F776">
            <v>16101.06</v>
          </cell>
          <cell r="H776">
            <v>1</v>
          </cell>
          <cell r="I776">
            <v>1767875.28</v>
          </cell>
          <cell r="J776">
            <v>0</v>
          </cell>
          <cell r="K776">
            <v>13025572.720000001</v>
          </cell>
          <cell r="L776">
            <v>14411246.67</v>
          </cell>
          <cell r="M776">
            <v>382201.33</v>
          </cell>
          <cell r="N776">
            <v>0</v>
          </cell>
          <cell r="O776" t="str">
            <v>Кредитные ресурсы, переданные в головной офис</v>
          </cell>
        </row>
        <row r="777">
          <cell r="A777">
            <v>9</v>
          </cell>
          <cell r="B777">
            <v>214</v>
          </cell>
          <cell r="C777">
            <v>7783</v>
          </cell>
          <cell r="D777">
            <v>827</v>
          </cell>
          <cell r="E777">
            <v>18</v>
          </cell>
          <cell r="F777">
            <v>16101.06</v>
          </cell>
          <cell r="H777">
            <v>1</v>
          </cell>
          <cell r="I777">
            <v>19569113.969999999</v>
          </cell>
          <cell r="J777">
            <v>0</v>
          </cell>
          <cell r="K777">
            <v>4937102.9000000004</v>
          </cell>
          <cell r="L777">
            <v>6267441.4699999997</v>
          </cell>
          <cell r="M777">
            <v>18238775.399999999</v>
          </cell>
          <cell r="N777">
            <v>0</v>
          </cell>
          <cell r="O777" t="str">
            <v>Кредитные ресурсы, переданные в головной офис</v>
          </cell>
        </row>
        <row r="778">
          <cell r="A778">
            <v>9</v>
          </cell>
          <cell r="B778">
            <v>214</v>
          </cell>
          <cell r="C778">
            <v>7845</v>
          </cell>
          <cell r="D778">
            <v>827</v>
          </cell>
          <cell r="E778">
            <v>18</v>
          </cell>
          <cell r="F778">
            <v>16101.06</v>
          </cell>
          <cell r="H778">
            <v>1</v>
          </cell>
          <cell r="I778">
            <v>3386389.16</v>
          </cell>
          <cell r="J778">
            <v>0</v>
          </cell>
          <cell r="K778">
            <v>3571878</v>
          </cell>
          <cell r="L778">
            <v>2940838.45</v>
          </cell>
          <cell r="M778">
            <v>4017428.71</v>
          </cell>
          <cell r="N778">
            <v>0</v>
          </cell>
          <cell r="O778" t="str">
            <v>Кредитные ресурсы, переданные в головной офис</v>
          </cell>
        </row>
        <row r="779">
          <cell r="A779">
            <v>9</v>
          </cell>
          <cell r="B779">
            <v>214</v>
          </cell>
          <cell r="C779">
            <v>7948</v>
          </cell>
          <cell r="D779">
            <v>827</v>
          </cell>
          <cell r="E779">
            <v>18</v>
          </cell>
          <cell r="F779">
            <v>16101.06</v>
          </cell>
          <cell r="H779">
            <v>1</v>
          </cell>
          <cell r="I779">
            <v>6543749.8300000001</v>
          </cell>
          <cell r="J779">
            <v>0</v>
          </cell>
          <cell r="K779">
            <v>8299529</v>
          </cell>
          <cell r="L779">
            <v>5556605.7400000002</v>
          </cell>
          <cell r="M779">
            <v>9286673.0899999999</v>
          </cell>
          <cell r="N779">
            <v>0</v>
          </cell>
          <cell r="O779" t="str">
            <v>Кредитные ресурсы, переданные в головной офис</v>
          </cell>
        </row>
        <row r="780">
          <cell r="A780">
            <v>9</v>
          </cell>
          <cell r="B780">
            <v>214</v>
          </cell>
          <cell r="C780">
            <v>8104</v>
          </cell>
          <cell r="D780">
            <v>827</v>
          </cell>
          <cell r="E780">
            <v>18</v>
          </cell>
          <cell r="F780">
            <v>16101.06</v>
          </cell>
          <cell r="H780">
            <v>1</v>
          </cell>
          <cell r="I780">
            <v>1109979.6200000001</v>
          </cell>
          <cell r="J780">
            <v>0</v>
          </cell>
          <cell r="K780">
            <v>6059839</v>
          </cell>
          <cell r="L780">
            <v>5180051.3899999997</v>
          </cell>
          <cell r="M780">
            <v>1989767.23</v>
          </cell>
          <cell r="N780">
            <v>0</v>
          </cell>
          <cell r="O780" t="str">
            <v>Кредитные ресурсы, переданные в головной офис</v>
          </cell>
        </row>
        <row r="781">
          <cell r="A781">
            <v>9</v>
          </cell>
          <cell r="B781">
            <v>214</v>
          </cell>
          <cell r="C781">
            <v>8137</v>
          </cell>
          <cell r="D781">
            <v>827</v>
          </cell>
          <cell r="E781">
            <v>18</v>
          </cell>
          <cell r="F781">
            <v>16101.06</v>
          </cell>
          <cell r="H781">
            <v>1</v>
          </cell>
          <cell r="I781">
            <v>2617990.7400000002</v>
          </cell>
          <cell r="J781">
            <v>0</v>
          </cell>
          <cell r="K781">
            <v>3063531</v>
          </cell>
          <cell r="L781">
            <v>3150805</v>
          </cell>
          <cell r="M781">
            <v>2530716.7400000002</v>
          </cell>
          <cell r="N781">
            <v>0</v>
          </cell>
          <cell r="O781" t="str">
            <v>Кредитные ресурсы, переданные в головной офис</v>
          </cell>
        </row>
        <row r="782">
          <cell r="A782">
            <v>9</v>
          </cell>
          <cell r="B782">
            <v>214</v>
          </cell>
          <cell r="C782">
            <v>8533</v>
          </cell>
          <cell r="D782">
            <v>827</v>
          </cell>
          <cell r="E782">
            <v>18</v>
          </cell>
          <cell r="F782">
            <v>16101.06</v>
          </cell>
          <cell r="H782">
            <v>1</v>
          </cell>
          <cell r="I782">
            <v>0</v>
          </cell>
          <cell r="J782">
            <v>0</v>
          </cell>
          <cell r="K782">
            <v>353739.02</v>
          </cell>
          <cell r="L782">
            <v>353739.02</v>
          </cell>
          <cell r="M782">
            <v>0</v>
          </cell>
          <cell r="N782">
            <v>0</v>
          </cell>
          <cell r="O782" t="str">
            <v>Кредитные ресурсы, переданные в головной офис</v>
          </cell>
        </row>
        <row r="783">
          <cell r="A783">
            <v>9</v>
          </cell>
          <cell r="B783">
            <v>214</v>
          </cell>
          <cell r="C783">
            <v>214</v>
          </cell>
          <cell r="D783">
            <v>827.02</v>
          </cell>
          <cell r="E783">
            <v>18</v>
          </cell>
          <cell r="F783">
            <v>16101.08</v>
          </cell>
          <cell r="H783">
            <v>1</v>
          </cell>
          <cell r="I783">
            <v>304400</v>
          </cell>
          <cell r="J783">
            <v>0</v>
          </cell>
          <cell r="K783">
            <v>0</v>
          </cell>
          <cell r="L783">
            <v>0</v>
          </cell>
          <cell r="M783">
            <v>304400</v>
          </cell>
          <cell r="N783">
            <v>0</v>
          </cell>
          <cell r="O783" t="str">
            <v>Переданные кредитные ресурсы по вкладу "Оила"</v>
          </cell>
        </row>
        <row r="784">
          <cell r="A784">
            <v>9</v>
          </cell>
          <cell r="B784">
            <v>214</v>
          </cell>
          <cell r="C784">
            <v>3563</v>
          </cell>
          <cell r="D784">
            <v>827.02</v>
          </cell>
          <cell r="E784">
            <v>18</v>
          </cell>
          <cell r="F784">
            <v>16101.08</v>
          </cell>
          <cell r="H784">
            <v>1</v>
          </cell>
          <cell r="I784">
            <v>50000</v>
          </cell>
          <cell r="J784">
            <v>0</v>
          </cell>
          <cell r="K784">
            <v>0</v>
          </cell>
          <cell r="L784">
            <v>0</v>
          </cell>
          <cell r="M784">
            <v>50000</v>
          </cell>
          <cell r="N784">
            <v>0</v>
          </cell>
          <cell r="O784" t="str">
            <v>Переданные кредитные ресурсы по вкладу "Оила"</v>
          </cell>
        </row>
        <row r="785">
          <cell r="A785">
            <v>9</v>
          </cell>
          <cell r="B785">
            <v>214</v>
          </cell>
          <cell r="C785">
            <v>5996</v>
          </cell>
          <cell r="D785">
            <v>827.02</v>
          </cell>
          <cell r="E785">
            <v>18</v>
          </cell>
          <cell r="F785">
            <v>16101.08</v>
          </cell>
          <cell r="H785">
            <v>1</v>
          </cell>
          <cell r="I785">
            <v>66000</v>
          </cell>
          <cell r="J785">
            <v>0</v>
          </cell>
          <cell r="K785">
            <v>0</v>
          </cell>
          <cell r="L785">
            <v>0</v>
          </cell>
          <cell r="M785">
            <v>66000</v>
          </cell>
          <cell r="N785">
            <v>0</v>
          </cell>
          <cell r="O785" t="str">
            <v>Переданные кредитные ресурсы по вкладу "Оила"</v>
          </cell>
        </row>
        <row r="786">
          <cell r="A786">
            <v>9</v>
          </cell>
          <cell r="B786">
            <v>214</v>
          </cell>
          <cell r="C786">
            <v>7783</v>
          </cell>
          <cell r="D786">
            <v>827.02</v>
          </cell>
          <cell r="E786">
            <v>18</v>
          </cell>
          <cell r="F786">
            <v>16101.08</v>
          </cell>
          <cell r="H786">
            <v>1</v>
          </cell>
          <cell r="I786">
            <v>86000</v>
          </cell>
          <cell r="J786">
            <v>0</v>
          </cell>
          <cell r="K786">
            <v>0</v>
          </cell>
          <cell r="L786">
            <v>0</v>
          </cell>
          <cell r="M786">
            <v>86000</v>
          </cell>
          <cell r="N786">
            <v>0</v>
          </cell>
          <cell r="O786" t="str">
            <v>Переданные кредитные ресурсы по вкладу "Оила"</v>
          </cell>
        </row>
        <row r="787">
          <cell r="A787">
            <v>9</v>
          </cell>
          <cell r="B787">
            <v>214</v>
          </cell>
          <cell r="C787">
            <v>8137</v>
          </cell>
          <cell r="D787">
            <v>827.02</v>
          </cell>
          <cell r="E787">
            <v>18</v>
          </cell>
          <cell r="F787">
            <v>16101.08</v>
          </cell>
          <cell r="H787">
            <v>1</v>
          </cell>
          <cell r="I787">
            <v>60000</v>
          </cell>
          <cell r="J787">
            <v>0</v>
          </cell>
          <cell r="K787">
            <v>0</v>
          </cell>
          <cell r="L787">
            <v>0</v>
          </cell>
          <cell r="M787">
            <v>60000</v>
          </cell>
          <cell r="N787">
            <v>0</v>
          </cell>
          <cell r="O787" t="str">
            <v>Переданные кредитные ресурсы по вкладу "Оила"</v>
          </cell>
        </row>
        <row r="788">
          <cell r="A788">
            <v>9</v>
          </cell>
          <cell r="B788">
            <v>214</v>
          </cell>
          <cell r="C788">
            <v>8298</v>
          </cell>
          <cell r="D788">
            <v>827.02</v>
          </cell>
          <cell r="E788">
            <v>18</v>
          </cell>
          <cell r="F788">
            <v>16101.08</v>
          </cell>
          <cell r="H788">
            <v>1</v>
          </cell>
          <cell r="I788">
            <v>25000</v>
          </cell>
          <cell r="J788">
            <v>0</v>
          </cell>
          <cell r="K788">
            <v>0</v>
          </cell>
          <cell r="L788">
            <v>0</v>
          </cell>
          <cell r="M788">
            <v>25000</v>
          </cell>
          <cell r="N788">
            <v>0</v>
          </cell>
          <cell r="O788" t="str">
            <v>Переданные кредитные ресурсы по вкладу "Оила"</v>
          </cell>
        </row>
        <row r="789">
          <cell r="A789">
            <v>9</v>
          </cell>
          <cell r="B789">
            <v>214</v>
          </cell>
          <cell r="C789">
            <v>8659</v>
          </cell>
          <cell r="D789">
            <v>827.02</v>
          </cell>
          <cell r="E789">
            <v>18</v>
          </cell>
          <cell r="F789">
            <v>16101.08</v>
          </cell>
          <cell r="H789">
            <v>1</v>
          </cell>
          <cell r="I789">
            <v>17400</v>
          </cell>
          <cell r="J789">
            <v>0</v>
          </cell>
          <cell r="K789">
            <v>0</v>
          </cell>
          <cell r="L789">
            <v>0</v>
          </cell>
          <cell r="M789">
            <v>17400</v>
          </cell>
          <cell r="N789">
            <v>0</v>
          </cell>
          <cell r="O789" t="str">
            <v>Переданные кредитные ресурсы по вкладу "Оила"</v>
          </cell>
        </row>
        <row r="790">
          <cell r="A790">
            <v>9</v>
          </cell>
          <cell r="B790">
            <v>214</v>
          </cell>
          <cell r="C790">
            <v>3563</v>
          </cell>
          <cell r="D790">
            <v>829</v>
          </cell>
          <cell r="E790">
            <v>19</v>
          </cell>
          <cell r="F790">
            <v>20296.060000000001</v>
          </cell>
          <cell r="H790">
            <v>2</v>
          </cell>
          <cell r="I790">
            <v>0</v>
          </cell>
          <cell r="J790">
            <v>30545.9</v>
          </cell>
          <cell r="K790">
            <v>498329.19</v>
          </cell>
          <cell r="L790">
            <v>522559.87</v>
          </cell>
          <cell r="M790">
            <v>0</v>
          </cell>
          <cell r="N790">
            <v>54776.58</v>
          </cell>
          <cell r="O790" t="str">
            <v>Personal nafaqalar bo`yicha NAFAQA JAMG`ARMASIning mablag`la</v>
          </cell>
        </row>
        <row r="791">
          <cell r="A791">
            <v>9</v>
          </cell>
          <cell r="B791">
            <v>214</v>
          </cell>
          <cell r="C791">
            <v>7948</v>
          </cell>
          <cell r="D791">
            <v>829</v>
          </cell>
          <cell r="E791">
            <v>19</v>
          </cell>
          <cell r="F791">
            <v>20296.060000000001</v>
          </cell>
          <cell r="H791">
            <v>2</v>
          </cell>
          <cell r="I791">
            <v>0</v>
          </cell>
          <cell r="J791">
            <v>0</v>
          </cell>
          <cell r="K791">
            <v>275432.90000000002</v>
          </cell>
          <cell r="L791">
            <v>275432.90000000002</v>
          </cell>
          <cell r="M791">
            <v>0</v>
          </cell>
          <cell r="N791">
            <v>0</v>
          </cell>
          <cell r="O791" t="str">
            <v>Personal nafaqalar bo`yicha NAFAQA JAMG`ARMASIning mablag`la</v>
          </cell>
        </row>
        <row r="792">
          <cell r="A792">
            <v>9</v>
          </cell>
          <cell r="B792">
            <v>214</v>
          </cell>
          <cell r="C792">
            <v>3563</v>
          </cell>
          <cell r="D792">
            <v>893.01</v>
          </cell>
          <cell r="E792">
            <v>20</v>
          </cell>
          <cell r="F792">
            <v>22202.01</v>
          </cell>
          <cell r="H792">
            <v>2</v>
          </cell>
          <cell r="I792">
            <v>0</v>
          </cell>
          <cell r="J792">
            <v>3623443.03</v>
          </cell>
          <cell r="K792">
            <v>320103927.24000001</v>
          </cell>
          <cell r="L792">
            <v>316480484.20999998</v>
          </cell>
          <cell r="M792">
            <v>0</v>
          </cell>
          <cell r="N792">
            <v>0</v>
          </cell>
          <cell r="O792" t="str">
            <v>Поступления для зачисления во вклады</v>
          </cell>
        </row>
        <row r="793">
          <cell r="A793">
            <v>9</v>
          </cell>
          <cell r="B793">
            <v>214</v>
          </cell>
          <cell r="C793">
            <v>5996</v>
          </cell>
          <cell r="D793">
            <v>893.01</v>
          </cell>
          <cell r="E793">
            <v>20</v>
          </cell>
          <cell r="F793">
            <v>22202.01</v>
          </cell>
          <cell r="H793">
            <v>2</v>
          </cell>
          <cell r="I793">
            <v>0</v>
          </cell>
          <cell r="J793">
            <v>0</v>
          </cell>
          <cell r="K793">
            <v>205951450.99000001</v>
          </cell>
          <cell r="L793">
            <v>206052264.05000001</v>
          </cell>
          <cell r="M793">
            <v>0</v>
          </cell>
          <cell r="N793">
            <v>100813.06</v>
          </cell>
          <cell r="O793" t="str">
            <v>Поступления для зачисления во вклады</v>
          </cell>
        </row>
        <row r="794">
          <cell r="A794">
            <v>9</v>
          </cell>
          <cell r="B794">
            <v>214</v>
          </cell>
          <cell r="C794">
            <v>7783</v>
          </cell>
          <cell r="D794">
            <v>893.01</v>
          </cell>
          <cell r="E794">
            <v>20</v>
          </cell>
          <cell r="F794">
            <v>22202.01</v>
          </cell>
          <cell r="H794">
            <v>2</v>
          </cell>
          <cell r="I794">
            <v>0</v>
          </cell>
          <cell r="J794">
            <v>5136.8</v>
          </cell>
          <cell r="K794">
            <v>94735732.609999999</v>
          </cell>
          <cell r="L794">
            <v>94884392.590000004</v>
          </cell>
          <cell r="M794">
            <v>0</v>
          </cell>
          <cell r="N794">
            <v>153796.78</v>
          </cell>
          <cell r="O794" t="str">
            <v>Поступления для зачисления во вклады</v>
          </cell>
        </row>
        <row r="795">
          <cell r="A795">
            <v>9</v>
          </cell>
          <cell r="B795">
            <v>214</v>
          </cell>
          <cell r="C795">
            <v>7845</v>
          </cell>
          <cell r="D795">
            <v>893.01</v>
          </cell>
          <cell r="E795">
            <v>20</v>
          </cell>
          <cell r="F795">
            <v>22202.01</v>
          </cell>
          <cell r="H795">
            <v>2</v>
          </cell>
          <cell r="I795">
            <v>0</v>
          </cell>
          <cell r="J795">
            <v>0</v>
          </cell>
          <cell r="K795">
            <v>101979747.58</v>
          </cell>
          <cell r="L795">
            <v>101979747.58</v>
          </cell>
          <cell r="M795">
            <v>0</v>
          </cell>
          <cell r="N795">
            <v>0</v>
          </cell>
          <cell r="O795" t="str">
            <v>Поступления для зачисления во вклады</v>
          </cell>
        </row>
        <row r="796">
          <cell r="A796">
            <v>9</v>
          </cell>
          <cell r="B796">
            <v>214</v>
          </cell>
          <cell r="C796">
            <v>7948</v>
          </cell>
          <cell r="D796">
            <v>893.01</v>
          </cell>
          <cell r="E796">
            <v>20</v>
          </cell>
          <cell r="F796">
            <v>22202.01</v>
          </cell>
          <cell r="H796">
            <v>2</v>
          </cell>
          <cell r="I796">
            <v>0</v>
          </cell>
          <cell r="J796">
            <v>0</v>
          </cell>
          <cell r="K796">
            <v>4812402.2</v>
          </cell>
          <cell r="L796">
            <v>4812402.2</v>
          </cell>
          <cell r="M796">
            <v>0</v>
          </cell>
          <cell r="N796">
            <v>0</v>
          </cell>
          <cell r="O796" t="str">
            <v>Поступления для зачисления во вклады</v>
          </cell>
        </row>
        <row r="797">
          <cell r="A797">
            <v>9</v>
          </cell>
          <cell r="B797">
            <v>214</v>
          </cell>
          <cell r="C797">
            <v>8002</v>
          </cell>
          <cell r="D797">
            <v>893.01</v>
          </cell>
          <cell r="E797">
            <v>20</v>
          </cell>
          <cell r="F797">
            <v>22202.01</v>
          </cell>
          <cell r="H797">
            <v>2</v>
          </cell>
          <cell r="I797">
            <v>0</v>
          </cell>
          <cell r="J797">
            <v>60179.22</v>
          </cell>
          <cell r="K797">
            <v>78850756.900000006</v>
          </cell>
          <cell r="L797">
            <v>78790577.680000007</v>
          </cell>
          <cell r="M797">
            <v>0</v>
          </cell>
          <cell r="N797">
            <v>0</v>
          </cell>
          <cell r="O797" t="str">
            <v>Поступления для зачисления во вклады</v>
          </cell>
        </row>
        <row r="798">
          <cell r="A798">
            <v>9</v>
          </cell>
          <cell r="B798">
            <v>214</v>
          </cell>
          <cell r="C798">
            <v>8104</v>
          </cell>
          <cell r="D798">
            <v>893.01</v>
          </cell>
          <cell r="E798">
            <v>20</v>
          </cell>
          <cell r="F798">
            <v>22202.01</v>
          </cell>
          <cell r="H798">
            <v>2</v>
          </cell>
          <cell r="I798">
            <v>0</v>
          </cell>
          <cell r="J798">
            <v>0</v>
          </cell>
          <cell r="K798">
            <v>390673.11</v>
          </cell>
          <cell r="L798">
            <v>390673.11</v>
          </cell>
          <cell r="M798">
            <v>0</v>
          </cell>
          <cell r="N798">
            <v>0</v>
          </cell>
          <cell r="O798" t="str">
            <v>Поступления для зачисления во вклады</v>
          </cell>
        </row>
        <row r="799">
          <cell r="A799">
            <v>9</v>
          </cell>
          <cell r="B799">
            <v>214</v>
          </cell>
          <cell r="C799">
            <v>8298</v>
          </cell>
          <cell r="D799">
            <v>893.01</v>
          </cell>
          <cell r="E799">
            <v>20</v>
          </cell>
          <cell r="F799">
            <v>22202.01</v>
          </cell>
          <cell r="H799">
            <v>2</v>
          </cell>
          <cell r="I799">
            <v>0</v>
          </cell>
          <cell r="J799">
            <v>0</v>
          </cell>
          <cell r="K799">
            <v>3410895.11</v>
          </cell>
          <cell r="L799">
            <v>3410895.11</v>
          </cell>
          <cell r="M799">
            <v>0</v>
          </cell>
          <cell r="N799">
            <v>0</v>
          </cell>
          <cell r="O799" t="str">
            <v>Поступления для зачисления во вклады</v>
          </cell>
        </row>
        <row r="800">
          <cell r="A800">
            <v>9</v>
          </cell>
          <cell r="B800">
            <v>214</v>
          </cell>
          <cell r="C800">
            <v>8659</v>
          </cell>
          <cell r="D800">
            <v>893.01</v>
          </cell>
          <cell r="E800">
            <v>20</v>
          </cell>
          <cell r="F800">
            <v>22202.01</v>
          </cell>
          <cell r="H800">
            <v>2</v>
          </cell>
          <cell r="I800">
            <v>0</v>
          </cell>
          <cell r="J800">
            <v>0</v>
          </cell>
          <cell r="K800">
            <v>7823133.6100000003</v>
          </cell>
          <cell r="L800">
            <v>7823133.6100000003</v>
          </cell>
          <cell r="M800">
            <v>0</v>
          </cell>
          <cell r="N800">
            <v>0</v>
          </cell>
          <cell r="O800" t="str">
            <v>Поступления для зачисления во вклады</v>
          </cell>
        </row>
        <row r="801">
          <cell r="A801">
            <v>9</v>
          </cell>
          <cell r="B801">
            <v>214</v>
          </cell>
          <cell r="C801">
            <v>7783</v>
          </cell>
          <cell r="D801">
            <v>893.1</v>
          </cell>
          <cell r="E801">
            <v>20</v>
          </cell>
          <cell r="F801">
            <v>16101.01</v>
          </cell>
          <cell r="H801">
            <v>1</v>
          </cell>
          <cell r="I801">
            <v>0</v>
          </cell>
          <cell r="J801">
            <v>0</v>
          </cell>
          <cell r="K801">
            <v>17000</v>
          </cell>
          <cell r="L801">
            <v>17000</v>
          </cell>
          <cell r="M801">
            <v>0</v>
          </cell>
          <cell r="N801">
            <v>0</v>
          </cell>
          <cell r="O801" t="str">
            <v>Выдача по вкладам за подотчетные кассы по ф.59</v>
          </cell>
        </row>
        <row r="802">
          <cell r="A802">
            <v>9</v>
          </cell>
          <cell r="B802">
            <v>214</v>
          </cell>
          <cell r="C802">
            <v>7948</v>
          </cell>
          <cell r="D802">
            <v>893.1</v>
          </cell>
          <cell r="E802">
            <v>20</v>
          </cell>
          <cell r="F802">
            <v>16101.01</v>
          </cell>
          <cell r="H802">
            <v>1</v>
          </cell>
          <cell r="I802">
            <v>0</v>
          </cell>
          <cell r="J802">
            <v>0</v>
          </cell>
          <cell r="K802">
            <v>1250135</v>
          </cell>
          <cell r="L802">
            <v>1250135</v>
          </cell>
          <cell r="M802">
            <v>0</v>
          </cell>
          <cell r="N802">
            <v>0</v>
          </cell>
          <cell r="O802" t="str">
            <v>Выдача по вкладам за подотчетные кассы по ф.59</v>
          </cell>
        </row>
        <row r="803">
          <cell r="A803">
            <v>9</v>
          </cell>
          <cell r="B803">
            <v>214</v>
          </cell>
          <cell r="C803">
            <v>8137</v>
          </cell>
          <cell r="D803">
            <v>893.1</v>
          </cell>
          <cell r="E803">
            <v>20</v>
          </cell>
          <cell r="F803">
            <v>16101.01</v>
          </cell>
          <cell r="H803">
            <v>1</v>
          </cell>
          <cell r="I803">
            <v>0</v>
          </cell>
          <cell r="J803">
            <v>0</v>
          </cell>
          <cell r="K803">
            <v>2693466.27</v>
          </cell>
          <cell r="L803">
            <v>2693466.27</v>
          </cell>
          <cell r="M803">
            <v>0</v>
          </cell>
          <cell r="N803">
            <v>0</v>
          </cell>
          <cell r="O803" t="str">
            <v>Выдача по вкладам за подотчетные кассы по ф.59</v>
          </cell>
        </row>
        <row r="804">
          <cell r="A804">
            <v>9</v>
          </cell>
          <cell r="B804">
            <v>214</v>
          </cell>
          <cell r="C804">
            <v>7783</v>
          </cell>
          <cell r="D804">
            <v>893.11</v>
          </cell>
          <cell r="E804">
            <v>20</v>
          </cell>
          <cell r="F804">
            <v>22202.02</v>
          </cell>
          <cell r="H804">
            <v>2</v>
          </cell>
          <cell r="I804">
            <v>0</v>
          </cell>
          <cell r="J804">
            <v>0</v>
          </cell>
          <cell r="K804">
            <v>2731151.53</v>
          </cell>
          <cell r="L804">
            <v>2912766.53</v>
          </cell>
          <cell r="M804">
            <v>0</v>
          </cell>
          <cell r="N804">
            <v>181615</v>
          </cell>
          <cell r="O804" t="str">
            <v>Списано со вклада (перевод по ф.143)</v>
          </cell>
        </row>
        <row r="805">
          <cell r="A805">
            <v>9</v>
          </cell>
          <cell r="B805">
            <v>214</v>
          </cell>
          <cell r="C805">
            <v>7948</v>
          </cell>
          <cell r="D805">
            <v>893.11</v>
          </cell>
          <cell r="E805">
            <v>20</v>
          </cell>
          <cell r="F805">
            <v>22202.02</v>
          </cell>
          <cell r="H805">
            <v>2</v>
          </cell>
          <cell r="I805">
            <v>0</v>
          </cell>
          <cell r="J805">
            <v>0</v>
          </cell>
          <cell r="K805">
            <v>643601</v>
          </cell>
          <cell r="L805">
            <v>643601</v>
          </cell>
          <cell r="M805">
            <v>0</v>
          </cell>
          <cell r="N805">
            <v>0</v>
          </cell>
          <cell r="O805" t="str">
            <v>Списано со вклада (перевод по ф.143)</v>
          </cell>
        </row>
        <row r="806">
          <cell r="A806">
            <v>9</v>
          </cell>
          <cell r="B806">
            <v>214</v>
          </cell>
          <cell r="C806">
            <v>3563</v>
          </cell>
          <cell r="D806">
            <v>893.12</v>
          </cell>
          <cell r="E806">
            <v>20</v>
          </cell>
          <cell r="F806">
            <v>22202.03</v>
          </cell>
          <cell r="H806">
            <v>2</v>
          </cell>
          <cell r="I806">
            <v>0</v>
          </cell>
          <cell r="J806">
            <v>0</v>
          </cell>
          <cell r="K806">
            <v>355452145.68000001</v>
          </cell>
          <cell r="L806">
            <v>358906581.17000002</v>
          </cell>
          <cell r="M806">
            <v>0</v>
          </cell>
          <cell r="N806">
            <v>3454435.49</v>
          </cell>
          <cell r="O806" t="str">
            <v>Списано со вклада (поручение вкладчика по ф.187)</v>
          </cell>
        </row>
        <row r="807">
          <cell r="A807">
            <v>9</v>
          </cell>
          <cell r="B807">
            <v>214</v>
          </cell>
          <cell r="C807">
            <v>7783</v>
          </cell>
          <cell r="D807">
            <v>893.12</v>
          </cell>
          <cell r="E807">
            <v>20</v>
          </cell>
          <cell r="F807">
            <v>22202.03</v>
          </cell>
          <cell r="H807">
            <v>2</v>
          </cell>
          <cell r="I807">
            <v>0</v>
          </cell>
          <cell r="J807">
            <v>0</v>
          </cell>
          <cell r="K807">
            <v>6601185.5599999996</v>
          </cell>
          <cell r="L807">
            <v>6601185.5599999996</v>
          </cell>
          <cell r="M807">
            <v>0</v>
          </cell>
          <cell r="N807">
            <v>0</v>
          </cell>
          <cell r="O807" t="str">
            <v>Списано со вклада (поручение вкладчика по ф.187)</v>
          </cell>
        </row>
        <row r="808">
          <cell r="A808">
            <v>9</v>
          </cell>
          <cell r="B808">
            <v>214</v>
          </cell>
          <cell r="C808">
            <v>7948</v>
          </cell>
          <cell r="D808">
            <v>893.12</v>
          </cell>
          <cell r="E808">
            <v>20</v>
          </cell>
          <cell r="F808">
            <v>22202.03</v>
          </cell>
          <cell r="H808">
            <v>2</v>
          </cell>
          <cell r="I808">
            <v>0</v>
          </cell>
          <cell r="J808">
            <v>0</v>
          </cell>
          <cell r="K808">
            <v>1038675.54</v>
          </cell>
          <cell r="L808">
            <v>1038675.54</v>
          </cell>
          <cell r="M808">
            <v>0</v>
          </cell>
          <cell r="N808">
            <v>0</v>
          </cell>
          <cell r="O808" t="str">
            <v>Списано со вклада (поручение вкладчика по ф.187)</v>
          </cell>
        </row>
        <row r="809">
          <cell r="A809">
            <v>9</v>
          </cell>
          <cell r="B809">
            <v>214</v>
          </cell>
          <cell r="C809">
            <v>214</v>
          </cell>
          <cell r="D809">
            <v>893.13</v>
          </cell>
          <cell r="E809">
            <v>0</v>
          </cell>
          <cell r="F809">
            <v>16101.02</v>
          </cell>
          <cell r="H809">
            <v>0</v>
          </cell>
          <cell r="I809">
            <v>0</v>
          </cell>
          <cell r="J809">
            <v>0</v>
          </cell>
          <cell r="K809">
            <v>1003994.95</v>
          </cell>
          <cell r="L809">
            <v>0</v>
          </cell>
          <cell r="M809">
            <v>1003994.95</v>
          </cell>
          <cell r="N809">
            <v>0</v>
          </cell>
          <cell r="O809" t="str">
            <v>Расчеты по ценным бумагам и ДВЛ</v>
          </cell>
        </row>
        <row r="810">
          <cell r="A810">
            <v>9</v>
          </cell>
          <cell r="B810">
            <v>214</v>
          </cell>
          <cell r="C810">
            <v>8659</v>
          </cell>
          <cell r="D810">
            <v>893.13</v>
          </cell>
          <cell r="E810">
            <v>0</v>
          </cell>
          <cell r="F810">
            <v>16101.02</v>
          </cell>
          <cell r="H810">
            <v>0</v>
          </cell>
          <cell r="I810">
            <v>0</v>
          </cell>
          <cell r="J810">
            <v>0</v>
          </cell>
          <cell r="K810">
            <v>2850</v>
          </cell>
          <cell r="L810">
            <v>0</v>
          </cell>
          <cell r="M810">
            <v>2850</v>
          </cell>
          <cell r="N810">
            <v>0</v>
          </cell>
          <cell r="O810" t="str">
            <v>Расчеты по ценным бумагам и ДВЛ</v>
          </cell>
        </row>
        <row r="811">
          <cell r="A811">
            <v>9</v>
          </cell>
          <cell r="B811">
            <v>214</v>
          </cell>
          <cell r="C811">
            <v>214</v>
          </cell>
          <cell r="D811">
            <v>893.14</v>
          </cell>
          <cell r="E811">
            <v>0</v>
          </cell>
          <cell r="F811">
            <v>16101.03</v>
          </cell>
          <cell r="H811">
            <v>0</v>
          </cell>
          <cell r="I811">
            <v>0</v>
          </cell>
          <cell r="J811">
            <v>0</v>
          </cell>
          <cell r="K811">
            <v>2300.61</v>
          </cell>
          <cell r="L811">
            <v>0</v>
          </cell>
          <cell r="M811">
            <v>2300.61</v>
          </cell>
          <cell r="N811">
            <v>0</v>
          </cell>
          <cell r="O811" t="str">
            <v>Расчеты по товарно/материальным ценностям</v>
          </cell>
        </row>
        <row r="812">
          <cell r="A812">
            <v>9</v>
          </cell>
          <cell r="B812">
            <v>214</v>
          </cell>
          <cell r="C812">
            <v>8659</v>
          </cell>
          <cell r="D812">
            <v>893.14</v>
          </cell>
          <cell r="E812">
            <v>0</v>
          </cell>
          <cell r="F812">
            <v>16101.03</v>
          </cell>
          <cell r="H812">
            <v>0</v>
          </cell>
          <cell r="I812">
            <v>0</v>
          </cell>
          <cell r="J812">
            <v>0</v>
          </cell>
          <cell r="K812">
            <v>343134.94</v>
          </cell>
          <cell r="L812">
            <v>0</v>
          </cell>
          <cell r="M812">
            <v>343134.94</v>
          </cell>
          <cell r="N812">
            <v>0</v>
          </cell>
          <cell r="O812" t="str">
            <v>Расчеты по товарно/материальным ценностям</v>
          </cell>
        </row>
        <row r="813">
          <cell r="A813">
            <v>9</v>
          </cell>
          <cell r="B813">
            <v>214</v>
          </cell>
          <cell r="C813">
            <v>214</v>
          </cell>
          <cell r="D813">
            <v>893.16</v>
          </cell>
          <cell r="E813">
            <v>0</v>
          </cell>
          <cell r="F813">
            <v>29202.080000000002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328443.71999999997</v>
          </cell>
          <cell r="M813">
            <v>0</v>
          </cell>
          <cell r="N813">
            <v>328443.71999999997</v>
          </cell>
          <cell r="O813" t="str">
            <v>К оплате в глав офис расчеты по ценным бумагам и ДВЛ</v>
          </cell>
        </row>
        <row r="814">
          <cell r="A814">
            <v>9</v>
          </cell>
          <cell r="B814">
            <v>214</v>
          </cell>
          <cell r="C814">
            <v>8298</v>
          </cell>
          <cell r="D814">
            <v>902.01</v>
          </cell>
          <cell r="E814">
            <v>21</v>
          </cell>
          <cell r="F814">
            <v>17305</v>
          </cell>
          <cell r="H814">
            <v>1</v>
          </cell>
          <cell r="I814">
            <v>0</v>
          </cell>
          <cell r="J814">
            <v>0</v>
          </cell>
          <cell r="K814">
            <v>14000</v>
          </cell>
          <cell r="L814">
            <v>14000</v>
          </cell>
          <cell r="M814">
            <v>0</v>
          </cell>
          <cell r="N814">
            <v>0</v>
          </cell>
          <cell r="O814" t="str">
            <v>Суммы до выяснения (Дебет)</v>
          </cell>
        </row>
        <row r="815">
          <cell r="A815">
            <v>9</v>
          </cell>
          <cell r="B815">
            <v>214</v>
          </cell>
          <cell r="C815">
            <v>8533</v>
          </cell>
          <cell r="D815">
            <v>902.01</v>
          </cell>
          <cell r="E815">
            <v>21</v>
          </cell>
          <cell r="F815">
            <v>17305</v>
          </cell>
          <cell r="H815">
            <v>1</v>
          </cell>
          <cell r="I815">
            <v>0</v>
          </cell>
          <cell r="J815">
            <v>0</v>
          </cell>
          <cell r="K815">
            <v>135386.42000000001</v>
          </cell>
          <cell r="L815">
            <v>135386.42000000001</v>
          </cell>
          <cell r="M815">
            <v>0</v>
          </cell>
          <cell r="N815">
            <v>0</v>
          </cell>
          <cell r="O815" t="str">
            <v>Суммы до выяснения (Дебет)</v>
          </cell>
        </row>
        <row r="816">
          <cell r="A816">
            <v>9</v>
          </cell>
          <cell r="B816">
            <v>214</v>
          </cell>
          <cell r="C816">
            <v>3563</v>
          </cell>
          <cell r="D816">
            <v>902.02</v>
          </cell>
          <cell r="E816">
            <v>21</v>
          </cell>
          <cell r="F816">
            <v>23206</v>
          </cell>
          <cell r="H816">
            <v>2</v>
          </cell>
          <cell r="I816">
            <v>0</v>
          </cell>
          <cell r="J816">
            <v>0</v>
          </cell>
          <cell r="K816">
            <v>224372.71</v>
          </cell>
          <cell r="L816">
            <v>224372.71</v>
          </cell>
          <cell r="M816">
            <v>0</v>
          </cell>
          <cell r="N816">
            <v>0</v>
          </cell>
          <cell r="O816" t="str">
            <v>Суммы до выяснения (кредит)</v>
          </cell>
        </row>
        <row r="817">
          <cell r="A817">
            <v>9</v>
          </cell>
          <cell r="B817">
            <v>214</v>
          </cell>
          <cell r="C817">
            <v>7783</v>
          </cell>
          <cell r="D817">
            <v>902.02</v>
          </cell>
          <cell r="E817">
            <v>21</v>
          </cell>
          <cell r="F817">
            <v>23206</v>
          </cell>
          <cell r="H817">
            <v>2</v>
          </cell>
          <cell r="I817">
            <v>0</v>
          </cell>
          <cell r="J817">
            <v>9968.09</v>
          </cell>
          <cell r="K817">
            <v>331443.17</v>
          </cell>
          <cell r="L817">
            <v>321475.08</v>
          </cell>
          <cell r="M817">
            <v>0</v>
          </cell>
          <cell r="N817">
            <v>0</v>
          </cell>
          <cell r="O817" t="str">
            <v>Суммы до выяснения (кредит)</v>
          </cell>
        </row>
        <row r="818">
          <cell r="A818">
            <v>9</v>
          </cell>
          <cell r="B818">
            <v>214</v>
          </cell>
          <cell r="C818">
            <v>7845</v>
          </cell>
          <cell r="D818">
            <v>902.02</v>
          </cell>
          <cell r="E818">
            <v>21</v>
          </cell>
          <cell r="F818">
            <v>23206</v>
          </cell>
          <cell r="H818">
            <v>2</v>
          </cell>
          <cell r="I818">
            <v>0</v>
          </cell>
          <cell r="J818">
            <v>0</v>
          </cell>
          <cell r="K818">
            <v>135000</v>
          </cell>
          <cell r="L818">
            <v>135000</v>
          </cell>
          <cell r="M818">
            <v>0</v>
          </cell>
          <cell r="N818">
            <v>0</v>
          </cell>
          <cell r="O818" t="str">
            <v>Суммы до выяснения (кредит)</v>
          </cell>
        </row>
        <row r="819">
          <cell r="A819">
            <v>9</v>
          </cell>
          <cell r="B819">
            <v>214</v>
          </cell>
          <cell r="C819">
            <v>8137</v>
          </cell>
          <cell r="D819">
            <v>902.02</v>
          </cell>
          <cell r="E819">
            <v>21</v>
          </cell>
          <cell r="F819">
            <v>23206</v>
          </cell>
          <cell r="H819">
            <v>2</v>
          </cell>
          <cell r="I819">
            <v>0</v>
          </cell>
          <cell r="J819">
            <v>0</v>
          </cell>
          <cell r="K819">
            <v>13745</v>
          </cell>
          <cell r="L819">
            <v>13745</v>
          </cell>
          <cell r="M819">
            <v>0</v>
          </cell>
          <cell r="N819">
            <v>0</v>
          </cell>
          <cell r="O819" t="str">
            <v>Суммы до выяснения (кредит)</v>
          </cell>
        </row>
        <row r="820">
          <cell r="A820">
            <v>9</v>
          </cell>
          <cell r="B820">
            <v>214</v>
          </cell>
          <cell r="C820">
            <v>8533</v>
          </cell>
          <cell r="D820">
            <v>902.02</v>
          </cell>
          <cell r="E820">
            <v>21</v>
          </cell>
          <cell r="F820">
            <v>23206</v>
          </cell>
          <cell r="H820">
            <v>2</v>
          </cell>
          <cell r="I820">
            <v>0</v>
          </cell>
          <cell r="J820">
            <v>0</v>
          </cell>
          <cell r="K820">
            <v>15839</v>
          </cell>
          <cell r="L820">
            <v>15839</v>
          </cell>
          <cell r="M820">
            <v>0</v>
          </cell>
          <cell r="N820">
            <v>0</v>
          </cell>
          <cell r="O820" t="str">
            <v>Суммы до выяснения (кредит)</v>
          </cell>
        </row>
        <row r="821">
          <cell r="A821">
            <v>9</v>
          </cell>
          <cell r="B821">
            <v>214</v>
          </cell>
          <cell r="C821">
            <v>8659</v>
          </cell>
          <cell r="D821">
            <v>902.02</v>
          </cell>
          <cell r="E821">
            <v>21</v>
          </cell>
          <cell r="F821">
            <v>23206</v>
          </cell>
          <cell r="H821">
            <v>2</v>
          </cell>
          <cell r="I821">
            <v>0</v>
          </cell>
          <cell r="J821">
            <v>0</v>
          </cell>
          <cell r="K821">
            <v>714509</v>
          </cell>
          <cell r="L821">
            <v>714509</v>
          </cell>
          <cell r="M821">
            <v>0</v>
          </cell>
          <cell r="N821">
            <v>0</v>
          </cell>
          <cell r="O821" t="str">
            <v>Суммы до выяснения (кредит)</v>
          </cell>
        </row>
        <row r="822">
          <cell r="A822">
            <v>9</v>
          </cell>
          <cell r="B822">
            <v>214</v>
          </cell>
          <cell r="C822">
            <v>7845</v>
          </cell>
          <cell r="D822">
            <v>904.01</v>
          </cell>
          <cell r="E822">
            <v>21</v>
          </cell>
          <cell r="F822">
            <v>19905</v>
          </cell>
          <cell r="H822">
            <v>1</v>
          </cell>
          <cell r="I822">
            <v>127261</v>
          </cell>
          <cell r="J822">
            <v>0</v>
          </cell>
          <cell r="K822">
            <v>0</v>
          </cell>
          <cell r="L822">
            <v>127261</v>
          </cell>
          <cell r="M822">
            <v>0</v>
          </cell>
          <cell r="N822">
            <v>0</v>
          </cell>
          <cell r="O822" t="str">
            <v>Возвращенные чеки и др.кассовые документы</v>
          </cell>
        </row>
        <row r="823">
          <cell r="A823">
            <v>9</v>
          </cell>
          <cell r="B823">
            <v>214</v>
          </cell>
          <cell r="C823">
            <v>7948</v>
          </cell>
          <cell r="D823">
            <v>904.01</v>
          </cell>
          <cell r="E823">
            <v>21</v>
          </cell>
          <cell r="F823">
            <v>19905</v>
          </cell>
          <cell r="H823">
            <v>1</v>
          </cell>
          <cell r="I823">
            <v>1055692.32</v>
          </cell>
          <cell r="J823">
            <v>0</v>
          </cell>
          <cell r="K823">
            <v>2530</v>
          </cell>
          <cell r="L823">
            <v>768882.8</v>
          </cell>
          <cell r="M823">
            <v>289339.52000000002</v>
          </cell>
          <cell r="N823">
            <v>0</v>
          </cell>
          <cell r="O823" t="str">
            <v>Возвращенные чеки и др.кассовые документы</v>
          </cell>
        </row>
        <row r="824">
          <cell r="A824">
            <v>9</v>
          </cell>
          <cell r="B824">
            <v>214</v>
          </cell>
          <cell r="C824">
            <v>8104</v>
          </cell>
          <cell r="D824">
            <v>904.01</v>
          </cell>
          <cell r="E824">
            <v>21</v>
          </cell>
          <cell r="F824">
            <v>19905</v>
          </cell>
          <cell r="H824">
            <v>1</v>
          </cell>
          <cell r="I824">
            <v>38436</v>
          </cell>
          <cell r="J824">
            <v>0</v>
          </cell>
          <cell r="K824">
            <v>0</v>
          </cell>
          <cell r="L824">
            <v>38436</v>
          </cell>
          <cell r="M824">
            <v>0</v>
          </cell>
          <cell r="N824">
            <v>0</v>
          </cell>
          <cell r="O824" t="str">
            <v>Возвращенные чеки и др.кассовые документы</v>
          </cell>
        </row>
        <row r="825">
          <cell r="A825">
            <v>9</v>
          </cell>
          <cell r="B825">
            <v>214</v>
          </cell>
          <cell r="C825">
            <v>8533</v>
          </cell>
          <cell r="D825">
            <v>904.01</v>
          </cell>
          <cell r="E825">
            <v>21</v>
          </cell>
          <cell r="F825">
            <v>19905</v>
          </cell>
          <cell r="H825">
            <v>1</v>
          </cell>
          <cell r="I825">
            <v>0</v>
          </cell>
          <cell r="J825">
            <v>0</v>
          </cell>
          <cell r="K825">
            <v>33000</v>
          </cell>
          <cell r="L825">
            <v>33000</v>
          </cell>
          <cell r="M825">
            <v>0</v>
          </cell>
          <cell r="N825">
            <v>0</v>
          </cell>
          <cell r="O825" t="str">
            <v>Возвращенные чеки и др.кассовые документы</v>
          </cell>
        </row>
        <row r="826">
          <cell r="A826">
            <v>9</v>
          </cell>
          <cell r="B826">
            <v>214</v>
          </cell>
          <cell r="C826">
            <v>214</v>
          </cell>
          <cell r="D826">
            <v>904.02</v>
          </cell>
          <cell r="E826">
            <v>21</v>
          </cell>
          <cell r="F826">
            <v>19909.009999999998</v>
          </cell>
          <cell r="H826">
            <v>1</v>
          </cell>
          <cell r="I826">
            <v>252666.97</v>
          </cell>
          <cell r="J826">
            <v>0</v>
          </cell>
          <cell r="K826">
            <v>4982629.12</v>
          </cell>
          <cell r="L826">
            <v>5217630.09</v>
          </cell>
          <cell r="M826">
            <v>17666</v>
          </cell>
          <cell r="N826">
            <v>0</v>
          </cell>
          <cell r="O826" t="str">
            <v>Счета к получению (Расчеты с разн.организ)</v>
          </cell>
        </row>
        <row r="827">
          <cell r="A827">
            <v>9</v>
          </cell>
          <cell r="B827">
            <v>214</v>
          </cell>
          <cell r="C827">
            <v>3563</v>
          </cell>
          <cell r="D827">
            <v>904.02</v>
          </cell>
          <cell r="E827">
            <v>21</v>
          </cell>
          <cell r="F827">
            <v>19909.009999999998</v>
          </cell>
          <cell r="H827">
            <v>1</v>
          </cell>
          <cell r="I827">
            <v>223806</v>
          </cell>
          <cell r="J827">
            <v>0</v>
          </cell>
          <cell r="K827">
            <v>151087.54999999999</v>
          </cell>
          <cell r="L827">
            <v>374893.55</v>
          </cell>
          <cell r="M827">
            <v>0</v>
          </cell>
          <cell r="N827">
            <v>0</v>
          </cell>
          <cell r="O827" t="str">
            <v>Счета к получению (Расчеты с разн.организ)</v>
          </cell>
        </row>
        <row r="828">
          <cell r="A828">
            <v>9</v>
          </cell>
          <cell r="B828">
            <v>214</v>
          </cell>
          <cell r="C828">
            <v>5996</v>
          </cell>
          <cell r="D828">
            <v>904.02</v>
          </cell>
          <cell r="E828">
            <v>21</v>
          </cell>
          <cell r="F828">
            <v>19909.009999999998</v>
          </cell>
          <cell r="H828">
            <v>1</v>
          </cell>
          <cell r="I828">
            <v>6962</v>
          </cell>
          <cell r="J828">
            <v>0</v>
          </cell>
          <cell r="K828">
            <v>134255.6</v>
          </cell>
          <cell r="L828">
            <v>141217.60000000001</v>
          </cell>
          <cell r="M828">
            <v>0</v>
          </cell>
          <cell r="N828">
            <v>0</v>
          </cell>
          <cell r="O828" t="str">
            <v>Счета к получению (Расчеты с разн.организ)</v>
          </cell>
        </row>
        <row r="829">
          <cell r="A829">
            <v>9</v>
          </cell>
          <cell r="B829">
            <v>214</v>
          </cell>
          <cell r="C829">
            <v>7783</v>
          </cell>
          <cell r="D829">
            <v>904.02</v>
          </cell>
          <cell r="E829">
            <v>21</v>
          </cell>
          <cell r="F829">
            <v>19909.009999999998</v>
          </cell>
          <cell r="H829">
            <v>1</v>
          </cell>
          <cell r="I829">
            <v>2883.9</v>
          </cell>
          <cell r="J829">
            <v>0</v>
          </cell>
          <cell r="K829">
            <v>0</v>
          </cell>
          <cell r="L829">
            <v>2883.9</v>
          </cell>
          <cell r="M829">
            <v>0</v>
          </cell>
          <cell r="N829">
            <v>0</v>
          </cell>
          <cell r="O829" t="str">
            <v>Счета к получению (Расчеты с разн.организ)</v>
          </cell>
        </row>
        <row r="830">
          <cell r="A830">
            <v>9</v>
          </cell>
          <cell r="B830">
            <v>214</v>
          </cell>
          <cell r="C830">
            <v>7948</v>
          </cell>
          <cell r="D830">
            <v>904.02</v>
          </cell>
          <cell r="E830">
            <v>21</v>
          </cell>
          <cell r="F830">
            <v>19909.009999999998</v>
          </cell>
          <cell r="H830">
            <v>1</v>
          </cell>
          <cell r="I830">
            <v>19150</v>
          </cell>
          <cell r="J830">
            <v>0</v>
          </cell>
          <cell r="K830">
            <v>416774.49</v>
          </cell>
          <cell r="L830">
            <v>435924.49</v>
          </cell>
          <cell r="M830">
            <v>0</v>
          </cell>
          <cell r="N830">
            <v>0</v>
          </cell>
          <cell r="O830" t="str">
            <v>Счета к получению (Расчеты с разн.организ)</v>
          </cell>
        </row>
        <row r="831">
          <cell r="A831">
            <v>9</v>
          </cell>
          <cell r="B831">
            <v>214</v>
          </cell>
          <cell r="C831">
            <v>8104</v>
          </cell>
          <cell r="D831">
            <v>904.02</v>
          </cell>
          <cell r="E831">
            <v>21</v>
          </cell>
          <cell r="F831">
            <v>19909.009999999998</v>
          </cell>
          <cell r="H831">
            <v>1</v>
          </cell>
          <cell r="I831">
            <v>18842</v>
          </cell>
          <cell r="J831">
            <v>0</v>
          </cell>
          <cell r="K831">
            <v>150000</v>
          </cell>
          <cell r="L831">
            <v>168842</v>
          </cell>
          <cell r="M831">
            <v>0</v>
          </cell>
          <cell r="N831">
            <v>0</v>
          </cell>
          <cell r="O831" t="str">
            <v>Счета к получению (Расчеты с разн.организ)</v>
          </cell>
        </row>
        <row r="832">
          <cell r="A832">
            <v>9</v>
          </cell>
          <cell r="B832">
            <v>214</v>
          </cell>
          <cell r="C832">
            <v>8137</v>
          </cell>
          <cell r="D832">
            <v>904.02</v>
          </cell>
          <cell r="E832">
            <v>21</v>
          </cell>
          <cell r="F832">
            <v>19909.009999999998</v>
          </cell>
          <cell r="H832">
            <v>1</v>
          </cell>
          <cell r="I832">
            <v>0</v>
          </cell>
          <cell r="J832">
            <v>0</v>
          </cell>
          <cell r="K832">
            <v>346827.28</v>
          </cell>
          <cell r="L832">
            <v>346827.28</v>
          </cell>
          <cell r="M832">
            <v>0</v>
          </cell>
          <cell r="N832">
            <v>0</v>
          </cell>
          <cell r="O832" t="str">
            <v>Счета к получению (Расчеты с разн.организ)</v>
          </cell>
        </row>
        <row r="833">
          <cell r="A833">
            <v>9</v>
          </cell>
          <cell r="B833">
            <v>214</v>
          </cell>
          <cell r="C833">
            <v>8298</v>
          </cell>
          <cell r="D833">
            <v>904.02</v>
          </cell>
          <cell r="E833">
            <v>21</v>
          </cell>
          <cell r="F833">
            <v>19909.009999999998</v>
          </cell>
          <cell r="H833">
            <v>1</v>
          </cell>
          <cell r="I833">
            <v>12412.1</v>
          </cell>
          <cell r="J833">
            <v>0</v>
          </cell>
          <cell r="K833">
            <v>435800</v>
          </cell>
          <cell r="L833">
            <v>448212.1</v>
          </cell>
          <cell r="M833">
            <v>0</v>
          </cell>
          <cell r="N833">
            <v>0</v>
          </cell>
          <cell r="O833" t="str">
            <v>Счета к получению (Расчеты с разн.организ)</v>
          </cell>
        </row>
        <row r="834">
          <cell r="A834">
            <v>9</v>
          </cell>
          <cell r="B834">
            <v>214</v>
          </cell>
          <cell r="C834">
            <v>8533</v>
          </cell>
          <cell r="D834">
            <v>904.02</v>
          </cell>
          <cell r="E834">
            <v>21</v>
          </cell>
          <cell r="F834">
            <v>19909.009999999998</v>
          </cell>
          <cell r="H834">
            <v>1</v>
          </cell>
          <cell r="I834">
            <v>3466.95</v>
          </cell>
          <cell r="J834">
            <v>0</v>
          </cell>
          <cell r="K834">
            <v>20774.93</v>
          </cell>
          <cell r="L834">
            <v>24241.88</v>
          </cell>
          <cell r="M834">
            <v>0</v>
          </cell>
          <cell r="N834">
            <v>0</v>
          </cell>
          <cell r="O834" t="str">
            <v>Счета к получению (Расчеты с разн.организ)</v>
          </cell>
        </row>
        <row r="835">
          <cell r="A835">
            <v>9</v>
          </cell>
          <cell r="B835">
            <v>214</v>
          </cell>
          <cell r="C835">
            <v>8659</v>
          </cell>
          <cell r="D835">
            <v>904.02</v>
          </cell>
          <cell r="E835">
            <v>21</v>
          </cell>
          <cell r="F835">
            <v>19909.009999999998</v>
          </cell>
          <cell r="H835">
            <v>1</v>
          </cell>
          <cell r="I835">
            <v>19081.5</v>
          </cell>
          <cell r="J835">
            <v>0</v>
          </cell>
          <cell r="K835">
            <v>431378.74</v>
          </cell>
          <cell r="L835">
            <v>450460.24</v>
          </cell>
          <cell r="M835">
            <v>0</v>
          </cell>
          <cell r="N835">
            <v>0</v>
          </cell>
          <cell r="O835" t="str">
            <v>Счета к получению (Расчеты с разн.организ)</v>
          </cell>
        </row>
        <row r="836">
          <cell r="A836">
            <v>9</v>
          </cell>
          <cell r="B836">
            <v>214</v>
          </cell>
          <cell r="C836">
            <v>214</v>
          </cell>
          <cell r="D836">
            <v>904.03</v>
          </cell>
          <cell r="E836">
            <v>0</v>
          </cell>
          <cell r="F836">
            <v>29801.02</v>
          </cell>
          <cell r="H836">
            <v>0</v>
          </cell>
          <cell r="I836">
            <v>0</v>
          </cell>
          <cell r="J836">
            <v>0</v>
          </cell>
          <cell r="K836">
            <v>1192812</v>
          </cell>
          <cell r="L836">
            <v>1192812</v>
          </cell>
          <cell r="M836">
            <v>0</v>
          </cell>
          <cell r="N836">
            <v>0</v>
          </cell>
          <cell r="O836" t="str">
            <v>Расчеты с клиентами (З/П и др. выплаты по Ф.54)</v>
          </cell>
        </row>
        <row r="837">
          <cell r="A837">
            <v>9</v>
          </cell>
          <cell r="B837">
            <v>214</v>
          </cell>
          <cell r="C837">
            <v>3563</v>
          </cell>
          <cell r="D837">
            <v>904.03</v>
          </cell>
          <cell r="E837">
            <v>0</v>
          </cell>
          <cell r="F837">
            <v>29801.02</v>
          </cell>
          <cell r="H837">
            <v>0</v>
          </cell>
          <cell r="I837">
            <v>0</v>
          </cell>
          <cell r="J837">
            <v>11849.25</v>
          </cell>
          <cell r="K837">
            <v>2131795.84</v>
          </cell>
          <cell r="L837">
            <v>2510962.21</v>
          </cell>
          <cell r="M837">
            <v>0</v>
          </cell>
          <cell r="N837">
            <v>391015.62</v>
          </cell>
          <cell r="O837" t="str">
            <v>Расчеты с клиентами (З/П и др. выплаты по Ф.54)</v>
          </cell>
        </row>
        <row r="838">
          <cell r="A838">
            <v>9</v>
          </cell>
          <cell r="B838">
            <v>214</v>
          </cell>
          <cell r="C838">
            <v>5996</v>
          </cell>
          <cell r="D838">
            <v>904.03</v>
          </cell>
          <cell r="E838">
            <v>0</v>
          </cell>
          <cell r="F838">
            <v>29801.02</v>
          </cell>
          <cell r="H838">
            <v>0</v>
          </cell>
          <cell r="I838">
            <v>0</v>
          </cell>
          <cell r="J838">
            <v>0</v>
          </cell>
          <cell r="K838">
            <v>113184884.02</v>
          </cell>
          <cell r="L838">
            <v>113184884.02</v>
          </cell>
          <cell r="M838">
            <v>0</v>
          </cell>
          <cell r="N838">
            <v>0</v>
          </cell>
          <cell r="O838" t="str">
            <v>Расчеты с клиентами (З/П и др. выплаты по Ф.54)</v>
          </cell>
        </row>
        <row r="839">
          <cell r="A839">
            <v>9</v>
          </cell>
          <cell r="B839">
            <v>214</v>
          </cell>
          <cell r="C839">
            <v>7783</v>
          </cell>
          <cell r="D839">
            <v>904.03</v>
          </cell>
          <cell r="E839">
            <v>0</v>
          </cell>
          <cell r="F839">
            <v>29801.02</v>
          </cell>
          <cell r="H839">
            <v>0</v>
          </cell>
          <cell r="I839">
            <v>0</v>
          </cell>
          <cell r="J839">
            <v>0</v>
          </cell>
          <cell r="K839">
            <v>1135752.18</v>
          </cell>
          <cell r="L839">
            <v>1135752.18</v>
          </cell>
          <cell r="M839">
            <v>0</v>
          </cell>
          <cell r="N839">
            <v>0</v>
          </cell>
          <cell r="O839" t="str">
            <v>Расчеты с клиентами (З/П и др. выплаты по Ф.54)</v>
          </cell>
        </row>
        <row r="840">
          <cell r="A840">
            <v>9</v>
          </cell>
          <cell r="B840">
            <v>214</v>
          </cell>
          <cell r="C840">
            <v>7948</v>
          </cell>
          <cell r="D840">
            <v>904.03</v>
          </cell>
          <cell r="E840">
            <v>0</v>
          </cell>
          <cell r="F840">
            <v>29801.02</v>
          </cell>
          <cell r="H840">
            <v>0</v>
          </cell>
          <cell r="I840">
            <v>0</v>
          </cell>
          <cell r="J840">
            <v>0</v>
          </cell>
          <cell r="K840">
            <v>3175117</v>
          </cell>
          <cell r="L840">
            <v>3175117</v>
          </cell>
          <cell r="M840">
            <v>0</v>
          </cell>
          <cell r="N840">
            <v>0</v>
          </cell>
          <cell r="O840" t="str">
            <v>Расчеты с клиентами (З/П и др. выплаты по Ф.54)</v>
          </cell>
        </row>
        <row r="841">
          <cell r="A841">
            <v>9</v>
          </cell>
          <cell r="B841">
            <v>214</v>
          </cell>
          <cell r="C841">
            <v>8002</v>
          </cell>
          <cell r="D841">
            <v>904.03</v>
          </cell>
          <cell r="E841">
            <v>0</v>
          </cell>
          <cell r="F841">
            <v>29801.02</v>
          </cell>
          <cell r="H841">
            <v>0</v>
          </cell>
          <cell r="I841">
            <v>0</v>
          </cell>
          <cell r="J841">
            <v>0</v>
          </cell>
          <cell r="K841">
            <v>50049665</v>
          </cell>
          <cell r="L841">
            <v>50054765</v>
          </cell>
          <cell r="M841">
            <v>0</v>
          </cell>
          <cell r="N841">
            <v>5100</v>
          </cell>
          <cell r="O841" t="str">
            <v>Расчеты с клиентами (З/П и др. выплаты по Ф.54)</v>
          </cell>
        </row>
        <row r="842">
          <cell r="A842">
            <v>9</v>
          </cell>
          <cell r="B842">
            <v>214</v>
          </cell>
          <cell r="C842">
            <v>8104</v>
          </cell>
          <cell r="D842">
            <v>904.03</v>
          </cell>
          <cell r="E842">
            <v>0</v>
          </cell>
          <cell r="F842">
            <v>29801.02</v>
          </cell>
          <cell r="H842">
            <v>2</v>
          </cell>
          <cell r="I842">
            <v>0</v>
          </cell>
          <cell r="J842">
            <v>0</v>
          </cell>
          <cell r="K842">
            <v>936805</v>
          </cell>
          <cell r="L842">
            <v>936805</v>
          </cell>
          <cell r="M842">
            <v>0</v>
          </cell>
          <cell r="N842">
            <v>0</v>
          </cell>
          <cell r="O842" t="str">
            <v>Расчеты с клиентами (З/П и др. выплаты по Ф.54)</v>
          </cell>
        </row>
        <row r="843">
          <cell r="A843">
            <v>9</v>
          </cell>
          <cell r="B843">
            <v>214</v>
          </cell>
          <cell r="C843">
            <v>8137</v>
          </cell>
          <cell r="D843">
            <v>904.03</v>
          </cell>
          <cell r="E843">
            <v>0</v>
          </cell>
          <cell r="F843">
            <v>29801.02</v>
          </cell>
          <cell r="H843">
            <v>2</v>
          </cell>
          <cell r="I843">
            <v>0</v>
          </cell>
          <cell r="J843">
            <v>0</v>
          </cell>
          <cell r="K843">
            <v>33467313</v>
          </cell>
          <cell r="L843">
            <v>33467313</v>
          </cell>
          <cell r="M843">
            <v>0</v>
          </cell>
          <cell r="N843">
            <v>0</v>
          </cell>
          <cell r="O843" t="str">
            <v>Расчеты с клиентами (З/П и др. выплаты по Ф.54)</v>
          </cell>
        </row>
        <row r="844">
          <cell r="A844">
            <v>9</v>
          </cell>
          <cell r="B844">
            <v>214</v>
          </cell>
          <cell r="C844">
            <v>8298</v>
          </cell>
          <cell r="D844">
            <v>904.03</v>
          </cell>
          <cell r="E844">
            <v>0</v>
          </cell>
          <cell r="F844">
            <v>29801.02</v>
          </cell>
          <cell r="H844">
            <v>0</v>
          </cell>
          <cell r="I844">
            <v>0</v>
          </cell>
          <cell r="J844">
            <v>0</v>
          </cell>
          <cell r="K844">
            <v>61413659.520000003</v>
          </cell>
          <cell r="L844">
            <v>61413659.520000003</v>
          </cell>
          <cell r="M844">
            <v>0</v>
          </cell>
          <cell r="N844">
            <v>0</v>
          </cell>
          <cell r="O844" t="str">
            <v>Расчеты с клиентами (З/П и др. выплаты по Ф.54)</v>
          </cell>
        </row>
        <row r="845">
          <cell r="A845">
            <v>9</v>
          </cell>
          <cell r="B845">
            <v>214</v>
          </cell>
          <cell r="C845">
            <v>8533</v>
          </cell>
          <cell r="D845">
            <v>904.03</v>
          </cell>
          <cell r="E845">
            <v>0</v>
          </cell>
          <cell r="F845">
            <v>29801.02</v>
          </cell>
          <cell r="H845">
            <v>0</v>
          </cell>
          <cell r="I845">
            <v>0</v>
          </cell>
          <cell r="J845">
            <v>0</v>
          </cell>
          <cell r="K845">
            <v>2280306</v>
          </cell>
          <cell r="L845">
            <v>2280306</v>
          </cell>
          <cell r="M845">
            <v>0</v>
          </cell>
          <cell r="N845">
            <v>0</v>
          </cell>
          <cell r="O845" t="str">
            <v>Расчеты с клиентами (З/П и др. выплаты по Ф.54)</v>
          </cell>
        </row>
        <row r="846">
          <cell r="A846">
            <v>9</v>
          </cell>
          <cell r="B846">
            <v>214</v>
          </cell>
          <cell r="C846">
            <v>8659</v>
          </cell>
          <cell r="D846">
            <v>904.03</v>
          </cell>
          <cell r="E846">
            <v>0</v>
          </cell>
          <cell r="F846">
            <v>29801.02</v>
          </cell>
          <cell r="H846">
            <v>0</v>
          </cell>
          <cell r="I846">
            <v>0</v>
          </cell>
          <cell r="J846">
            <v>0</v>
          </cell>
          <cell r="K846">
            <v>12560031.050000001</v>
          </cell>
          <cell r="L846">
            <v>12560031.050000001</v>
          </cell>
          <cell r="M846">
            <v>0</v>
          </cell>
          <cell r="N846">
            <v>0</v>
          </cell>
          <cell r="O846" t="str">
            <v>Расчеты с клиентами (З/П и др. выплаты по Ф.54)</v>
          </cell>
        </row>
        <row r="847">
          <cell r="A847">
            <v>9</v>
          </cell>
          <cell r="B847">
            <v>214</v>
          </cell>
          <cell r="C847">
            <v>5996</v>
          </cell>
          <cell r="D847">
            <v>904.04</v>
          </cell>
          <cell r="E847">
            <v>21</v>
          </cell>
          <cell r="F847">
            <v>19925</v>
          </cell>
          <cell r="H847">
            <v>1</v>
          </cell>
          <cell r="I847">
            <v>0</v>
          </cell>
          <cell r="J847">
            <v>0</v>
          </cell>
          <cell r="K847">
            <v>210731.19</v>
          </cell>
          <cell r="L847">
            <v>210731.19</v>
          </cell>
          <cell r="M847">
            <v>0</v>
          </cell>
          <cell r="N847">
            <v>0</v>
          </cell>
          <cell r="O847" t="str">
            <v>Предварительно оплаченные расходы (авансы)</v>
          </cell>
        </row>
        <row r="848">
          <cell r="A848">
            <v>9</v>
          </cell>
          <cell r="B848">
            <v>214</v>
          </cell>
          <cell r="C848">
            <v>8137</v>
          </cell>
          <cell r="D848">
            <v>904.04</v>
          </cell>
          <cell r="E848">
            <v>21</v>
          </cell>
          <cell r="F848">
            <v>19925</v>
          </cell>
          <cell r="H848">
            <v>1</v>
          </cell>
          <cell r="I848">
            <v>0</v>
          </cell>
          <cell r="J848">
            <v>0</v>
          </cell>
          <cell r="K848">
            <v>36250</v>
          </cell>
          <cell r="L848">
            <v>36250</v>
          </cell>
          <cell r="M848">
            <v>0</v>
          </cell>
          <cell r="N848">
            <v>0</v>
          </cell>
          <cell r="O848" t="str">
            <v>Предварительно оплаченные расходы (авансы)</v>
          </cell>
        </row>
        <row r="849">
          <cell r="A849">
            <v>9</v>
          </cell>
          <cell r="B849">
            <v>214</v>
          </cell>
          <cell r="C849">
            <v>3563</v>
          </cell>
          <cell r="D849">
            <v>904.05</v>
          </cell>
          <cell r="E849">
            <v>0</v>
          </cell>
          <cell r="F849">
            <v>19908.03</v>
          </cell>
          <cell r="H849">
            <v>0</v>
          </cell>
          <cell r="I849">
            <v>0</v>
          </cell>
          <cell r="J849">
            <v>0</v>
          </cell>
          <cell r="K849">
            <v>880804</v>
          </cell>
          <cell r="L849">
            <v>131000</v>
          </cell>
          <cell r="M849">
            <v>749804</v>
          </cell>
          <cell r="N849">
            <v>0</v>
          </cell>
          <cell r="O849" t="str">
            <v>Расчеты с сотрудниками банка (Ущерб причиненный мат-ответ.ли</v>
          </cell>
        </row>
        <row r="850">
          <cell r="A850">
            <v>9</v>
          </cell>
          <cell r="B850">
            <v>214</v>
          </cell>
          <cell r="C850">
            <v>5996</v>
          </cell>
          <cell r="D850">
            <v>904.05</v>
          </cell>
          <cell r="E850">
            <v>0</v>
          </cell>
          <cell r="F850">
            <v>19908.03</v>
          </cell>
          <cell r="H850">
            <v>0</v>
          </cell>
          <cell r="I850">
            <v>593250</v>
          </cell>
          <cell r="J850">
            <v>0</v>
          </cell>
          <cell r="K850">
            <v>0</v>
          </cell>
          <cell r="L850">
            <v>593250</v>
          </cell>
          <cell r="M850">
            <v>0</v>
          </cell>
          <cell r="N850">
            <v>0</v>
          </cell>
          <cell r="O850" t="str">
            <v>Расчеты с сотрудниками банка (Ущерб причиненный мат-ответ.ли</v>
          </cell>
        </row>
        <row r="851">
          <cell r="A851">
            <v>9</v>
          </cell>
          <cell r="B851">
            <v>214</v>
          </cell>
          <cell r="C851">
            <v>7783</v>
          </cell>
          <cell r="D851">
            <v>904.05</v>
          </cell>
          <cell r="E851">
            <v>0</v>
          </cell>
          <cell r="F851">
            <v>19908.03</v>
          </cell>
          <cell r="H851">
            <v>0</v>
          </cell>
          <cell r="I851">
            <v>0</v>
          </cell>
          <cell r="J851">
            <v>0</v>
          </cell>
          <cell r="K851">
            <v>949574</v>
          </cell>
          <cell r="L851">
            <v>949574</v>
          </cell>
          <cell r="M851">
            <v>0</v>
          </cell>
          <cell r="N851">
            <v>0</v>
          </cell>
          <cell r="O851" t="str">
            <v>Расчеты с сотрудниками банка (Ущерб причиненный мат-ответ.ли</v>
          </cell>
        </row>
        <row r="852">
          <cell r="A852">
            <v>9</v>
          </cell>
          <cell r="B852">
            <v>214</v>
          </cell>
          <cell r="C852">
            <v>7948</v>
          </cell>
          <cell r="D852">
            <v>904.05</v>
          </cell>
          <cell r="E852">
            <v>0</v>
          </cell>
          <cell r="F852">
            <v>19908.03</v>
          </cell>
          <cell r="H852">
            <v>0</v>
          </cell>
          <cell r="I852">
            <v>72561</v>
          </cell>
          <cell r="J852">
            <v>0</v>
          </cell>
          <cell r="K852">
            <v>0</v>
          </cell>
          <cell r="L852">
            <v>13500</v>
          </cell>
          <cell r="M852">
            <v>59061</v>
          </cell>
          <cell r="N852">
            <v>0</v>
          </cell>
          <cell r="O852" t="str">
            <v>Расчеты с сотрудниками банка (Ущерб причиненный мат-ответ.ли</v>
          </cell>
        </row>
        <row r="853">
          <cell r="A853">
            <v>9</v>
          </cell>
          <cell r="B853">
            <v>214</v>
          </cell>
          <cell r="C853">
            <v>3563</v>
          </cell>
          <cell r="D853">
            <v>904.06</v>
          </cell>
          <cell r="E853">
            <v>21</v>
          </cell>
          <cell r="F853">
            <v>19935</v>
          </cell>
          <cell r="H853">
            <v>1</v>
          </cell>
          <cell r="I853">
            <v>0</v>
          </cell>
          <cell r="J853">
            <v>0</v>
          </cell>
          <cell r="K853">
            <v>98756.1</v>
          </cell>
          <cell r="L853">
            <v>98756.1</v>
          </cell>
          <cell r="M853">
            <v>0</v>
          </cell>
          <cell r="N853">
            <v>0</v>
          </cell>
          <cell r="O853" t="str">
            <v>Hедостачи наличности - счет 87/2</v>
          </cell>
        </row>
        <row r="854">
          <cell r="A854">
            <v>9</v>
          </cell>
          <cell r="B854">
            <v>214</v>
          </cell>
          <cell r="C854">
            <v>5996</v>
          </cell>
          <cell r="D854">
            <v>904.06</v>
          </cell>
          <cell r="E854">
            <v>21</v>
          </cell>
          <cell r="F854">
            <v>19935</v>
          </cell>
          <cell r="H854">
            <v>1</v>
          </cell>
          <cell r="I854">
            <v>0</v>
          </cell>
          <cell r="J854">
            <v>0</v>
          </cell>
          <cell r="K854">
            <v>4194.1499999999996</v>
          </cell>
          <cell r="L854">
            <v>4194.1499999999996</v>
          </cell>
          <cell r="M854">
            <v>0</v>
          </cell>
          <cell r="N854">
            <v>0</v>
          </cell>
          <cell r="O854" t="str">
            <v>Hедостачи наличности - счет 87/2</v>
          </cell>
        </row>
        <row r="855">
          <cell r="A855">
            <v>9</v>
          </cell>
          <cell r="B855">
            <v>214</v>
          </cell>
          <cell r="C855">
            <v>7783</v>
          </cell>
          <cell r="D855">
            <v>904.06</v>
          </cell>
          <cell r="E855">
            <v>21</v>
          </cell>
          <cell r="F855">
            <v>19935</v>
          </cell>
          <cell r="H855">
            <v>1</v>
          </cell>
          <cell r="I855">
            <v>0</v>
          </cell>
          <cell r="J855">
            <v>0</v>
          </cell>
          <cell r="K855">
            <v>2750.03</v>
          </cell>
          <cell r="L855">
            <v>2750.03</v>
          </cell>
          <cell r="M855">
            <v>0</v>
          </cell>
          <cell r="N855">
            <v>0</v>
          </cell>
          <cell r="O855" t="str">
            <v>Hедостачи наличности - счет 87/2</v>
          </cell>
        </row>
        <row r="856">
          <cell r="A856">
            <v>9</v>
          </cell>
          <cell r="B856">
            <v>214</v>
          </cell>
          <cell r="C856">
            <v>7845</v>
          </cell>
          <cell r="D856">
            <v>904.06</v>
          </cell>
          <cell r="E856">
            <v>21</v>
          </cell>
          <cell r="F856">
            <v>19935</v>
          </cell>
          <cell r="H856">
            <v>1</v>
          </cell>
          <cell r="I856">
            <v>0</v>
          </cell>
          <cell r="J856">
            <v>0</v>
          </cell>
          <cell r="K856">
            <v>7287.89</v>
          </cell>
          <cell r="L856">
            <v>7287.89</v>
          </cell>
          <cell r="M856">
            <v>0</v>
          </cell>
          <cell r="N856">
            <v>0</v>
          </cell>
          <cell r="O856" t="str">
            <v>Hедостачи наличности - счет 87/2</v>
          </cell>
        </row>
        <row r="857">
          <cell r="A857">
            <v>9</v>
          </cell>
          <cell r="B857">
            <v>214</v>
          </cell>
          <cell r="C857">
            <v>7948</v>
          </cell>
          <cell r="D857">
            <v>904.06</v>
          </cell>
          <cell r="E857">
            <v>21</v>
          </cell>
          <cell r="F857">
            <v>19935</v>
          </cell>
          <cell r="H857">
            <v>1</v>
          </cell>
          <cell r="I857">
            <v>0</v>
          </cell>
          <cell r="J857">
            <v>0</v>
          </cell>
          <cell r="K857">
            <v>15919.42</v>
          </cell>
          <cell r="L857">
            <v>15919.42</v>
          </cell>
          <cell r="M857">
            <v>0</v>
          </cell>
          <cell r="N857">
            <v>0</v>
          </cell>
          <cell r="O857" t="str">
            <v>Hедостачи наличности - счет 87/2</v>
          </cell>
        </row>
        <row r="858">
          <cell r="A858">
            <v>9</v>
          </cell>
          <cell r="B858">
            <v>214</v>
          </cell>
          <cell r="C858">
            <v>8104</v>
          </cell>
          <cell r="D858">
            <v>904.06</v>
          </cell>
          <cell r="E858">
            <v>21</v>
          </cell>
          <cell r="F858">
            <v>19935</v>
          </cell>
          <cell r="H858">
            <v>1</v>
          </cell>
          <cell r="I858">
            <v>0</v>
          </cell>
          <cell r="J858">
            <v>0</v>
          </cell>
          <cell r="K858">
            <v>10209.76</v>
          </cell>
          <cell r="L858">
            <v>10209.76</v>
          </cell>
          <cell r="M858">
            <v>0</v>
          </cell>
          <cell r="N858">
            <v>0</v>
          </cell>
          <cell r="O858" t="str">
            <v>Hедостачи наличности - счет 87/2</v>
          </cell>
        </row>
        <row r="859">
          <cell r="A859">
            <v>9</v>
          </cell>
          <cell r="B859">
            <v>214</v>
          </cell>
          <cell r="C859">
            <v>8137</v>
          </cell>
          <cell r="D859">
            <v>904.06</v>
          </cell>
          <cell r="E859">
            <v>21</v>
          </cell>
          <cell r="F859">
            <v>19935</v>
          </cell>
          <cell r="H859">
            <v>1</v>
          </cell>
          <cell r="I859">
            <v>0</v>
          </cell>
          <cell r="J859">
            <v>0</v>
          </cell>
          <cell r="K859">
            <v>6499.33</v>
          </cell>
          <cell r="L859">
            <v>6499.33</v>
          </cell>
          <cell r="M859">
            <v>0</v>
          </cell>
          <cell r="N859">
            <v>0</v>
          </cell>
          <cell r="O859" t="str">
            <v>Hедостачи наличности - счет 87/2</v>
          </cell>
        </row>
        <row r="860">
          <cell r="A860">
            <v>9</v>
          </cell>
          <cell r="B860">
            <v>214</v>
          </cell>
          <cell r="C860">
            <v>8298</v>
          </cell>
          <cell r="D860">
            <v>904.06</v>
          </cell>
          <cell r="E860">
            <v>21</v>
          </cell>
          <cell r="F860">
            <v>19935</v>
          </cell>
          <cell r="H860">
            <v>1</v>
          </cell>
          <cell r="I860">
            <v>0</v>
          </cell>
          <cell r="J860">
            <v>0</v>
          </cell>
          <cell r="K860">
            <v>3370.25</v>
          </cell>
          <cell r="L860">
            <v>3370.25</v>
          </cell>
          <cell r="M860">
            <v>0</v>
          </cell>
          <cell r="N860">
            <v>0</v>
          </cell>
          <cell r="O860" t="str">
            <v>Hедостачи наличности - счет 87/2</v>
          </cell>
        </row>
        <row r="861">
          <cell r="A861">
            <v>9</v>
          </cell>
          <cell r="B861">
            <v>214</v>
          </cell>
          <cell r="C861">
            <v>8659</v>
          </cell>
          <cell r="D861">
            <v>904.06</v>
          </cell>
          <cell r="E861">
            <v>21</v>
          </cell>
          <cell r="F861">
            <v>19935</v>
          </cell>
          <cell r="H861">
            <v>1</v>
          </cell>
          <cell r="I861">
            <v>0</v>
          </cell>
          <cell r="J861">
            <v>0</v>
          </cell>
          <cell r="K861">
            <v>78.84</v>
          </cell>
          <cell r="L861">
            <v>78.84</v>
          </cell>
          <cell r="M861">
            <v>0</v>
          </cell>
          <cell r="N861">
            <v>0</v>
          </cell>
          <cell r="O861" t="str">
            <v>Hедостачи наличности - счет 87/2</v>
          </cell>
        </row>
        <row r="862">
          <cell r="A862">
            <v>9</v>
          </cell>
          <cell r="B862">
            <v>214</v>
          </cell>
          <cell r="C862">
            <v>214</v>
          </cell>
          <cell r="D862">
            <v>904.08</v>
          </cell>
          <cell r="E862">
            <v>0</v>
          </cell>
          <cell r="F862">
            <v>29802.03</v>
          </cell>
          <cell r="H862">
            <v>0</v>
          </cell>
          <cell r="I862">
            <v>0</v>
          </cell>
          <cell r="J862">
            <v>597148.6</v>
          </cell>
          <cell r="K862">
            <v>62389678.289999999</v>
          </cell>
          <cell r="L862">
            <v>62204060.390000001</v>
          </cell>
          <cell r="M862">
            <v>0</v>
          </cell>
          <cell r="N862">
            <v>411530.7</v>
          </cell>
          <cell r="O862" t="str">
            <v>счета к оплате за МТЦ и услуги</v>
          </cell>
        </row>
        <row r="863">
          <cell r="A863">
            <v>9</v>
          </cell>
          <cell r="B863">
            <v>214</v>
          </cell>
          <cell r="C863">
            <v>3563</v>
          </cell>
          <cell r="D863">
            <v>904.08</v>
          </cell>
          <cell r="E863">
            <v>0</v>
          </cell>
          <cell r="F863">
            <v>29802.03</v>
          </cell>
          <cell r="H863">
            <v>0</v>
          </cell>
          <cell r="I863">
            <v>0</v>
          </cell>
          <cell r="J863">
            <v>1157039.93</v>
          </cell>
          <cell r="K863">
            <v>1263619.93</v>
          </cell>
          <cell r="L863">
            <v>106580</v>
          </cell>
          <cell r="M863">
            <v>0</v>
          </cell>
          <cell r="N863">
            <v>0</v>
          </cell>
          <cell r="O863" t="str">
            <v>счета к оплате за МТЦ и услуги</v>
          </cell>
        </row>
        <row r="864">
          <cell r="A864">
            <v>9</v>
          </cell>
          <cell r="B864">
            <v>214</v>
          </cell>
          <cell r="C864">
            <v>5996</v>
          </cell>
          <cell r="D864">
            <v>904.08</v>
          </cell>
          <cell r="E864">
            <v>0</v>
          </cell>
          <cell r="F864">
            <v>29802.03</v>
          </cell>
          <cell r="H864">
            <v>0</v>
          </cell>
          <cell r="I864">
            <v>0</v>
          </cell>
          <cell r="J864">
            <v>167012.17000000001</v>
          </cell>
          <cell r="K864">
            <v>746846.91</v>
          </cell>
          <cell r="L864">
            <v>579834.74</v>
          </cell>
          <cell r="M864">
            <v>0</v>
          </cell>
          <cell r="N864">
            <v>0</v>
          </cell>
          <cell r="O864" t="str">
            <v>счета к оплате за МТЦ и услуги</v>
          </cell>
        </row>
        <row r="865">
          <cell r="A865">
            <v>9</v>
          </cell>
          <cell r="B865">
            <v>214</v>
          </cell>
          <cell r="C865">
            <v>7783</v>
          </cell>
          <cell r="D865">
            <v>904.08</v>
          </cell>
          <cell r="E865">
            <v>0</v>
          </cell>
          <cell r="F865">
            <v>29802.03</v>
          </cell>
          <cell r="H865">
            <v>0</v>
          </cell>
          <cell r="I865">
            <v>0</v>
          </cell>
          <cell r="J865">
            <v>1126265.57</v>
          </cell>
          <cell r="K865">
            <v>1421660.03</v>
          </cell>
          <cell r="L865">
            <v>405394.46</v>
          </cell>
          <cell r="M865">
            <v>0</v>
          </cell>
          <cell r="N865">
            <v>110000</v>
          </cell>
          <cell r="O865" t="str">
            <v>счета к оплате за МТЦ и услуги</v>
          </cell>
        </row>
        <row r="866">
          <cell r="A866">
            <v>9</v>
          </cell>
          <cell r="B866">
            <v>214</v>
          </cell>
          <cell r="C866">
            <v>7845</v>
          </cell>
          <cell r="D866">
            <v>904.08</v>
          </cell>
          <cell r="E866">
            <v>0</v>
          </cell>
          <cell r="F866">
            <v>29802.03</v>
          </cell>
          <cell r="H866">
            <v>0</v>
          </cell>
          <cell r="I866">
            <v>0</v>
          </cell>
          <cell r="J866">
            <v>661610.59</v>
          </cell>
          <cell r="K866">
            <v>972873.21</v>
          </cell>
          <cell r="L866">
            <v>311262.62</v>
          </cell>
          <cell r="M866">
            <v>0</v>
          </cell>
          <cell r="N866">
            <v>0</v>
          </cell>
          <cell r="O866" t="str">
            <v>счета к оплате за МТЦ и услуги</v>
          </cell>
        </row>
        <row r="867">
          <cell r="A867">
            <v>9</v>
          </cell>
          <cell r="B867">
            <v>214</v>
          </cell>
          <cell r="C867">
            <v>7948</v>
          </cell>
          <cell r="D867">
            <v>904.08</v>
          </cell>
          <cell r="E867">
            <v>0</v>
          </cell>
          <cell r="F867">
            <v>29802.03</v>
          </cell>
          <cell r="H867">
            <v>0</v>
          </cell>
          <cell r="I867">
            <v>0</v>
          </cell>
          <cell r="J867">
            <v>744477.54</v>
          </cell>
          <cell r="K867">
            <v>2694844.15</v>
          </cell>
          <cell r="L867">
            <v>1950366.61</v>
          </cell>
          <cell r="M867">
            <v>0</v>
          </cell>
          <cell r="N867">
            <v>0</v>
          </cell>
          <cell r="O867" t="str">
            <v>счета к оплате за МТЦ и услуги</v>
          </cell>
        </row>
        <row r="868">
          <cell r="A868">
            <v>9</v>
          </cell>
          <cell r="B868">
            <v>214</v>
          </cell>
          <cell r="C868">
            <v>8002</v>
          </cell>
          <cell r="D868">
            <v>904.08</v>
          </cell>
          <cell r="E868">
            <v>0</v>
          </cell>
          <cell r="F868">
            <v>29802.03</v>
          </cell>
          <cell r="H868">
            <v>0</v>
          </cell>
          <cell r="I868">
            <v>0</v>
          </cell>
          <cell r="J868">
            <v>548916.80000000005</v>
          </cell>
          <cell r="K868">
            <v>801707.46</v>
          </cell>
          <cell r="L868">
            <v>253318.66</v>
          </cell>
          <cell r="M868">
            <v>0</v>
          </cell>
          <cell r="N868">
            <v>528</v>
          </cell>
          <cell r="O868" t="str">
            <v>счета к оплате за МТЦ и услуги</v>
          </cell>
        </row>
        <row r="869">
          <cell r="A869">
            <v>9</v>
          </cell>
          <cell r="B869">
            <v>214</v>
          </cell>
          <cell r="C869">
            <v>8104</v>
          </cell>
          <cell r="D869">
            <v>904.08</v>
          </cell>
          <cell r="E869">
            <v>0</v>
          </cell>
          <cell r="F869">
            <v>29802.03</v>
          </cell>
          <cell r="H869">
            <v>2</v>
          </cell>
          <cell r="I869">
            <v>0</v>
          </cell>
          <cell r="J869">
            <v>660003.97</v>
          </cell>
          <cell r="K869">
            <v>1274177.96</v>
          </cell>
          <cell r="L869">
            <v>614173.99</v>
          </cell>
          <cell r="M869">
            <v>0</v>
          </cell>
          <cell r="N869">
            <v>0</v>
          </cell>
          <cell r="O869" t="str">
            <v>счета к оплате за МТЦ и услуги</v>
          </cell>
        </row>
        <row r="870">
          <cell r="A870">
            <v>9</v>
          </cell>
          <cell r="B870">
            <v>214</v>
          </cell>
          <cell r="C870">
            <v>8137</v>
          </cell>
          <cell r="D870">
            <v>904.08</v>
          </cell>
          <cell r="E870">
            <v>0</v>
          </cell>
          <cell r="F870">
            <v>29802.03</v>
          </cell>
          <cell r="H870">
            <v>2</v>
          </cell>
          <cell r="I870">
            <v>0</v>
          </cell>
          <cell r="J870">
            <v>794796.6</v>
          </cell>
          <cell r="K870">
            <v>2015670.7</v>
          </cell>
          <cell r="L870">
            <v>1470874.1</v>
          </cell>
          <cell r="M870">
            <v>0</v>
          </cell>
          <cell r="N870">
            <v>250000</v>
          </cell>
          <cell r="O870" t="str">
            <v>счета к оплате за МТЦ и услуги</v>
          </cell>
        </row>
        <row r="871">
          <cell r="A871">
            <v>9</v>
          </cell>
          <cell r="B871">
            <v>214</v>
          </cell>
          <cell r="C871">
            <v>8298</v>
          </cell>
          <cell r="D871">
            <v>904.08</v>
          </cell>
          <cell r="E871">
            <v>0</v>
          </cell>
          <cell r="F871">
            <v>29802.03</v>
          </cell>
          <cell r="H871">
            <v>0</v>
          </cell>
          <cell r="I871">
            <v>0</v>
          </cell>
          <cell r="J871">
            <v>448870.05</v>
          </cell>
          <cell r="K871">
            <v>760275.88</v>
          </cell>
          <cell r="L871">
            <v>311405.83</v>
          </cell>
          <cell r="M871">
            <v>0</v>
          </cell>
          <cell r="N871">
            <v>0</v>
          </cell>
          <cell r="O871" t="str">
            <v>счета к оплате за МТЦ и услуги</v>
          </cell>
        </row>
        <row r="872">
          <cell r="A872">
            <v>9</v>
          </cell>
          <cell r="B872">
            <v>214</v>
          </cell>
          <cell r="C872">
            <v>8533</v>
          </cell>
          <cell r="D872">
            <v>904.08</v>
          </cell>
          <cell r="E872">
            <v>0</v>
          </cell>
          <cell r="F872">
            <v>29802.03</v>
          </cell>
          <cell r="H872">
            <v>0</v>
          </cell>
          <cell r="I872">
            <v>0</v>
          </cell>
          <cell r="J872">
            <v>365368.05</v>
          </cell>
          <cell r="K872">
            <v>1225008.5900000001</v>
          </cell>
          <cell r="L872">
            <v>859640.54</v>
          </cell>
          <cell r="M872">
            <v>0</v>
          </cell>
          <cell r="N872">
            <v>0</v>
          </cell>
          <cell r="O872" t="str">
            <v>счета к оплате за МТЦ и услуги</v>
          </cell>
        </row>
        <row r="873">
          <cell r="A873">
            <v>9</v>
          </cell>
          <cell r="B873">
            <v>214</v>
          </cell>
          <cell r="C873">
            <v>8659</v>
          </cell>
          <cell r="D873">
            <v>904.08</v>
          </cell>
          <cell r="E873">
            <v>0</v>
          </cell>
          <cell r="F873">
            <v>29802.03</v>
          </cell>
          <cell r="H873">
            <v>0</v>
          </cell>
          <cell r="I873">
            <v>0</v>
          </cell>
          <cell r="J873">
            <v>198462.23</v>
          </cell>
          <cell r="K873">
            <v>3872657.14</v>
          </cell>
          <cell r="L873">
            <v>3674194.91</v>
          </cell>
          <cell r="M873">
            <v>0</v>
          </cell>
          <cell r="N873">
            <v>0</v>
          </cell>
          <cell r="O873" t="str">
            <v>счета к оплате за МТЦ и услуги</v>
          </cell>
        </row>
        <row r="874">
          <cell r="A874">
            <v>9</v>
          </cell>
          <cell r="B874">
            <v>214</v>
          </cell>
          <cell r="C874">
            <v>7783</v>
          </cell>
          <cell r="D874">
            <v>904.09</v>
          </cell>
          <cell r="E874">
            <v>0</v>
          </cell>
          <cell r="F874">
            <v>29801.040000000001</v>
          </cell>
          <cell r="H874">
            <v>0</v>
          </cell>
          <cell r="I874">
            <v>0</v>
          </cell>
          <cell r="J874">
            <v>0</v>
          </cell>
          <cell r="K874">
            <v>16643.13</v>
          </cell>
          <cell r="L874">
            <v>16643.13</v>
          </cell>
          <cell r="M874">
            <v>0</v>
          </cell>
          <cell r="N874">
            <v>0</v>
          </cell>
          <cell r="O874" t="str">
            <v>Расчеты с клиентами (невыясненые суммы по коммунальным плате</v>
          </cell>
        </row>
        <row r="875">
          <cell r="A875">
            <v>9</v>
          </cell>
          <cell r="B875">
            <v>214</v>
          </cell>
          <cell r="C875">
            <v>8137</v>
          </cell>
          <cell r="D875">
            <v>904.09</v>
          </cell>
          <cell r="E875">
            <v>0</v>
          </cell>
          <cell r="F875">
            <v>29802.04</v>
          </cell>
          <cell r="H875">
            <v>2</v>
          </cell>
          <cell r="I875">
            <v>0</v>
          </cell>
          <cell r="J875">
            <v>13035.26</v>
          </cell>
          <cell r="K875">
            <v>13035.26</v>
          </cell>
          <cell r="L875">
            <v>0</v>
          </cell>
          <cell r="M875">
            <v>0</v>
          </cell>
          <cell r="N875">
            <v>0</v>
          </cell>
          <cell r="O875" t="str">
            <v>Невыясненные суммы по коммунальным платежам</v>
          </cell>
        </row>
        <row r="876">
          <cell r="A876">
            <v>9</v>
          </cell>
          <cell r="B876">
            <v>214</v>
          </cell>
          <cell r="C876">
            <v>3563</v>
          </cell>
          <cell r="D876">
            <v>904.1</v>
          </cell>
          <cell r="E876">
            <v>0</v>
          </cell>
          <cell r="F876">
            <v>29801.05</v>
          </cell>
          <cell r="H876">
            <v>0</v>
          </cell>
          <cell r="I876">
            <v>0</v>
          </cell>
          <cell r="J876">
            <v>130048.62</v>
          </cell>
          <cell r="K876">
            <v>130048.62</v>
          </cell>
          <cell r="L876">
            <v>0</v>
          </cell>
          <cell r="M876">
            <v>0</v>
          </cell>
          <cell r="N876">
            <v>0</v>
          </cell>
          <cell r="O876" t="str">
            <v>Расчеты с клиентами (суммы, поступившие во вклады без списко</v>
          </cell>
        </row>
        <row r="877">
          <cell r="A877">
            <v>9</v>
          </cell>
          <cell r="B877">
            <v>214</v>
          </cell>
          <cell r="C877">
            <v>5996</v>
          </cell>
          <cell r="D877">
            <v>904.1</v>
          </cell>
          <cell r="E877">
            <v>0</v>
          </cell>
          <cell r="F877">
            <v>29801.05</v>
          </cell>
          <cell r="H877">
            <v>0</v>
          </cell>
          <cell r="I877">
            <v>0</v>
          </cell>
          <cell r="J877">
            <v>0</v>
          </cell>
          <cell r="K877">
            <v>155604</v>
          </cell>
          <cell r="L877">
            <v>155604</v>
          </cell>
          <cell r="M877">
            <v>0</v>
          </cell>
          <cell r="N877">
            <v>0</v>
          </cell>
          <cell r="O877" t="str">
            <v>Расчеты с клиентами (суммы, поступившие во вклады без списко</v>
          </cell>
        </row>
        <row r="878">
          <cell r="A878">
            <v>9</v>
          </cell>
          <cell r="B878">
            <v>214</v>
          </cell>
          <cell r="C878">
            <v>7783</v>
          </cell>
          <cell r="D878">
            <v>904.1</v>
          </cell>
          <cell r="E878">
            <v>0</v>
          </cell>
          <cell r="F878">
            <v>29801.05</v>
          </cell>
          <cell r="H878">
            <v>0</v>
          </cell>
          <cell r="I878">
            <v>0</v>
          </cell>
          <cell r="J878">
            <v>0</v>
          </cell>
          <cell r="K878">
            <v>161289.51999999999</v>
          </cell>
          <cell r="L878">
            <v>166322.37</v>
          </cell>
          <cell r="M878">
            <v>0</v>
          </cell>
          <cell r="N878">
            <v>5032.8500000000004</v>
          </cell>
          <cell r="O878" t="str">
            <v>Расчеты с клиентами (суммы, поступившие во вклады без списко</v>
          </cell>
        </row>
        <row r="879">
          <cell r="A879">
            <v>9</v>
          </cell>
          <cell r="B879">
            <v>214</v>
          </cell>
          <cell r="C879">
            <v>7948</v>
          </cell>
          <cell r="D879">
            <v>904.1</v>
          </cell>
          <cell r="E879">
            <v>0</v>
          </cell>
          <cell r="F879">
            <v>29801.05</v>
          </cell>
          <cell r="H879">
            <v>0</v>
          </cell>
          <cell r="I879">
            <v>0</v>
          </cell>
          <cell r="J879">
            <v>101968.12</v>
          </cell>
          <cell r="K879">
            <v>118009.12</v>
          </cell>
          <cell r="L879">
            <v>16041</v>
          </cell>
          <cell r="M879">
            <v>0</v>
          </cell>
          <cell r="N879">
            <v>0</v>
          </cell>
          <cell r="O879" t="str">
            <v>Расчеты с клиентами (суммы, поступившие во вклады без списко</v>
          </cell>
        </row>
        <row r="880">
          <cell r="A880">
            <v>9</v>
          </cell>
          <cell r="B880">
            <v>214</v>
          </cell>
          <cell r="C880">
            <v>8137</v>
          </cell>
          <cell r="D880">
            <v>904.1</v>
          </cell>
          <cell r="E880">
            <v>0</v>
          </cell>
          <cell r="F880">
            <v>29801.05</v>
          </cell>
          <cell r="H880">
            <v>2</v>
          </cell>
          <cell r="I880">
            <v>0</v>
          </cell>
          <cell r="J880">
            <v>0</v>
          </cell>
          <cell r="K880">
            <v>726262.5</v>
          </cell>
          <cell r="L880">
            <v>726262.5</v>
          </cell>
          <cell r="M880">
            <v>0</v>
          </cell>
          <cell r="N880">
            <v>0</v>
          </cell>
          <cell r="O880" t="str">
            <v>Расчеты с клиентами (суммы, поступившие во вклады без списко</v>
          </cell>
        </row>
        <row r="881">
          <cell r="A881">
            <v>9</v>
          </cell>
          <cell r="B881">
            <v>214</v>
          </cell>
          <cell r="C881">
            <v>8533</v>
          </cell>
          <cell r="D881">
            <v>904.1</v>
          </cell>
          <cell r="E881">
            <v>0</v>
          </cell>
          <cell r="F881">
            <v>29801.05</v>
          </cell>
          <cell r="H881">
            <v>0</v>
          </cell>
          <cell r="I881">
            <v>0</v>
          </cell>
          <cell r="J881">
            <v>0</v>
          </cell>
          <cell r="K881">
            <v>73312.61</v>
          </cell>
          <cell r="L881">
            <v>73312.61</v>
          </cell>
          <cell r="M881">
            <v>0</v>
          </cell>
          <cell r="N881">
            <v>0</v>
          </cell>
          <cell r="O881" t="str">
            <v>Расчеты с клиентами (суммы, поступившие во вклады без списко</v>
          </cell>
        </row>
        <row r="882">
          <cell r="A882">
            <v>9</v>
          </cell>
          <cell r="B882">
            <v>214</v>
          </cell>
          <cell r="C882">
            <v>214</v>
          </cell>
          <cell r="D882">
            <v>904.11</v>
          </cell>
          <cell r="E882">
            <v>0</v>
          </cell>
          <cell r="F882">
            <v>22412</v>
          </cell>
          <cell r="H882">
            <v>0</v>
          </cell>
          <cell r="I882">
            <v>0</v>
          </cell>
          <cell r="J882">
            <v>56566</v>
          </cell>
          <cell r="K882">
            <v>13934669</v>
          </cell>
          <cell r="L882">
            <v>13888103</v>
          </cell>
          <cell r="M882">
            <v>0</v>
          </cell>
          <cell r="N882">
            <v>10000</v>
          </cell>
          <cell r="O882" t="str">
            <v>Начис-ние  % к оплате по другим обязательствам Нераспределен</v>
          </cell>
        </row>
        <row r="883">
          <cell r="A883">
            <v>9</v>
          </cell>
          <cell r="B883">
            <v>214</v>
          </cell>
          <cell r="C883">
            <v>3563</v>
          </cell>
          <cell r="D883">
            <v>904.12</v>
          </cell>
          <cell r="E883">
            <v>0</v>
          </cell>
          <cell r="F883">
            <v>29801.07</v>
          </cell>
          <cell r="H883">
            <v>0</v>
          </cell>
          <cell r="I883">
            <v>0</v>
          </cell>
          <cell r="J883">
            <v>0</v>
          </cell>
          <cell r="K883">
            <v>7533281</v>
          </cell>
          <cell r="L883">
            <v>7533281</v>
          </cell>
          <cell r="M883">
            <v>0</v>
          </cell>
          <cell r="N883">
            <v>0</v>
          </cell>
          <cell r="O883" t="str">
            <v>Расчеты с клиентами (Суммы, невыданных пособий по малообеспе</v>
          </cell>
        </row>
        <row r="884">
          <cell r="A884">
            <v>9</v>
          </cell>
          <cell r="B884">
            <v>214</v>
          </cell>
          <cell r="C884">
            <v>7783</v>
          </cell>
          <cell r="D884">
            <v>904.12</v>
          </cell>
          <cell r="E884">
            <v>0</v>
          </cell>
          <cell r="F884">
            <v>29801.07</v>
          </cell>
          <cell r="H884">
            <v>0</v>
          </cell>
          <cell r="I884">
            <v>0</v>
          </cell>
          <cell r="J884">
            <v>0</v>
          </cell>
          <cell r="K884">
            <v>7892735</v>
          </cell>
          <cell r="L884">
            <v>7892735</v>
          </cell>
          <cell r="M884">
            <v>0</v>
          </cell>
          <cell r="N884">
            <v>0</v>
          </cell>
          <cell r="O884" t="str">
            <v>Расчеты с клиентами (Суммы, невыданных пособий по малообеспе</v>
          </cell>
        </row>
        <row r="885">
          <cell r="A885">
            <v>9</v>
          </cell>
          <cell r="B885">
            <v>214</v>
          </cell>
          <cell r="C885">
            <v>7948</v>
          </cell>
          <cell r="D885">
            <v>904.12</v>
          </cell>
          <cell r="E885">
            <v>0</v>
          </cell>
          <cell r="F885">
            <v>29801.07</v>
          </cell>
          <cell r="H885">
            <v>0</v>
          </cell>
          <cell r="I885">
            <v>0</v>
          </cell>
          <cell r="J885">
            <v>0</v>
          </cell>
          <cell r="K885">
            <v>7621986</v>
          </cell>
          <cell r="L885">
            <v>7621986</v>
          </cell>
          <cell r="M885">
            <v>0</v>
          </cell>
          <cell r="N885">
            <v>0</v>
          </cell>
          <cell r="O885" t="str">
            <v>Расчеты с клиентами (Суммы, невыданных пособий по малообеспе</v>
          </cell>
        </row>
        <row r="886">
          <cell r="A886">
            <v>9</v>
          </cell>
          <cell r="B886">
            <v>214</v>
          </cell>
          <cell r="C886">
            <v>8002</v>
          </cell>
          <cell r="D886">
            <v>904.12</v>
          </cell>
          <cell r="E886">
            <v>0</v>
          </cell>
          <cell r="F886">
            <v>29801.07</v>
          </cell>
          <cell r="H886">
            <v>0</v>
          </cell>
          <cell r="I886">
            <v>0</v>
          </cell>
          <cell r="J886">
            <v>0</v>
          </cell>
          <cell r="K886">
            <v>6229688</v>
          </cell>
          <cell r="L886">
            <v>6229688</v>
          </cell>
          <cell r="M886">
            <v>0</v>
          </cell>
          <cell r="N886">
            <v>0</v>
          </cell>
          <cell r="O886" t="str">
            <v>Расчеты с клиентами (Суммы, невыданных пособий по малообеспе</v>
          </cell>
        </row>
        <row r="887">
          <cell r="A887">
            <v>9</v>
          </cell>
          <cell r="B887">
            <v>214</v>
          </cell>
          <cell r="C887">
            <v>8137</v>
          </cell>
          <cell r="D887">
            <v>904.12</v>
          </cell>
          <cell r="E887">
            <v>0</v>
          </cell>
          <cell r="F887">
            <v>29801.07</v>
          </cell>
          <cell r="H887">
            <v>0</v>
          </cell>
          <cell r="I887">
            <v>0</v>
          </cell>
          <cell r="J887">
            <v>0</v>
          </cell>
          <cell r="K887">
            <v>4079955</v>
          </cell>
          <cell r="L887">
            <v>4079955</v>
          </cell>
          <cell r="M887">
            <v>0</v>
          </cell>
          <cell r="N887">
            <v>0</v>
          </cell>
          <cell r="O887" t="str">
            <v>Расчеты с клиентами (Суммы, невыданных пособий по малообеспе</v>
          </cell>
        </row>
        <row r="888">
          <cell r="A888">
            <v>9</v>
          </cell>
          <cell r="B888">
            <v>214</v>
          </cell>
          <cell r="C888">
            <v>8298</v>
          </cell>
          <cell r="D888">
            <v>904.12</v>
          </cell>
          <cell r="E888">
            <v>0</v>
          </cell>
          <cell r="F888">
            <v>29801.07</v>
          </cell>
          <cell r="H888">
            <v>0</v>
          </cell>
          <cell r="I888">
            <v>0</v>
          </cell>
          <cell r="J888">
            <v>0</v>
          </cell>
          <cell r="K888">
            <v>7306022</v>
          </cell>
          <cell r="L888">
            <v>7306022</v>
          </cell>
          <cell r="M888">
            <v>0</v>
          </cell>
          <cell r="N888">
            <v>0</v>
          </cell>
          <cell r="O888" t="str">
            <v>Расчеты с клиентами (Суммы, невыданных пособий по малообеспе</v>
          </cell>
        </row>
        <row r="889">
          <cell r="A889">
            <v>9</v>
          </cell>
          <cell r="B889">
            <v>214</v>
          </cell>
          <cell r="C889">
            <v>8533</v>
          </cell>
          <cell r="D889">
            <v>904.12</v>
          </cell>
          <cell r="E889">
            <v>0</v>
          </cell>
          <cell r="F889">
            <v>29801.07</v>
          </cell>
          <cell r="H889">
            <v>0</v>
          </cell>
          <cell r="I889">
            <v>0</v>
          </cell>
          <cell r="J889">
            <v>0</v>
          </cell>
          <cell r="K889">
            <v>1523250</v>
          </cell>
          <cell r="L889">
            <v>1523250</v>
          </cell>
          <cell r="M889">
            <v>0</v>
          </cell>
          <cell r="N889">
            <v>0</v>
          </cell>
          <cell r="O889" t="str">
            <v>Расчеты с клиентами (Суммы, невыданных пособий по малообеспе</v>
          </cell>
        </row>
        <row r="890">
          <cell r="A890">
            <v>9</v>
          </cell>
          <cell r="B890">
            <v>214</v>
          </cell>
          <cell r="C890">
            <v>8659</v>
          </cell>
          <cell r="D890">
            <v>904.12</v>
          </cell>
          <cell r="E890">
            <v>0</v>
          </cell>
          <cell r="F890">
            <v>29801.07</v>
          </cell>
          <cell r="H890">
            <v>0</v>
          </cell>
          <cell r="I890">
            <v>0</v>
          </cell>
          <cell r="J890">
            <v>0</v>
          </cell>
          <cell r="K890">
            <v>7960480</v>
          </cell>
          <cell r="L890">
            <v>7960480</v>
          </cell>
          <cell r="M890">
            <v>0</v>
          </cell>
          <cell r="N890">
            <v>0</v>
          </cell>
          <cell r="O890" t="str">
            <v>Расчеты с клиентами (Суммы, невыданных пособий по малообеспе</v>
          </cell>
        </row>
        <row r="891">
          <cell r="A891">
            <v>9</v>
          </cell>
          <cell r="B891">
            <v>214</v>
          </cell>
          <cell r="C891">
            <v>214</v>
          </cell>
          <cell r="D891">
            <v>904.13</v>
          </cell>
          <cell r="E891">
            <v>21</v>
          </cell>
          <cell r="F891">
            <v>29806</v>
          </cell>
          <cell r="H891">
            <v>2</v>
          </cell>
          <cell r="I891">
            <v>0</v>
          </cell>
          <cell r="J891">
            <v>0</v>
          </cell>
          <cell r="K891">
            <v>184372</v>
          </cell>
          <cell r="L891">
            <v>212844</v>
          </cell>
          <cell r="M891">
            <v>0</v>
          </cell>
          <cell r="N891">
            <v>28472</v>
          </cell>
          <cell r="O891" t="str">
            <v>Удержанный налог к оплате</v>
          </cell>
        </row>
        <row r="892">
          <cell r="A892">
            <v>9</v>
          </cell>
          <cell r="B892">
            <v>214</v>
          </cell>
          <cell r="C892">
            <v>3563</v>
          </cell>
          <cell r="D892">
            <v>904.13</v>
          </cell>
          <cell r="E892">
            <v>21</v>
          </cell>
          <cell r="F892">
            <v>29806</v>
          </cell>
          <cell r="H892">
            <v>2</v>
          </cell>
          <cell r="I892">
            <v>0</v>
          </cell>
          <cell r="J892">
            <v>78683</v>
          </cell>
          <cell r="K892">
            <v>207515</v>
          </cell>
          <cell r="L892">
            <v>173920</v>
          </cell>
          <cell r="M892">
            <v>0</v>
          </cell>
          <cell r="N892">
            <v>45088</v>
          </cell>
          <cell r="O892" t="str">
            <v>Удержанный налог к оплате</v>
          </cell>
        </row>
        <row r="893">
          <cell r="A893">
            <v>9</v>
          </cell>
          <cell r="B893">
            <v>214</v>
          </cell>
          <cell r="C893">
            <v>5996</v>
          </cell>
          <cell r="D893">
            <v>904.13</v>
          </cell>
          <cell r="E893">
            <v>21</v>
          </cell>
          <cell r="F893">
            <v>29806</v>
          </cell>
          <cell r="H893">
            <v>2</v>
          </cell>
          <cell r="I893">
            <v>0</v>
          </cell>
          <cell r="J893">
            <v>0</v>
          </cell>
          <cell r="K893">
            <v>78012.539999999994</v>
          </cell>
          <cell r="L893">
            <v>78012.539999999994</v>
          </cell>
          <cell r="M893">
            <v>0</v>
          </cell>
          <cell r="N893">
            <v>0</v>
          </cell>
          <cell r="O893" t="str">
            <v>Удержанный налог к оплате</v>
          </cell>
        </row>
        <row r="894">
          <cell r="A894">
            <v>9</v>
          </cell>
          <cell r="B894">
            <v>214</v>
          </cell>
          <cell r="C894">
            <v>7783</v>
          </cell>
          <cell r="D894">
            <v>904.13</v>
          </cell>
          <cell r="E894">
            <v>21</v>
          </cell>
          <cell r="F894">
            <v>29806</v>
          </cell>
          <cell r="H894">
            <v>2</v>
          </cell>
          <cell r="I894">
            <v>0</v>
          </cell>
          <cell r="J894">
            <v>0</v>
          </cell>
          <cell r="K894">
            <v>134871</v>
          </cell>
          <cell r="L894">
            <v>134871</v>
          </cell>
          <cell r="M894">
            <v>0</v>
          </cell>
          <cell r="N894">
            <v>0</v>
          </cell>
          <cell r="O894" t="str">
            <v>Удержанный налог к оплате</v>
          </cell>
        </row>
        <row r="895">
          <cell r="A895">
            <v>9</v>
          </cell>
          <cell r="B895">
            <v>214</v>
          </cell>
          <cell r="C895">
            <v>7948</v>
          </cell>
          <cell r="D895">
            <v>904.13</v>
          </cell>
          <cell r="E895">
            <v>21</v>
          </cell>
          <cell r="F895">
            <v>29806</v>
          </cell>
          <cell r="H895">
            <v>2</v>
          </cell>
          <cell r="I895">
            <v>0</v>
          </cell>
          <cell r="J895">
            <v>0</v>
          </cell>
          <cell r="K895">
            <v>88000.87</v>
          </cell>
          <cell r="L895">
            <v>88000.87</v>
          </cell>
          <cell r="M895">
            <v>0</v>
          </cell>
          <cell r="N895">
            <v>0</v>
          </cell>
          <cell r="O895" t="str">
            <v>Удержанный налог к оплате</v>
          </cell>
        </row>
        <row r="896">
          <cell r="A896">
            <v>9</v>
          </cell>
          <cell r="B896">
            <v>214</v>
          </cell>
          <cell r="C896">
            <v>8002</v>
          </cell>
          <cell r="D896">
            <v>904.13</v>
          </cell>
          <cell r="E896">
            <v>21</v>
          </cell>
          <cell r="F896">
            <v>29806</v>
          </cell>
          <cell r="H896">
            <v>2</v>
          </cell>
          <cell r="I896">
            <v>0</v>
          </cell>
          <cell r="J896">
            <v>22630.76</v>
          </cell>
          <cell r="K896">
            <v>24109.75</v>
          </cell>
          <cell r="L896">
            <v>1478.99</v>
          </cell>
          <cell r="M896">
            <v>0</v>
          </cell>
          <cell r="N896">
            <v>0</v>
          </cell>
          <cell r="O896" t="str">
            <v>Удержанный налог к оплате</v>
          </cell>
        </row>
        <row r="897">
          <cell r="A897">
            <v>9</v>
          </cell>
          <cell r="B897">
            <v>214</v>
          </cell>
          <cell r="C897">
            <v>8104</v>
          </cell>
          <cell r="D897">
            <v>904.13</v>
          </cell>
          <cell r="E897">
            <v>21</v>
          </cell>
          <cell r="F897">
            <v>29806</v>
          </cell>
          <cell r="H897">
            <v>2</v>
          </cell>
          <cell r="I897">
            <v>0</v>
          </cell>
          <cell r="J897">
            <v>5705</v>
          </cell>
          <cell r="K897">
            <v>5705</v>
          </cell>
          <cell r="L897">
            <v>0</v>
          </cell>
          <cell r="M897">
            <v>0</v>
          </cell>
          <cell r="N897">
            <v>0</v>
          </cell>
          <cell r="O897" t="str">
            <v>Удержанный налог к оплате</v>
          </cell>
        </row>
        <row r="898">
          <cell r="A898">
            <v>9</v>
          </cell>
          <cell r="B898">
            <v>214</v>
          </cell>
          <cell r="C898">
            <v>8137</v>
          </cell>
          <cell r="D898">
            <v>904.13</v>
          </cell>
          <cell r="E898">
            <v>21</v>
          </cell>
          <cell r="F898">
            <v>29806</v>
          </cell>
          <cell r="H898">
            <v>2</v>
          </cell>
          <cell r="I898">
            <v>0</v>
          </cell>
          <cell r="J898">
            <v>0</v>
          </cell>
          <cell r="K898">
            <v>55416</v>
          </cell>
          <cell r="L898">
            <v>55416</v>
          </cell>
          <cell r="M898">
            <v>0</v>
          </cell>
          <cell r="N898">
            <v>0</v>
          </cell>
          <cell r="O898" t="str">
            <v>Удержанный налог к оплате</v>
          </cell>
        </row>
        <row r="899">
          <cell r="A899">
            <v>9</v>
          </cell>
          <cell r="B899">
            <v>214</v>
          </cell>
          <cell r="C899">
            <v>8298</v>
          </cell>
          <cell r="D899">
            <v>904.13</v>
          </cell>
          <cell r="E899">
            <v>21</v>
          </cell>
          <cell r="F899">
            <v>29806</v>
          </cell>
          <cell r="H899">
            <v>2</v>
          </cell>
          <cell r="I899">
            <v>0</v>
          </cell>
          <cell r="J899">
            <v>0</v>
          </cell>
          <cell r="K899">
            <v>99043.3</v>
          </cell>
          <cell r="L899">
            <v>99043.3</v>
          </cell>
          <cell r="M899">
            <v>0</v>
          </cell>
          <cell r="N899">
            <v>0</v>
          </cell>
          <cell r="O899" t="str">
            <v>Удержанный налог к оплате</v>
          </cell>
        </row>
        <row r="900">
          <cell r="A900">
            <v>9</v>
          </cell>
          <cell r="B900">
            <v>214</v>
          </cell>
          <cell r="C900">
            <v>8659</v>
          </cell>
          <cell r="D900">
            <v>904.13</v>
          </cell>
          <cell r="E900">
            <v>21</v>
          </cell>
          <cell r="F900">
            <v>29806</v>
          </cell>
          <cell r="H900">
            <v>2</v>
          </cell>
          <cell r="I900">
            <v>0</v>
          </cell>
          <cell r="J900">
            <v>9053.31</v>
          </cell>
          <cell r="K900">
            <v>75086.31</v>
          </cell>
          <cell r="L900">
            <v>66033</v>
          </cell>
          <cell r="M900">
            <v>0</v>
          </cell>
          <cell r="N900">
            <v>0</v>
          </cell>
          <cell r="O900" t="str">
            <v>Удержанный налог к оплате</v>
          </cell>
        </row>
        <row r="901">
          <cell r="A901">
            <v>9</v>
          </cell>
          <cell r="B901">
            <v>214</v>
          </cell>
          <cell r="C901">
            <v>214</v>
          </cell>
          <cell r="D901">
            <v>904.14</v>
          </cell>
          <cell r="E901">
            <v>21</v>
          </cell>
          <cell r="F901">
            <v>29810</v>
          </cell>
          <cell r="H901">
            <v>2</v>
          </cell>
          <cell r="I901">
            <v>0</v>
          </cell>
          <cell r="J901">
            <v>0</v>
          </cell>
          <cell r="K901">
            <v>580526</v>
          </cell>
          <cell r="L901">
            <v>587722</v>
          </cell>
          <cell r="M901">
            <v>0</v>
          </cell>
          <cell r="N901">
            <v>7196</v>
          </cell>
          <cell r="O901" t="str">
            <v>36%, 1,2% и 0,5% отчислений в Пенсионный фонд</v>
          </cell>
        </row>
        <row r="902">
          <cell r="A902">
            <v>9</v>
          </cell>
          <cell r="B902">
            <v>214</v>
          </cell>
          <cell r="C902">
            <v>3563</v>
          </cell>
          <cell r="D902">
            <v>904.14</v>
          </cell>
          <cell r="E902">
            <v>21</v>
          </cell>
          <cell r="F902">
            <v>29810</v>
          </cell>
          <cell r="H902">
            <v>2</v>
          </cell>
          <cell r="I902">
            <v>0</v>
          </cell>
          <cell r="J902">
            <v>13377.26</v>
          </cell>
          <cell r="K902">
            <v>350899.9</v>
          </cell>
          <cell r="L902">
            <v>337522.64</v>
          </cell>
          <cell r="M902">
            <v>0</v>
          </cell>
          <cell r="N902">
            <v>0</v>
          </cell>
          <cell r="O902" t="str">
            <v>36%, 1,2% и 0,5% отчислений в Пенсионный фонд</v>
          </cell>
        </row>
        <row r="903">
          <cell r="A903">
            <v>9</v>
          </cell>
          <cell r="B903">
            <v>214</v>
          </cell>
          <cell r="C903">
            <v>5996</v>
          </cell>
          <cell r="D903">
            <v>904.14</v>
          </cell>
          <cell r="E903">
            <v>21</v>
          </cell>
          <cell r="F903">
            <v>29810</v>
          </cell>
          <cell r="H903">
            <v>2</v>
          </cell>
          <cell r="I903">
            <v>0</v>
          </cell>
          <cell r="J903">
            <v>0</v>
          </cell>
          <cell r="K903">
            <v>412618.33</v>
          </cell>
          <cell r="L903">
            <v>503923.29</v>
          </cell>
          <cell r="M903">
            <v>0</v>
          </cell>
          <cell r="N903">
            <v>91304.960000000006</v>
          </cell>
          <cell r="O903" t="str">
            <v>36%, 1,2% и 0,5% отчислений в Пенсионный фонд</v>
          </cell>
        </row>
        <row r="904">
          <cell r="A904">
            <v>9</v>
          </cell>
          <cell r="B904">
            <v>214</v>
          </cell>
          <cell r="C904">
            <v>7783</v>
          </cell>
          <cell r="D904">
            <v>904.14</v>
          </cell>
          <cell r="E904">
            <v>21</v>
          </cell>
          <cell r="F904">
            <v>29810</v>
          </cell>
          <cell r="H904">
            <v>2</v>
          </cell>
          <cell r="I904">
            <v>0</v>
          </cell>
          <cell r="J904">
            <v>0</v>
          </cell>
          <cell r="K904">
            <v>486527.98</v>
          </cell>
          <cell r="L904">
            <v>486677.74</v>
          </cell>
          <cell r="M904">
            <v>0</v>
          </cell>
          <cell r="N904">
            <v>149.76</v>
          </cell>
          <cell r="O904" t="str">
            <v>36%, 1,2% и 0,5% отчислений в Пенсионный фонд</v>
          </cell>
        </row>
        <row r="905">
          <cell r="A905">
            <v>9</v>
          </cell>
          <cell r="B905">
            <v>214</v>
          </cell>
          <cell r="C905">
            <v>7845</v>
          </cell>
          <cell r="D905">
            <v>904.14</v>
          </cell>
          <cell r="E905">
            <v>21</v>
          </cell>
          <cell r="F905">
            <v>29810</v>
          </cell>
          <cell r="H905">
            <v>2</v>
          </cell>
          <cell r="I905">
            <v>0</v>
          </cell>
          <cell r="J905">
            <v>73743.19</v>
          </cell>
          <cell r="K905">
            <v>447844.01</v>
          </cell>
          <cell r="L905">
            <v>374447.84</v>
          </cell>
          <cell r="M905">
            <v>0</v>
          </cell>
          <cell r="N905">
            <v>347.02</v>
          </cell>
          <cell r="O905" t="str">
            <v>36%, 1,2% и 0,5% отчислений в Пенсионный фонд</v>
          </cell>
        </row>
        <row r="906">
          <cell r="A906">
            <v>9</v>
          </cell>
          <cell r="B906">
            <v>214</v>
          </cell>
          <cell r="C906">
            <v>7948</v>
          </cell>
          <cell r="D906">
            <v>904.14</v>
          </cell>
          <cell r="E906">
            <v>21</v>
          </cell>
          <cell r="F906">
            <v>29810</v>
          </cell>
          <cell r="H906">
            <v>2</v>
          </cell>
          <cell r="I906">
            <v>0</v>
          </cell>
          <cell r="J906">
            <v>4673.3</v>
          </cell>
          <cell r="K906">
            <v>674538.65</v>
          </cell>
          <cell r="L906">
            <v>672345.09</v>
          </cell>
          <cell r="M906">
            <v>0</v>
          </cell>
          <cell r="N906">
            <v>2479.7399999999998</v>
          </cell>
          <cell r="O906" t="str">
            <v>36%, 1,2% и 0,5% отчислений в Пенсионный фонд</v>
          </cell>
        </row>
        <row r="907">
          <cell r="A907">
            <v>9</v>
          </cell>
          <cell r="B907">
            <v>214</v>
          </cell>
          <cell r="C907">
            <v>8002</v>
          </cell>
          <cell r="D907">
            <v>904.14</v>
          </cell>
          <cell r="E907">
            <v>21</v>
          </cell>
          <cell r="F907">
            <v>29810</v>
          </cell>
          <cell r="H907">
            <v>2</v>
          </cell>
          <cell r="I907">
            <v>0</v>
          </cell>
          <cell r="J907">
            <v>25304</v>
          </cell>
          <cell r="K907">
            <v>458527.7</v>
          </cell>
          <cell r="L907">
            <v>433223.7</v>
          </cell>
          <cell r="M907">
            <v>0</v>
          </cell>
          <cell r="N907">
            <v>0</v>
          </cell>
          <cell r="O907" t="str">
            <v>36%, 1,2% и 0,5% отчислений в Пенсионный фонд</v>
          </cell>
        </row>
        <row r="908">
          <cell r="A908">
            <v>9</v>
          </cell>
          <cell r="B908">
            <v>214</v>
          </cell>
          <cell r="C908">
            <v>8104</v>
          </cell>
          <cell r="D908">
            <v>904.14</v>
          </cell>
          <cell r="E908">
            <v>21</v>
          </cell>
          <cell r="F908">
            <v>29810</v>
          </cell>
          <cell r="H908">
            <v>2</v>
          </cell>
          <cell r="I908">
            <v>0</v>
          </cell>
          <cell r="J908">
            <v>229484.74</v>
          </cell>
          <cell r="K908">
            <v>511817</v>
          </cell>
          <cell r="L908">
            <v>311236.18</v>
          </cell>
          <cell r="M908">
            <v>0</v>
          </cell>
          <cell r="N908">
            <v>28903.919999999998</v>
          </cell>
          <cell r="O908" t="str">
            <v>36%, 1,2% и 0,5% отчислений в Пенсионный фонд</v>
          </cell>
        </row>
        <row r="909">
          <cell r="A909">
            <v>9</v>
          </cell>
          <cell r="B909">
            <v>214</v>
          </cell>
          <cell r="C909">
            <v>8137</v>
          </cell>
          <cell r="D909">
            <v>904.14</v>
          </cell>
          <cell r="E909">
            <v>21</v>
          </cell>
          <cell r="F909">
            <v>29810</v>
          </cell>
          <cell r="H909">
            <v>2</v>
          </cell>
          <cell r="I909">
            <v>0</v>
          </cell>
          <cell r="J909">
            <v>7251</v>
          </cell>
          <cell r="K909">
            <v>251078</v>
          </cell>
          <cell r="L909">
            <v>245942</v>
          </cell>
          <cell r="M909">
            <v>0</v>
          </cell>
          <cell r="N909">
            <v>2115</v>
          </cell>
          <cell r="O909" t="str">
            <v>36%, 1,2% и 0,5% отчислений в Пенсионный фонд</v>
          </cell>
        </row>
        <row r="910">
          <cell r="A910">
            <v>9</v>
          </cell>
          <cell r="B910">
            <v>214</v>
          </cell>
          <cell r="C910">
            <v>8298</v>
          </cell>
          <cell r="D910">
            <v>904.14</v>
          </cell>
          <cell r="E910">
            <v>21</v>
          </cell>
          <cell r="F910">
            <v>29810</v>
          </cell>
          <cell r="H910">
            <v>2</v>
          </cell>
          <cell r="I910">
            <v>0</v>
          </cell>
          <cell r="J910">
            <v>0</v>
          </cell>
          <cell r="K910">
            <v>391767.11</v>
          </cell>
          <cell r="L910">
            <v>391767.11</v>
          </cell>
          <cell r="M910">
            <v>0</v>
          </cell>
          <cell r="N910">
            <v>0</v>
          </cell>
          <cell r="O910" t="str">
            <v>36%, 1,2% и 0,5% отчислений в Пенсионный фонд</v>
          </cell>
        </row>
        <row r="911">
          <cell r="A911">
            <v>9</v>
          </cell>
          <cell r="B911">
            <v>214</v>
          </cell>
          <cell r="C911">
            <v>8533</v>
          </cell>
          <cell r="D911">
            <v>904.14</v>
          </cell>
          <cell r="E911">
            <v>21</v>
          </cell>
          <cell r="F911">
            <v>29810</v>
          </cell>
          <cell r="H911">
            <v>2</v>
          </cell>
          <cell r="I911">
            <v>0</v>
          </cell>
          <cell r="J911">
            <v>0</v>
          </cell>
          <cell r="K911">
            <v>102877.41</v>
          </cell>
          <cell r="L911">
            <v>103852.6</v>
          </cell>
          <cell r="M911">
            <v>0</v>
          </cell>
          <cell r="N911">
            <v>975.19</v>
          </cell>
          <cell r="O911" t="str">
            <v>36%, 1,2% и 0,5% отчислений в Пенсионный фонд</v>
          </cell>
        </row>
        <row r="912">
          <cell r="A912">
            <v>9</v>
          </cell>
          <cell r="B912">
            <v>214</v>
          </cell>
          <cell r="C912">
            <v>8659</v>
          </cell>
          <cell r="D912">
            <v>904.14</v>
          </cell>
          <cell r="E912">
            <v>21</v>
          </cell>
          <cell r="F912">
            <v>29810</v>
          </cell>
          <cell r="H912">
            <v>2</v>
          </cell>
          <cell r="I912">
            <v>0</v>
          </cell>
          <cell r="J912">
            <v>23445</v>
          </cell>
          <cell r="K912">
            <v>356201.05</v>
          </cell>
          <cell r="L912">
            <v>336668.05</v>
          </cell>
          <cell r="M912">
            <v>0</v>
          </cell>
          <cell r="N912">
            <v>3912</v>
          </cell>
          <cell r="O912" t="str">
            <v>36%, 1,2% и 0,5% отчислений в Пенсионный фонд</v>
          </cell>
        </row>
        <row r="913">
          <cell r="A913">
            <v>9</v>
          </cell>
          <cell r="B913">
            <v>214</v>
          </cell>
          <cell r="C913">
            <v>214</v>
          </cell>
          <cell r="D913">
            <v>904.15</v>
          </cell>
          <cell r="E913">
            <v>21</v>
          </cell>
          <cell r="F913">
            <v>29812</v>
          </cell>
          <cell r="H913">
            <v>2</v>
          </cell>
          <cell r="I913">
            <v>0</v>
          </cell>
          <cell r="J913">
            <v>0</v>
          </cell>
          <cell r="K913">
            <v>43359</v>
          </cell>
          <cell r="L913">
            <v>78704.11</v>
          </cell>
          <cell r="M913">
            <v>0</v>
          </cell>
          <cell r="N913">
            <v>35345.11</v>
          </cell>
          <cell r="O913" t="str">
            <v>2% и 1% отчислений в Фонд занятости</v>
          </cell>
        </row>
        <row r="914">
          <cell r="A914">
            <v>9</v>
          </cell>
          <cell r="B914">
            <v>214</v>
          </cell>
          <cell r="C914">
            <v>3563</v>
          </cell>
          <cell r="D914">
            <v>904.15</v>
          </cell>
          <cell r="E914">
            <v>21</v>
          </cell>
          <cell r="F914">
            <v>29812</v>
          </cell>
          <cell r="H914">
            <v>2</v>
          </cell>
          <cell r="I914">
            <v>0</v>
          </cell>
          <cell r="J914">
            <v>62175</v>
          </cell>
          <cell r="K914">
            <v>99943.48</v>
          </cell>
          <cell r="L914">
            <v>37768.480000000003</v>
          </cell>
          <cell r="M914">
            <v>0</v>
          </cell>
          <cell r="N914">
            <v>0</v>
          </cell>
          <cell r="O914" t="str">
            <v>2% и 1% отчислений в Фонд занятости</v>
          </cell>
        </row>
        <row r="915">
          <cell r="A915">
            <v>9</v>
          </cell>
          <cell r="B915">
            <v>214</v>
          </cell>
          <cell r="C915">
            <v>5996</v>
          </cell>
          <cell r="D915">
            <v>904.15</v>
          </cell>
          <cell r="E915">
            <v>21</v>
          </cell>
          <cell r="F915">
            <v>29812</v>
          </cell>
          <cell r="H915">
            <v>2</v>
          </cell>
          <cell r="I915">
            <v>0</v>
          </cell>
          <cell r="J915">
            <v>477.12</v>
          </cell>
          <cell r="K915">
            <v>11200.84</v>
          </cell>
          <cell r="L915">
            <v>32264.54</v>
          </cell>
          <cell r="M915">
            <v>0</v>
          </cell>
          <cell r="N915">
            <v>21540.82</v>
          </cell>
          <cell r="O915" t="str">
            <v>2% и 1% отчислений в Фонд занятости</v>
          </cell>
        </row>
        <row r="916">
          <cell r="A916">
            <v>9</v>
          </cell>
          <cell r="B916">
            <v>214</v>
          </cell>
          <cell r="C916">
            <v>7783</v>
          </cell>
          <cell r="D916">
            <v>904.15</v>
          </cell>
          <cell r="E916">
            <v>21</v>
          </cell>
          <cell r="F916">
            <v>29812</v>
          </cell>
          <cell r="H916">
            <v>2</v>
          </cell>
          <cell r="I916">
            <v>0</v>
          </cell>
          <cell r="J916">
            <v>0</v>
          </cell>
          <cell r="K916">
            <v>68303.16</v>
          </cell>
          <cell r="L916">
            <v>68303.16</v>
          </cell>
          <cell r="M916">
            <v>0</v>
          </cell>
          <cell r="N916">
            <v>0</v>
          </cell>
          <cell r="O916" t="str">
            <v>2% и 1% отчислений в Фонд занятости</v>
          </cell>
        </row>
        <row r="917">
          <cell r="A917">
            <v>9</v>
          </cell>
          <cell r="B917">
            <v>214</v>
          </cell>
          <cell r="C917">
            <v>7845</v>
          </cell>
          <cell r="D917">
            <v>904.15</v>
          </cell>
          <cell r="E917">
            <v>21</v>
          </cell>
          <cell r="F917">
            <v>29812</v>
          </cell>
          <cell r="H917">
            <v>2</v>
          </cell>
          <cell r="I917">
            <v>0</v>
          </cell>
          <cell r="J917">
            <v>6369.77</v>
          </cell>
          <cell r="K917">
            <v>27483.18</v>
          </cell>
          <cell r="L917">
            <v>23392.98</v>
          </cell>
          <cell r="M917">
            <v>0</v>
          </cell>
          <cell r="N917">
            <v>2279.5700000000002</v>
          </cell>
          <cell r="O917" t="str">
            <v>2% и 1% отчислений в Фонд занятости</v>
          </cell>
        </row>
        <row r="918">
          <cell r="A918">
            <v>9</v>
          </cell>
          <cell r="B918">
            <v>214</v>
          </cell>
          <cell r="C918">
            <v>7948</v>
          </cell>
          <cell r="D918">
            <v>904.15</v>
          </cell>
          <cell r="E918">
            <v>21</v>
          </cell>
          <cell r="F918">
            <v>29812</v>
          </cell>
          <cell r="H918">
            <v>2</v>
          </cell>
          <cell r="I918">
            <v>0</v>
          </cell>
          <cell r="J918">
            <v>0</v>
          </cell>
          <cell r="K918">
            <v>14983.6</v>
          </cell>
          <cell r="L918">
            <v>14983.6</v>
          </cell>
          <cell r="M918">
            <v>0</v>
          </cell>
          <cell r="N918">
            <v>0</v>
          </cell>
          <cell r="O918" t="str">
            <v>2% и 1% отчислений в Фонд занятости</v>
          </cell>
        </row>
        <row r="919">
          <cell r="A919">
            <v>9</v>
          </cell>
          <cell r="B919">
            <v>214</v>
          </cell>
          <cell r="C919">
            <v>8002</v>
          </cell>
          <cell r="D919">
            <v>904.15</v>
          </cell>
          <cell r="E919">
            <v>21</v>
          </cell>
          <cell r="F919">
            <v>29812</v>
          </cell>
          <cell r="H919">
            <v>2</v>
          </cell>
          <cell r="I919">
            <v>0</v>
          </cell>
          <cell r="J919">
            <v>0</v>
          </cell>
          <cell r="K919">
            <v>12086.36</v>
          </cell>
          <cell r="L919">
            <v>13398.2</v>
          </cell>
          <cell r="M919">
            <v>0</v>
          </cell>
          <cell r="N919">
            <v>1311.84</v>
          </cell>
          <cell r="O919" t="str">
            <v>2% и 1% отчислений в Фонд занятости</v>
          </cell>
        </row>
        <row r="920">
          <cell r="A920">
            <v>9</v>
          </cell>
          <cell r="B920">
            <v>214</v>
          </cell>
          <cell r="C920">
            <v>8104</v>
          </cell>
          <cell r="D920">
            <v>904.15</v>
          </cell>
          <cell r="E920">
            <v>21</v>
          </cell>
          <cell r="F920">
            <v>29812</v>
          </cell>
          <cell r="H920">
            <v>2</v>
          </cell>
          <cell r="I920">
            <v>0</v>
          </cell>
          <cell r="J920">
            <v>4656.2299999999996</v>
          </cell>
          <cell r="K920">
            <v>18563.45</v>
          </cell>
          <cell r="L920">
            <v>14656.77</v>
          </cell>
          <cell r="M920">
            <v>0</v>
          </cell>
          <cell r="N920">
            <v>749.55</v>
          </cell>
          <cell r="O920" t="str">
            <v>2% и 1% отчислений в Фонд занятости</v>
          </cell>
        </row>
        <row r="921">
          <cell r="A921">
            <v>9</v>
          </cell>
          <cell r="B921">
            <v>214</v>
          </cell>
          <cell r="C921">
            <v>8137</v>
          </cell>
          <cell r="D921">
            <v>904.15</v>
          </cell>
          <cell r="E921">
            <v>21</v>
          </cell>
          <cell r="F921">
            <v>29812</v>
          </cell>
          <cell r="H921">
            <v>2</v>
          </cell>
          <cell r="I921">
            <v>0</v>
          </cell>
          <cell r="J921">
            <v>0</v>
          </cell>
          <cell r="K921">
            <v>10202</v>
          </cell>
          <cell r="L921">
            <v>10202</v>
          </cell>
          <cell r="M921">
            <v>0</v>
          </cell>
          <cell r="N921">
            <v>0</v>
          </cell>
          <cell r="O921" t="str">
            <v>2% и 1% отчислений в Фонд занятости</v>
          </cell>
        </row>
        <row r="922">
          <cell r="A922">
            <v>9</v>
          </cell>
          <cell r="B922">
            <v>214</v>
          </cell>
          <cell r="C922">
            <v>8298</v>
          </cell>
          <cell r="D922">
            <v>904.15</v>
          </cell>
          <cell r="E922">
            <v>21</v>
          </cell>
          <cell r="F922">
            <v>29812</v>
          </cell>
          <cell r="H922">
            <v>2</v>
          </cell>
          <cell r="I922">
            <v>0</v>
          </cell>
          <cell r="J922">
            <v>0</v>
          </cell>
          <cell r="K922">
            <v>55482.01</v>
          </cell>
          <cell r="L922">
            <v>55482.01</v>
          </cell>
          <cell r="M922">
            <v>0</v>
          </cell>
          <cell r="N922">
            <v>0</v>
          </cell>
          <cell r="O922" t="str">
            <v>2% и 1% отчислений в Фонд занятости</v>
          </cell>
        </row>
        <row r="923">
          <cell r="A923">
            <v>9</v>
          </cell>
          <cell r="B923">
            <v>214</v>
          </cell>
          <cell r="C923">
            <v>8533</v>
          </cell>
          <cell r="D923">
            <v>904.15</v>
          </cell>
          <cell r="E923">
            <v>21</v>
          </cell>
          <cell r="F923">
            <v>29812</v>
          </cell>
          <cell r="H923">
            <v>2</v>
          </cell>
          <cell r="I923">
            <v>0</v>
          </cell>
          <cell r="J923">
            <v>0</v>
          </cell>
          <cell r="K923">
            <v>16314</v>
          </cell>
          <cell r="L923">
            <v>16314</v>
          </cell>
          <cell r="M923">
            <v>0</v>
          </cell>
          <cell r="N923">
            <v>0</v>
          </cell>
          <cell r="O923" t="str">
            <v>2% и 1% отчислений в Фонд занятости</v>
          </cell>
        </row>
        <row r="924">
          <cell r="A924">
            <v>9</v>
          </cell>
          <cell r="B924">
            <v>214</v>
          </cell>
          <cell r="C924">
            <v>8659</v>
          </cell>
          <cell r="D924">
            <v>904.15</v>
          </cell>
          <cell r="E924">
            <v>21</v>
          </cell>
          <cell r="F924">
            <v>29812</v>
          </cell>
          <cell r="H924">
            <v>2</v>
          </cell>
          <cell r="I924">
            <v>0</v>
          </cell>
          <cell r="J924">
            <v>0</v>
          </cell>
          <cell r="K924">
            <v>15354.5</v>
          </cell>
          <cell r="L924">
            <v>15354.5</v>
          </cell>
          <cell r="M924">
            <v>0</v>
          </cell>
          <cell r="N924">
            <v>0</v>
          </cell>
          <cell r="O924" t="str">
            <v>2% и 1% отчислений в Фонд занятости</v>
          </cell>
        </row>
        <row r="925">
          <cell r="A925">
            <v>9</v>
          </cell>
          <cell r="B925">
            <v>214</v>
          </cell>
          <cell r="C925">
            <v>7948</v>
          </cell>
          <cell r="D925">
            <v>904.16</v>
          </cell>
          <cell r="E925">
            <v>21</v>
          </cell>
          <cell r="F925">
            <v>29816</v>
          </cell>
          <cell r="H925">
            <v>2</v>
          </cell>
          <cell r="I925">
            <v>0</v>
          </cell>
          <cell r="J925">
            <v>0</v>
          </cell>
          <cell r="K925">
            <v>4374.83</v>
          </cell>
          <cell r="L925">
            <v>4374.83</v>
          </cell>
          <cell r="M925">
            <v>0</v>
          </cell>
          <cell r="N925">
            <v>0</v>
          </cell>
          <cell r="O925" t="str">
            <v>Излишки, выявленные у кассиров</v>
          </cell>
        </row>
        <row r="926">
          <cell r="A926">
            <v>9</v>
          </cell>
          <cell r="B926">
            <v>214</v>
          </cell>
          <cell r="C926">
            <v>8298</v>
          </cell>
          <cell r="D926">
            <v>904.16</v>
          </cell>
          <cell r="E926">
            <v>21</v>
          </cell>
          <cell r="F926">
            <v>29816</v>
          </cell>
          <cell r="H926">
            <v>2</v>
          </cell>
          <cell r="I926">
            <v>0</v>
          </cell>
          <cell r="J926">
            <v>0</v>
          </cell>
          <cell r="K926">
            <v>230.37</v>
          </cell>
          <cell r="L926">
            <v>230.37</v>
          </cell>
          <cell r="M926">
            <v>0</v>
          </cell>
          <cell r="N926">
            <v>0</v>
          </cell>
          <cell r="O926" t="str">
            <v>Излишки, выявленные у кассиров</v>
          </cell>
        </row>
        <row r="927">
          <cell r="A927">
            <v>9</v>
          </cell>
          <cell r="B927">
            <v>214</v>
          </cell>
          <cell r="C927">
            <v>8659</v>
          </cell>
          <cell r="D927">
            <v>904.16</v>
          </cell>
          <cell r="E927">
            <v>21</v>
          </cell>
          <cell r="F927">
            <v>29816</v>
          </cell>
          <cell r="H927">
            <v>2</v>
          </cell>
          <cell r="I927">
            <v>0</v>
          </cell>
          <cell r="J927">
            <v>0</v>
          </cell>
          <cell r="K927">
            <v>28</v>
          </cell>
          <cell r="L927">
            <v>28</v>
          </cell>
          <cell r="M927">
            <v>0</v>
          </cell>
          <cell r="N927">
            <v>0</v>
          </cell>
          <cell r="O927" t="str">
            <v>Излишки, выявленные у кассиров</v>
          </cell>
        </row>
        <row r="928">
          <cell r="A928">
            <v>9</v>
          </cell>
          <cell r="B928">
            <v>214</v>
          </cell>
          <cell r="C928">
            <v>214</v>
          </cell>
          <cell r="D928">
            <v>904.18</v>
          </cell>
          <cell r="E928">
            <v>21</v>
          </cell>
          <cell r="F928">
            <v>19909.18</v>
          </cell>
          <cell r="H928">
            <v>1</v>
          </cell>
          <cell r="I928">
            <v>0</v>
          </cell>
          <cell r="J928">
            <v>0</v>
          </cell>
          <cell r="K928">
            <v>204100000</v>
          </cell>
          <cell r="L928">
            <v>204100000</v>
          </cell>
          <cell r="M928">
            <v>0</v>
          </cell>
          <cell r="N928">
            <v>0</v>
          </cell>
          <cell r="O928" t="str">
            <v>Расчеты с "Фондом возмещения" (вклад "Индексация")</v>
          </cell>
        </row>
        <row r="929">
          <cell r="A929">
            <v>9</v>
          </cell>
          <cell r="B929">
            <v>214</v>
          </cell>
          <cell r="C929">
            <v>3563</v>
          </cell>
          <cell r="D929">
            <v>904.18</v>
          </cell>
          <cell r="E929">
            <v>21</v>
          </cell>
          <cell r="F929">
            <v>19909.18</v>
          </cell>
          <cell r="H929">
            <v>1</v>
          </cell>
          <cell r="I929">
            <v>178442382.97999999</v>
          </cell>
          <cell r="J929">
            <v>0</v>
          </cell>
          <cell r="K929">
            <v>5140</v>
          </cell>
          <cell r="L929">
            <v>46170000</v>
          </cell>
          <cell r="M929">
            <v>132277522.98</v>
          </cell>
          <cell r="N929">
            <v>0</v>
          </cell>
          <cell r="O929" t="str">
            <v>Расчеты с "Фондом возмещения" (вклад "Индексация")</v>
          </cell>
        </row>
        <row r="930">
          <cell r="A930">
            <v>9</v>
          </cell>
          <cell r="B930">
            <v>214</v>
          </cell>
          <cell r="C930">
            <v>5996</v>
          </cell>
          <cell r="D930">
            <v>904.18</v>
          </cell>
          <cell r="E930">
            <v>21</v>
          </cell>
          <cell r="F930">
            <v>19909.18</v>
          </cell>
          <cell r="H930">
            <v>1</v>
          </cell>
          <cell r="I930">
            <v>201243684.44</v>
          </cell>
          <cell r="J930">
            <v>0</v>
          </cell>
          <cell r="K930">
            <v>3896212.59</v>
          </cell>
          <cell r="L930">
            <v>52724872.350000001</v>
          </cell>
          <cell r="M930">
            <v>152415024.68000001</v>
          </cell>
          <cell r="N930">
            <v>0</v>
          </cell>
          <cell r="O930" t="str">
            <v>Расчеты с "Фондом возмещения" (вклад "Индексация")</v>
          </cell>
        </row>
        <row r="931">
          <cell r="A931">
            <v>9</v>
          </cell>
          <cell r="B931">
            <v>214</v>
          </cell>
          <cell r="C931">
            <v>7783</v>
          </cell>
          <cell r="D931">
            <v>904.18</v>
          </cell>
          <cell r="E931">
            <v>21</v>
          </cell>
          <cell r="F931">
            <v>19909.18</v>
          </cell>
          <cell r="H931">
            <v>1</v>
          </cell>
          <cell r="I931">
            <v>122302055.33</v>
          </cell>
          <cell r="J931">
            <v>0</v>
          </cell>
          <cell r="K931">
            <v>1979.2</v>
          </cell>
          <cell r="L931">
            <v>23600000</v>
          </cell>
          <cell r="M931">
            <v>98704034.530000001</v>
          </cell>
          <cell r="N931">
            <v>0</v>
          </cell>
          <cell r="O931" t="str">
            <v>Расчеты с "Фондом возмещения" (вклад "Индексация")</v>
          </cell>
        </row>
        <row r="932">
          <cell r="A932">
            <v>9</v>
          </cell>
          <cell r="B932">
            <v>214</v>
          </cell>
          <cell r="C932">
            <v>7845</v>
          </cell>
          <cell r="D932">
            <v>904.18</v>
          </cell>
          <cell r="E932">
            <v>21</v>
          </cell>
          <cell r="F932">
            <v>19909.18</v>
          </cell>
          <cell r="H932">
            <v>1</v>
          </cell>
          <cell r="I932">
            <v>64806947</v>
          </cell>
          <cell r="J932">
            <v>0</v>
          </cell>
          <cell r="K932">
            <v>45.83</v>
          </cell>
          <cell r="L932">
            <v>17280000</v>
          </cell>
          <cell r="M932">
            <v>47526992.829999998</v>
          </cell>
          <cell r="N932">
            <v>0</v>
          </cell>
          <cell r="O932" t="str">
            <v>Расчеты с "Фондом возмещения" (вклад "Индексация")</v>
          </cell>
        </row>
        <row r="933">
          <cell r="A933">
            <v>9</v>
          </cell>
          <cell r="B933">
            <v>214</v>
          </cell>
          <cell r="C933">
            <v>7948</v>
          </cell>
          <cell r="D933">
            <v>904.18</v>
          </cell>
          <cell r="E933">
            <v>21</v>
          </cell>
          <cell r="F933">
            <v>19909.18</v>
          </cell>
          <cell r="H933">
            <v>1</v>
          </cell>
          <cell r="I933">
            <v>63770534.189999998</v>
          </cell>
          <cell r="J933">
            <v>0</v>
          </cell>
          <cell r="K933">
            <v>1108.53</v>
          </cell>
          <cell r="L933">
            <v>17450066.440000001</v>
          </cell>
          <cell r="M933">
            <v>46321576.280000001</v>
          </cell>
          <cell r="N933">
            <v>0</v>
          </cell>
          <cell r="O933" t="str">
            <v>Расчеты с "Фондом возмещения" (вклад "Индексация")</v>
          </cell>
        </row>
        <row r="934">
          <cell r="A934">
            <v>9</v>
          </cell>
          <cell r="B934">
            <v>214</v>
          </cell>
          <cell r="C934">
            <v>8002</v>
          </cell>
          <cell r="D934">
            <v>904.18</v>
          </cell>
          <cell r="E934">
            <v>21</v>
          </cell>
          <cell r="F934">
            <v>19909.18</v>
          </cell>
          <cell r="H934">
            <v>1</v>
          </cell>
          <cell r="I934">
            <v>39547337.630000003</v>
          </cell>
          <cell r="J934">
            <v>0</v>
          </cell>
          <cell r="K934">
            <v>0</v>
          </cell>
          <cell r="L934">
            <v>10025000</v>
          </cell>
          <cell r="M934">
            <v>29522337.629999999</v>
          </cell>
          <cell r="N934">
            <v>0</v>
          </cell>
          <cell r="O934" t="str">
            <v>Расчеты с "Фондом возмещения" (вклад "Индексация")</v>
          </cell>
        </row>
        <row r="935">
          <cell r="A935">
            <v>9</v>
          </cell>
          <cell r="B935">
            <v>214</v>
          </cell>
          <cell r="C935">
            <v>8104</v>
          </cell>
          <cell r="D935">
            <v>904.18</v>
          </cell>
          <cell r="E935">
            <v>21</v>
          </cell>
          <cell r="F935">
            <v>19909.18</v>
          </cell>
          <cell r="H935">
            <v>1</v>
          </cell>
          <cell r="I935">
            <v>63887272.32</v>
          </cell>
          <cell r="J935">
            <v>0</v>
          </cell>
          <cell r="K935">
            <v>61204.160000000003</v>
          </cell>
          <cell r="L935">
            <v>16600000</v>
          </cell>
          <cell r="M935">
            <v>47348476.479999997</v>
          </cell>
          <cell r="N935">
            <v>0</v>
          </cell>
          <cell r="O935" t="str">
            <v>Расчеты с "Фондом возмещения" (вклад "Индексация")</v>
          </cell>
        </row>
        <row r="936">
          <cell r="A936">
            <v>9</v>
          </cell>
          <cell r="B936">
            <v>214</v>
          </cell>
          <cell r="C936">
            <v>8137</v>
          </cell>
          <cell r="D936">
            <v>904.18</v>
          </cell>
          <cell r="E936">
            <v>21</v>
          </cell>
          <cell r="F936">
            <v>19909.18</v>
          </cell>
          <cell r="H936">
            <v>1</v>
          </cell>
          <cell r="I936">
            <v>34836034.030000001</v>
          </cell>
          <cell r="J936">
            <v>0</v>
          </cell>
          <cell r="K936">
            <v>2091.61</v>
          </cell>
          <cell r="L936">
            <v>8901916.9700000007</v>
          </cell>
          <cell r="M936">
            <v>25936208.670000002</v>
          </cell>
          <cell r="N936">
            <v>0</v>
          </cell>
          <cell r="O936" t="str">
            <v>Расчеты с "Фондом возмещения" (вклад "Индексация")</v>
          </cell>
        </row>
        <row r="937">
          <cell r="A937">
            <v>9</v>
          </cell>
          <cell r="B937">
            <v>214</v>
          </cell>
          <cell r="C937">
            <v>8298</v>
          </cell>
          <cell r="D937">
            <v>904.18</v>
          </cell>
          <cell r="E937">
            <v>21</v>
          </cell>
          <cell r="F937">
            <v>19909.18</v>
          </cell>
          <cell r="H937">
            <v>1</v>
          </cell>
          <cell r="I937">
            <v>18374133.73</v>
          </cell>
          <cell r="J937">
            <v>0</v>
          </cell>
          <cell r="K937">
            <v>2969.18</v>
          </cell>
          <cell r="L937">
            <v>5345000</v>
          </cell>
          <cell r="M937">
            <v>13032102.91</v>
          </cell>
          <cell r="N937">
            <v>0</v>
          </cell>
          <cell r="O937" t="str">
            <v>Расчеты с "Фондом возмещения" (вклад "Индексация")</v>
          </cell>
        </row>
        <row r="938">
          <cell r="A938">
            <v>9</v>
          </cell>
          <cell r="B938">
            <v>214</v>
          </cell>
          <cell r="C938">
            <v>8533</v>
          </cell>
          <cell r="D938">
            <v>904.18</v>
          </cell>
          <cell r="E938">
            <v>21</v>
          </cell>
          <cell r="F938">
            <v>19909.18</v>
          </cell>
          <cell r="H938">
            <v>1</v>
          </cell>
          <cell r="I938">
            <v>17275028.670000002</v>
          </cell>
          <cell r="J938">
            <v>0</v>
          </cell>
          <cell r="K938">
            <v>1157795.71</v>
          </cell>
          <cell r="L938">
            <v>4590000</v>
          </cell>
          <cell r="M938">
            <v>13842824.380000001</v>
          </cell>
          <cell r="N938">
            <v>0</v>
          </cell>
          <cell r="O938" t="str">
            <v>Расчеты с "Фондом возмещения" (вклад "Индексация")</v>
          </cell>
        </row>
        <row r="939">
          <cell r="A939">
            <v>9</v>
          </cell>
          <cell r="B939">
            <v>214</v>
          </cell>
          <cell r="C939">
            <v>8659</v>
          </cell>
          <cell r="D939">
            <v>904.18</v>
          </cell>
          <cell r="E939">
            <v>21</v>
          </cell>
          <cell r="F939">
            <v>19909.18</v>
          </cell>
          <cell r="H939">
            <v>1</v>
          </cell>
          <cell r="I939">
            <v>17089568.82</v>
          </cell>
          <cell r="J939">
            <v>0</v>
          </cell>
          <cell r="K939">
            <v>0</v>
          </cell>
          <cell r="L939">
            <v>10906391.640000001</v>
          </cell>
          <cell r="M939">
            <v>6183177.1799999997</v>
          </cell>
          <cell r="N939">
            <v>0</v>
          </cell>
          <cell r="O939" t="str">
            <v>Расчеты с "Фондом возмещения" (вклад "Индексация")</v>
          </cell>
        </row>
        <row r="940">
          <cell r="A940">
            <v>9</v>
          </cell>
          <cell r="B940">
            <v>214</v>
          </cell>
          <cell r="C940">
            <v>3563</v>
          </cell>
          <cell r="D940">
            <v>904.21</v>
          </cell>
          <cell r="E940">
            <v>21</v>
          </cell>
          <cell r="F940">
            <v>29846</v>
          </cell>
          <cell r="H940">
            <v>2</v>
          </cell>
          <cell r="I940">
            <v>0</v>
          </cell>
          <cell r="J940">
            <v>0</v>
          </cell>
          <cell r="K940">
            <v>2743.14</v>
          </cell>
          <cell r="L940">
            <v>2743.14</v>
          </cell>
          <cell r="M940">
            <v>0</v>
          </cell>
          <cell r="N940">
            <v>0</v>
          </cell>
          <cell r="O940" t="str">
            <v>Другие кредиты - невостребованные остатки</v>
          </cell>
        </row>
        <row r="941">
          <cell r="A941">
            <v>9</v>
          </cell>
          <cell r="B941">
            <v>214</v>
          </cell>
          <cell r="C941">
            <v>5996</v>
          </cell>
          <cell r="D941">
            <v>904.21</v>
          </cell>
          <cell r="E941">
            <v>21</v>
          </cell>
          <cell r="F941">
            <v>29846</v>
          </cell>
          <cell r="H941">
            <v>2</v>
          </cell>
          <cell r="I941">
            <v>0</v>
          </cell>
          <cell r="J941">
            <v>0</v>
          </cell>
          <cell r="K941">
            <v>1614656.8</v>
          </cell>
          <cell r="L941">
            <v>1614656.8</v>
          </cell>
          <cell r="M941">
            <v>0</v>
          </cell>
          <cell r="N941">
            <v>0</v>
          </cell>
          <cell r="O941" t="str">
            <v>Другие кредиты - невостребованные остатки</v>
          </cell>
        </row>
        <row r="942">
          <cell r="A942">
            <v>9</v>
          </cell>
          <cell r="B942">
            <v>214</v>
          </cell>
          <cell r="C942">
            <v>7948</v>
          </cell>
          <cell r="D942">
            <v>904.21</v>
          </cell>
          <cell r="E942">
            <v>21</v>
          </cell>
          <cell r="F942">
            <v>29846</v>
          </cell>
          <cell r="H942">
            <v>2</v>
          </cell>
          <cell r="I942">
            <v>0</v>
          </cell>
          <cell r="J942">
            <v>0</v>
          </cell>
          <cell r="K942">
            <v>47.6</v>
          </cell>
          <cell r="L942">
            <v>47.6</v>
          </cell>
          <cell r="M942">
            <v>0</v>
          </cell>
          <cell r="N942">
            <v>0</v>
          </cell>
          <cell r="O942" t="str">
            <v>Другие кредиты - невостребованные остатки</v>
          </cell>
        </row>
        <row r="943">
          <cell r="A943">
            <v>9</v>
          </cell>
          <cell r="B943">
            <v>214</v>
          </cell>
          <cell r="C943">
            <v>214</v>
          </cell>
          <cell r="D943">
            <v>904.22</v>
          </cell>
          <cell r="E943">
            <v>21</v>
          </cell>
          <cell r="F943">
            <v>29896.99</v>
          </cell>
          <cell r="H943">
            <v>2</v>
          </cell>
          <cell r="I943">
            <v>0</v>
          </cell>
          <cell r="J943">
            <v>0</v>
          </cell>
          <cell r="K943">
            <v>10270397.42</v>
          </cell>
          <cell r="L943">
            <v>10270397.42</v>
          </cell>
          <cell r="M943">
            <v>0</v>
          </cell>
          <cell r="N943">
            <v>0</v>
          </cell>
          <cell r="O943" t="str">
            <v>Turli majburiyatlar</v>
          </cell>
        </row>
        <row r="944">
          <cell r="A944">
            <v>9</v>
          </cell>
          <cell r="B944">
            <v>214</v>
          </cell>
          <cell r="C944">
            <v>3563</v>
          </cell>
          <cell r="D944">
            <v>904.22</v>
          </cell>
          <cell r="E944">
            <v>21</v>
          </cell>
          <cell r="F944">
            <v>29896.99</v>
          </cell>
          <cell r="H944">
            <v>2</v>
          </cell>
          <cell r="I944">
            <v>0</v>
          </cell>
          <cell r="J944">
            <v>61312.2</v>
          </cell>
          <cell r="K944">
            <v>61312.2</v>
          </cell>
          <cell r="L944">
            <v>0</v>
          </cell>
          <cell r="M944">
            <v>0</v>
          </cell>
          <cell r="N944">
            <v>0</v>
          </cell>
          <cell r="O944" t="str">
            <v>Turli majburiyatlar</v>
          </cell>
        </row>
        <row r="945">
          <cell r="A945">
            <v>9</v>
          </cell>
          <cell r="B945">
            <v>214</v>
          </cell>
          <cell r="C945">
            <v>5996</v>
          </cell>
          <cell r="D945">
            <v>904.22</v>
          </cell>
          <cell r="E945">
            <v>21</v>
          </cell>
          <cell r="F945">
            <v>29896.99</v>
          </cell>
          <cell r="H945">
            <v>2</v>
          </cell>
          <cell r="I945">
            <v>0</v>
          </cell>
          <cell r="J945">
            <v>0</v>
          </cell>
          <cell r="K945">
            <v>1984.35</v>
          </cell>
          <cell r="L945">
            <v>75754.19</v>
          </cell>
          <cell r="M945">
            <v>0</v>
          </cell>
          <cell r="N945">
            <v>73769.84</v>
          </cell>
          <cell r="O945" t="str">
            <v>Turli majburiyatlar</v>
          </cell>
        </row>
        <row r="946">
          <cell r="A946">
            <v>9</v>
          </cell>
          <cell r="B946">
            <v>214</v>
          </cell>
          <cell r="C946">
            <v>7783</v>
          </cell>
          <cell r="D946">
            <v>904.22</v>
          </cell>
          <cell r="E946">
            <v>21</v>
          </cell>
          <cell r="F946">
            <v>29896.99</v>
          </cell>
          <cell r="H946">
            <v>2</v>
          </cell>
          <cell r="I946">
            <v>0</v>
          </cell>
          <cell r="J946">
            <v>46291.29</v>
          </cell>
          <cell r="K946">
            <v>69212.91</v>
          </cell>
          <cell r="L946">
            <v>22921.62</v>
          </cell>
          <cell r="M946">
            <v>0</v>
          </cell>
          <cell r="N946">
            <v>0</v>
          </cell>
          <cell r="O946" t="str">
            <v>Turli majburiyatlar</v>
          </cell>
        </row>
        <row r="947">
          <cell r="A947">
            <v>9</v>
          </cell>
          <cell r="B947">
            <v>214</v>
          </cell>
          <cell r="C947">
            <v>7948</v>
          </cell>
          <cell r="D947">
            <v>904.22</v>
          </cell>
          <cell r="E947">
            <v>21</v>
          </cell>
          <cell r="F947">
            <v>29896.99</v>
          </cell>
          <cell r="H947">
            <v>2</v>
          </cell>
          <cell r="I947">
            <v>0</v>
          </cell>
          <cell r="J947">
            <v>0</v>
          </cell>
          <cell r="K947">
            <v>10</v>
          </cell>
          <cell r="L947">
            <v>10</v>
          </cell>
          <cell r="M947">
            <v>0</v>
          </cell>
          <cell r="N947">
            <v>0</v>
          </cell>
          <cell r="O947" t="str">
            <v>Turli majburiyatlar</v>
          </cell>
        </row>
        <row r="948">
          <cell r="A948">
            <v>9</v>
          </cell>
          <cell r="B948">
            <v>214</v>
          </cell>
          <cell r="C948">
            <v>8104</v>
          </cell>
          <cell r="D948">
            <v>904.22</v>
          </cell>
          <cell r="E948">
            <v>21</v>
          </cell>
          <cell r="F948">
            <v>29896.99</v>
          </cell>
          <cell r="H948">
            <v>2</v>
          </cell>
          <cell r="I948">
            <v>0</v>
          </cell>
          <cell r="J948">
            <v>0</v>
          </cell>
          <cell r="K948">
            <v>7358195.8600000003</v>
          </cell>
          <cell r="L948">
            <v>7358195.8600000003</v>
          </cell>
          <cell r="M948">
            <v>0</v>
          </cell>
          <cell r="N948">
            <v>0</v>
          </cell>
          <cell r="O948" t="str">
            <v>Turli majburiyatlar</v>
          </cell>
        </row>
        <row r="949">
          <cell r="A949">
            <v>9</v>
          </cell>
          <cell r="B949">
            <v>214</v>
          </cell>
          <cell r="C949">
            <v>8137</v>
          </cell>
          <cell r="D949">
            <v>904.22</v>
          </cell>
          <cell r="E949">
            <v>21</v>
          </cell>
          <cell r="F949">
            <v>29896.99</v>
          </cell>
          <cell r="H949">
            <v>2</v>
          </cell>
          <cell r="I949">
            <v>0</v>
          </cell>
          <cell r="J949">
            <v>12272.03</v>
          </cell>
          <cell r="K949">
            <v>332576.94</v>
          </cell>
          <cell r="L949">
            <v>320304.90999999997</v>
          </cell>
          <cell r="M949">
            <v>0</v>
          </cell>
          <cell r="N949">
            <v>0</v>
          </cell>
          <cell r="O949" t="str">
            <v>Turli majburiyatlar</v>
          </cell>
        </row>
        <row r="950">
          <cell r="A950">
            <v>9</v>
          </cell>
          <cell r="B950">
            <v>214</v>
          </cell>
          <cell r="C950">
            <v>8533</v>
          </cell>
          <cell r="D950">
            <v>904.22</v>
          </cell>
          <cell r="E950">
            <v>21</v>
          </cell>
          <cell r="F950">
            <v>29896.99</v>
          </cell>
          <cell r="H950">
            <v>2</v>
          </cell>
          <cell r="I950">
            <v>0</v>
          </cell>
          <cell r="J950">
            <v>0</v>
          </cell>
          <cell r="K950">
            <v>0</v>
          </cell>
          <cell r="L950">
            <v>200</v>
          </cell>
          <cell r="M950">
            <v>0</v>
          </cell>
          <cell r="N950">
            <v>200</v>
          </cell>
          <cell r="O950" t="str">
            <v>Turli majburiyatlar</v>
          </cell>
        </row>
        <row r="951">
          <cell r="A951">
            <v>9</v>
          </cell>
          <cell r="B951">
            <v>214</v>
          </cell>
          <cell r="C951">
            <v>8659</v>
          </cell>
          <cell r="D951">
            <v>904.22</v>
          </cell>
          <cell r="E951">
            <v>21</v>
          </cell>
          <cell r="F951">
            <v>29896.99</v>
          </cell>
          <cell r="H951">
            <v>2</v>
          </cell>
          <cell r="I951">
            <v>0</v>
          </cell>
          <cell r="J951">
            <v>0</v>
          </cell>
          <cell r="K951">
            <v>41.22</v>
          </cell>
          <cell r="L951">
            <v>41.22</v>
          </cell>
          <cell r="M951">
            <v>0</v>
          </cell>
          <cell r="N951">
            <v>0</v>
          </cell>
          <cell r="O951" t="str">
            <v>Turli majburiyatlar</v>
          </cell>
        </row>
        <row r="952">
          <cell r="A952">
            <v>9</v>
          </cell>
          <cell r="B952">
            <v>214</v>
          </cell>
          <cell r="C952">
            <v>3563</v>
          </cell>
          <cell r="D952">
            <v>904.23</v>
          </cell>
          <cell r="E952">
            <v>0</v>
          </cell>
          <cell r="F952">
            <v>29801.08</v>
          </cell>
          <cell r="H952">
            <v>0</v>
          </cell>
          <cell r="I952">
            <v>0</v>
          </cell>
          <cell r="J952">
            <v>506550.64</v>
          </cell>
          <cell r="K952">
            <v>1701090</v>
          </cell>
          <cell r="L952">
            <v>1413890</v>
          </cell>
          <cell r="M952">
            <v>0</v>
          </cell>
          <cell r="N952">
            <v>219350.64</v>
          </cell>
          <cell r="O952" t="str">
            <v>Расчеты с клиентами (Расчетные чеки НБ)</v>
          </cell>
        </row>
        <row r="953">
          <cell r="A953">
            <v>9</v>
          </cell>
          <cell r="B953">
            <v>214</v>
          </cell>
          <cell r="C953">
            <v>5996</v>
          </cell>
          <cell r="D953">
            <v>904.23</v>
          </cell>
          <cell r="E953">
            <v>0</v>
          </cell>
          <cell r="F953">
            <v>29801.08</v>
          </cell>
          <cell r="H953">
            <v>0</v>
          </cell>
          <cell r="I953">
            <v>0</v>
          </cell>
          <cell r="J953">
            <v>189286.63</v>
          </cell>
          <cell r="K953">
            <v>3683930</v>
          </cell>
          <cell r="L953">
            <v>3557143.37</v>
          </cell>
          <cell r="M953">
            <v>0</v>
          </cell>
          <cell r="N953">
            <v>62500</v>
          </cell>
          <cell r="O953" t="str">
            <v>Xalq bankning xisob-kitob cheklari</v>
          </cell>
        </row>
        <row r="954">
          <cell r="A954">
            <v>9</v>
          </cell>
          <cell r="B954">
            <v>214</v>
          </cell>
          <cell r="C954">
            <v>7783</v>
          </cell>
          <cell r="D954">
            <v>904.23</v>
          </cell>
          <cell r="E954">
            <v>0</v>
          </cell>
          <cell r="F954">
            <v>29801.08</v>
          </cell>
          <cell r="H954">
            <v>0</v>
          </cell>
          <cell r="I954">
            <v>0</v>
          </cell>
          <cell r="J954">
            <v>207330.47</v>
          </cell>
          <cell r="K954">
            <v>3884860</v>
          </cell>
          <cell r="L954">
            <v>3847960</v>
          </cell>
          <cell r="M954">
            <v>0</v>
          </cell>
          <cell r="N954">
            <v>170430.47</v>
          </cell>
          <cell r="O954" t="str">
            <v>Расчеты с клиентами (Расчетные чеки НБ)</v>
          </cell>
        </row>
        <row r="955">
          <cell r="A955">
            <v>9</v>
          </cell>
          <cell r="B955">
            <v>214</v>
          </cell>
          <cell r="C955">
            <v>7845</v>
          </cell>
          <cell r="D955">
            <v>904.23</v>
          </cell>
          <cell r="E955">
            <v>0</v>
          </cell>
          <cell r="F955">
            <v>29801.08</v>
          </cell>
          <cell r="H955">
            <v>0</v>
          </cell>
          <cell r="I955">
            <v>0</v>
          </cell>
          <cell r="J955">
            <v>253435.66</v>
          </cell>
          <cell r="K955">
            <v>5774408</v>
          </cell>
          <cell r="L955">
            <v>5612058.6299999999</v>
          </cell>
          <cell r="M955">
            <v>0</v>
          </cell>
          <cell r="N955">
            <v>91086.29</v>
          </cell>
          <cell r="O955" t="str">
            <v>Xalq bankning xisob-kitob cheklari</v>
          </cell>
        </row>
        <row r="956">
          <cell r="A956">
            <v>9</v>
          </cell>
          <cell r="B956">
            <v>214</v>
          </cell>
          <cell r="C956">
            <v>7948</v>
          </cell>
          <cell r="D956">
            <v>904.23</v>
          </cell>
          <cell r="E956">
            <v>0</v>
          </cell>
          <cell r="F956">
            <v>29801.08</v>
          </cell>
          <cell r="H956">
            <v>0</v>
          </cell>
          <cell r="I956">
            <v>0</v>
          </cell>
          <cell r="J956">
            <v>607686</v>
          </cell>
          <cell r="K956">
            <v>610216</v>
          </cell>
          <cell r="L956">
            <v>2530</v>
          </cell>
          <cell r="M956">
            <v>0</v>
          </cell>
          <cell r="N956">
            <v>0</v>
          </cell>
          <cell r="O956" t="str">
            <v>Xalq bankning xisob-kitob cheklari</v>
          </cell>
        </row>
        <row r="957">
          <cell r="A957">
            <v>9</v>
          </cell>
          <cell r="B957">
            <v>214</v>
          </cell>
          <cell r="C957">
            <v>8002</v>
          </cell>
          <cell r="D957">
            <v>904.23</v>
          </cell>
          <cell r="E957">
            <v>0</v>
          </cell>
          <cell r="F957">
            <v>29801.08</v>
          </cell>
          <cell r="H957">
            <v>0</v>
          </cell>
          <cell r="I957">
            <v>0</v>
          </cell>
          <cell r="J957">
            <v>208818.99</v>
          </cell>
          <cell r="K957">
            <v>522260</v>
          </cell>
          <cell r="L957">
            <v>524960</v>
          </cell>
          <cell r="M957">
            <v>0</v>
          </cell>
          <cell r="N957">
            <v>211518.99</v>
          </cell>
          <cell r="O957" t="str">
            <v>Xalq bankning xisob-kitob cheklari</v>
          </cell>
        </row>
        <row r="958">
          <cell r="A958">
            <v>9</v>
          </cell>
          <cell r="B958">
            <v>214</v>
          </cell>
          <cell r="C958">
            <v>8104</v>
          </cell>
          <cell r="D958">
            <v>904.23</v>
          </cell>
          <cell r="E958">
            <v>0</v>
          </cell>
          <cell r="F958">
            <v>29801.08</v>
          </cell>
          <cell r="H958">
            <v>2</v>
          </cell>
          <cell r="I958">
            <v>0</v>
          </cell>
          <cell r="J958">
            <v>381055.04</v>
          </cell>
          <cell r="K958">
            <v>378369</v>
          </cell>
          <cell r="L958">
            <v>0</v>
          </cell>
          <cell r="M958">
            <v>0</v>
          </cell>
          <cell r="N958">
            <v>2686.04</v>
          </cell>
          <cell r="O958" t="str">
            <v>Xalq bankning xisob-kitob cheklari</v>
          </cell>
        </row>
        <row r="959">
          <cell r="A959">
            <v>9</v>
          </cell>
          <cell r="B959">
            <v>214</v>
          </cell>
          <cell r="C959">
            <v>8137</v>
          </cell>
          <cell r="D959">
            <v>904.23</v>
          </cell>
          <cell r="E959">
            <v>0</v>
          </cell>
          <cell r="F959">
            <v>29801.08</v>
          </cell>
          <cell r="H959">
            <v>0</v>
          </cell>
          <cell r="I959">
            <v>0</v>
          </cell>
          <cell r="J959">
            <v>405942</v>
          </cell>
          <cell r="K959">
            <v>0</v>
          </cell>
          <cell r="L959">
            <v>0</v>
          </cell>
          <cell r="M959">
            <v>0</v>
          </cell>
          <cell r="N959">
            <v>405942</v>
          </cell>
          <cell r="O959" t="str">
            <v>Xalq bankning xisob-kitob cheklari</v>
          </cell>
        </row>
        <row r="960">
          <cell r="A960">
            <v>9</v>
          </cell>
          <cell r="B960">
            <v>214</v>
          </cell>
          <cell r="C960">
            <v>8298</v>
          </cell>
          <cell r="D960">
            <v>904.23</v>
          </cell>
          <cell r="E960">
            <v>0</v>
          </cell>
          <cell r="F960">
            <v>29801.08</v>
          </cell>
          <cell r="H960">
            <v>0</v>
          </cell>
          <cell r="I960">
            <v>0</v>
          </cell>
          <cell r="J960">
            <v>194648.95</v>
          </cell>
          <cell r="K960">
            <v>0</v>
          </cell>
          <cell r="L960">
            <v>0</v>
          </cell>
          <cell r="M960">
            <v>0</v>
          </cell>
          <cell r="N960">
            <v>194648.95</v>
          </cell>
          <cell r="O960" t="str">
            <v>Xalq bankning xisob-kitob cheklari</v>
          </cell>
        </row>
        <row r="961">
          <cell r="A961">
            <v>9</v>
          </cell>
          <cell r="B961">
            <v>214</v>
          </cell>
          <cell r="C961">
            <v>8533</v>
          </cell>
          <cell r="D961">
            <v>904.23</v>
          </cell>
          <cell r="E961">
            <v>0</v>
          </cell>
          <cell r="F961">
            <v>29801.08</v>
          </cell>
          <cell r="H961">
            <v>0</v>
          </cell>
          <cell r="I961">
            <v>0</v>
          </cell>
          <cell r="J961">
            <v>61285</v>
          </cell>
          <cell r="K961">
            <v>0</v>
          </cell>
          <cell r="L961">
            <v>0</v>
          </cell>
          <cell r="M961">
            <v>0</v>
          </cell>
          <cell r="N961">
            <v>61285</v>
          </cell>
          <cell r="O961" t="str">
            <v>Xalq bankning xisob-kitob cheklari</v>
          </cell>
        </row>
        <row r="962">
          <cell r="A962">
            <v>9</v>
          </cell>
          <cell r="B962">
            <v>214</v>
          </cell>
          <cell r="C962">
            <v>8659</v>
          </cell>
          <cell r="D962">
            <v>904.23</v>
          </cell>
          <cell r="E962">
            <v>0</v>
          </cell>
          <cell r="F962">
            <v>29801.08</v>
          </cell>
          <cell r="H962">
            <v>0</v>
          </cell>
          <cell r="I962">
            <v>0</v>
          </cell>
          <cell r="J962">
            <v>33158.6</v>
          </cell>
          <cell r="K962">
            <v>27400</v>
          </cell>
          <cell r="L962">
            <v>27400</v>
          </cell>
          <cell r="M962">
            <v>0</v>
          </cell>
          <cell r="N962">
            <v>33158.6</v>
          </cell>
          <cell r="O962" t="str">
            <v>Xalq bankning xisob-kitob cheklari</v>
          </cell>
        </row>
        <row r="963">
          <cell r="A963">
            <v>9</v>
          </cell>
          <cell r="B963">
            <v>214</v>
          </cell>
          <cell r="C963">
            <v>3563</v>
          </cell>
          <cell r="D963">
            <v>904.24</v>
          </cell>
          <cell r="E963">
            <v>21</v>
          </cell>
          <cell r="F963">
            <v>19901</v>
          </cell>
          <cell r="H963">
            <v>1</v>
          </cell>
          <cell r="I963">
            <v>0</v>
          </cell>
          <cell r="J963">
            <v>0</v>
          </cell>
          <cell r="K963">
            <v>33928482</v>
          </cell>
          <cell r="L963">
            <v>33928482</v>
          </cell>
          <cell r="M963">
            <v>0</v>
          </cell>
          <cell r="N963">
            <v>0</v>
          </cell>
          <cell r="O963" t="str">
            <v>Mayda xarajatlar zahirasi</v>
          </cell>
        </row>
        <row r="964">
          <cell r="A964">
            <v>9</v>
          </cell>
          <cell r="B964">
            <v>214</v>
          </cell>
          <cell r="C964">
            <v>7783</v>
          </cell>
          <cell r="D964">
            <v>904.24</v>
          </cell>
          <cell r="E964">
            <v>21</v>
          </cell>
          <cell r="F964">
            <v>19901</v>
          </cell>
          <cell r="H964">
            <v>1</v>
          </cell>
          <cell r="I964">
            <v>12298</v>
          </cell>
          <cell r="J964">
            <v>0</v>
          </cell>
          <cell r="K964">
            <v>0</v>
          </cell>
          <cell r="L964">
            <v>12298</v>
          </cell>
          <cell r="M964">
            <v>0</v>
          </cell>
          <cell r="N964">
            <v>0</v>
          </cell>
          <cell r="O964" t="str">
            <v>Mayda xarajatlar zahirasi</v>
          </cell>
        </row>
        <row r="965">
          <cell r="A965">
            <v>9</v>
          </cell>
          <cell r="B965">
            <v>214</v>
          </cell>
          <cell r="C965">
            <v>7783</v>
          </cell>
          <cell r="D965">
            <v>904.26</v>
          </cell>
          <cell r="E965">
            <v>0</v>
          </cell>
          <cell r="F965">
            <v>19908.009999999998</v>
          </cell>
          <cell r="H965">
            <v>0</v>
          </cell>
          <cell r="I965">
            <v>0</v>
          </cell>
          <cell r="J965">
            <v>0</v>
          </cell>
          <cell r="K965">
            <v>5101.34</v>
          </cell>
          <cell r="L965">
            <v>5101.34</v>
          </cell>
          <cell r="M965">
            <v>0</v>
          </cell>
          <cell r="N965">
            <v>0</v>
          </cell>
          <cell r="O965" t="str">
            <v>Счета к получению-расчеты с сотрудниками банка (преплата по</v>
          </cell>
        </row>
        <row r="966">
          <cell r="A966">
            <v>9</v>
          </cell>
          <cell r="B966">
            <v>214</v>
          </cell>
          <cell r="C966">
            <v>7948</v>
          </cell>
          <cell r="D966">
            <v>904.26</v>
          </cell>
          <cell r="E966">
            <v>0</v>
          </cell>
          <cell r="F966">
            <v>19908.009999999998</v>
          </cell>
          <cell r="H966">
            <v>0</v>
          </cell>
          <cell r="I966">
            <v>0</v>
          </cell>
          <cell r="J966">
            <v>0</v>
          </cell>
          <cell r="K966">
            <v>1926.77</v>
          </cell>
          <cell r="L966">
            <v>1926.77</v>
          </cell>
          <cell r="M966">
            <v>0</v>
          </cell>
          <cell r="N966">
            <v>0</v>
          </cell>
          <cell r="O966" t="str">
            <v>Счета к получению-расчеты с сотрудниками банка (преплата по</v>
          </cell>
        </row>
        <row r="967">
          <cell r="A967">
            <v>9</v>
          </cell>
          <cell r="B967">
            <v>214</v>
          </cell>
          <cell r="C967">
            <v>8137</v>
          </cell>
          <cell r="D967">
            <v>904.26</v>
          </cell>
          <cell r="E967">
            <v>0</v>
          </cell>
          <cell r="F967">
            <v>19908.009999999998</v>
          </cell>
          <cell r="H967">
            <v>0</v>
          </cell>
          <cell r="I967">
            <v>0</v>
          </cell>
          <cell r="J967">
            <v>0</v>
          </cell>
          <cell r="K967">
            <v>19094.939999999999</v>
          </cell>
          <cell r="L967">
            <v>19094.939999999999</v>
          </cell>
          <cell r="M967">
            <v>0</v>
          </cell>
          <cell r="N967">
            <v>0</v>
          </cell>
          <cell r="O967" t="str">
            <v>Счета к получению-расчеты с сотрудниками банка (преплата по</v>
          </cell>
        </row>
        <row r="968">
          <cell r="A968">
            <v>9</v>
          </cell>
          <cell r="B968">
            <v>214</v>
          </cell>
          <cell r="C968">
            <v>8298</v>
          </cell>
          <cell r="D968">
            <v>904.26</v>
          </cell>
          <cell r="E968">
            <v>0</v>
          </cell>
          <cell r="F968">
            <v>19908.009999999998</v>
          </cell>
          <cell r="H968">
            <v>0</v>
          </cell>
          <cell r="I968">
            <v>0</v>
          </cell>
          <cell r="J968">
            <v>0</v>
          </cell>
          <cell r="K968">
            <v>1485</v>
          </cell>
          <cell r="L968">
            <v>1485</v>
          </cell>
          <cell r="M968">
            <v>0</v>
          </cell>
          <cell r="N968">
            <v>0</v>
          </cell>
          <cell r="O968" t="str">
            <v>Счета к получению-расчеты с сотрудниками банка (преплата по</v>
          </cell>
        </row>
        <row r="969">
          <cell r="A969">
            <v>9</v>
          </cell>
          <cell r="B969">
            <v>214</v>
          </cell>
          <cell r="C969">
            <v>8533</v>
          </cell>
          <cell r="D969">
            <v>904.26</v>
          </cell>
          <cell r="E969">
            <v>0</v>
          </cell>
          <cell r="F969">
            <v>19908.009999999998</v>
          </cell>
          <cell r="H969">
            <v>0</v>
          </cell>
          <cell r="I969">
            <v>0</v>
          </cell>
          <cell r="J969">
            <v>0</v>
          </cell>
          <cell r="K969">
            <v>619.33000000000004</v>
          </cell>
          <cell r="L969">
            <v>619.33000000000004</v>
          </cell>
          <cell r="M969">
            <v>0</v>
          </cell>
          <cell r="N969">
            <v>0</v>
          </cell>
          <cell r="O969" t="str">
            <v>Счета к получению-расчеты с сотрудниками банка (преплата по</v>
          </cell>
        </row>
        <row r="970">
          <cell r="A970">
            <v>9</v>
          </cell>
          <cell r="B970">
            <v>214</v>
          </cell>
          <cell r="C970">
            <v>8659</v>
          </cell>
          <cell r="D970">
            <v>904.26</v>
          </cell>
          <cell r="E970">
            <v>0</v>
          </cell>
          <cell r="F970">
            <v>19908.009999999998</v>
          </cell>
          <cell r="H970">
            <v>0</v>
          </cell>
          <cell r="I970">
            <v>0</v>
          </cell>
          <cell r="J970">
            <v>0</v>
          </cell>
          <cell r="K970">
            <v>3232.45</v>
          </cell>
          <cell r="L970">
            <v>3232.45</v>
          </cell>
          <cell r="M970">
            <v>0</v>
          </cell>
          <cell r="N970">
            <v>0</v>
          </cell>
          <cell r="O970" t="str">
            <v>Счета к получению-расчеты с сотрудниками банка (преплата по</v>
          </cell>
        </row>
        <row r="971">
          <cell r="A971">
            <v>9</v>
          </cell>
          <cell r="B971">
            <v>214</v>
          </cell>
          <cell r="C971">
            <v>7783</v>
          </cell>
          <cell r="D971">
            <v>904.28</v>
          </cell>
          <cell r="E971">
            <v>0</v>
          </cell>
          <cell r="F971">
            <v>29801.1</v>
          </cell>
          <cell r="H971">
            <v>0</v>
          </cell>
          <cell r="I971">
            <v>0</v>
          </cell>
          <cell r="J971">
            <v>0</v>
          </cell>
          <cell r="K971">
            <v>39359538.5</v>
          </cell>
          <cell r="L971">
            <v>39359538.5</v>
          </cell>
          <cell r="M971">
            <v>0</v>
          </cell>
          <cell r="N971">
            <v>0</v>
          </cell>
          <cell r="O971" t="str">
            <v>Расчеты с клиентами (Суммы невыданных пособий на детей до 16</v>
          </cell>
        </row>
        <row r="972">
          <cell r="A972">
            <v>9</v>
          </cell>
          <cell r="B972">
            <v>214</v>
          </cell>
          <cell r="C972">
            <v>7948</v>
          </cell>
          <cell r="D972">
            <v>904.28</v>
          </cell>
          <cell r="E972">
            <v>0</v>
          </cell>
          <cell r="F972">
            <v>29801.1</v>
          </cell>
          <cell r="H972">
            <v>0</v>
          </cell>
          <cell r="I972">
            <v>0</v>
          </cell>
          <cell r="J972">
            <v>0</v>
          </cell>
          <cell r="K972">
            <v>104460830.5</v>
          </cell>
          <cell r="L972">
            <v>104460830.5</v>
          </cell>
          <cell r="M972">
            <v>0</v>
          </cell>
          <cell r="N972">
            <v>0</v>
          </cell>
          <cell r="O972" t="str">
            <v>Расчеты с клиентами (Суммы невыданных пособий на детей до 16</v>
          </cell>
        </row>
        <row r="973">
          <cell r="A973">
            <v>9</v>
          </cell>
          <cell r="B973">
            <v>214</v>
          </cell>
          <cell r="C973">
            <v>8533</v>
          </cell>
          <cell r="D973">
            <v>904.28</v>
          </cell>
          <cell r="E973">
            <v>0</v>
          </cell>
          <cell r="F973">
            <v>29801.1</v>
          </cell>
          <cell r="H973">
            <v>0</v>
          </cell>
          <cell r="I973">
            <v>0</v>
          </cell>
          <cell r="J973">
            <v>0</v>
          </cell>
          <cell r="K973">
            <v>1717354</v>
          </cell>
          <cell r="L973">
            <v>1717354</v>
          </cell>
          <cell r="M973">
            <v>0</v>
          </cell>
          <cell r="N973">
            <v>0</v>
          </cell>
          <cell r="O973" t="str">
            <v>Расчеты с клиентами (Суммы невыданных пособий на детей до 16</v>
          </cell>
        </row>
        <row r="974">
          <cell r="A974">
            <v>9</v>
          </cell>
          <cell r="B974">
            <v>214</v>
          </cell>
          <cell r="C974">
            <v>8659</v>
          </cell>
          <cell r="D974">
            <v>904.28</v>
          </cell>
          <cell r="E974">
            <v>0</v>
          </cell>
          <cell r="F974">
            <v>29801.1</v>
          </cell>
          <cell r="H974">
            <v>0</v>
          </cell>
          <cell r="I974">
            <v>0</v>
          </cell>
          <cell r="J974">
            <v>0</v>
          </cell>
          <cell r="K974">
            <v>42610766.5</v>
          </cell>
          <cell r="L974">
            <v>42610766.5</v>
          </cell>
          <cell r="M974">
            <v>0</v>
          </cell>
          <cell r="N974">
            <v>0</v>
          </cell>
          <cell r="O974" t="str">
            <v>Расчеты с клиентами (Суммы невыданных пособий на детей до 16</v>
          </cell>
        </row>
        <row r="975">
          <cell r="A975">
            <v>9</v>
          </cell>
          <cell r="B975">
            <v>214</v>
          </cell>
          <cell r="C975">
            <v>7783</v>
          </cell>
          <cell r="D975">
            <v>904.29</v>
          </cell>
          <cell r="E975">
            <v>0</v>
          </cell>
          <cell r="F975">
            <v>29801.11</v>
          </cell>
          <cell r="H975">
            <v>0</v>
          </cell>
          <cell r="I975">
            <v>0</v>
          </cell>
          <cell r="J975">
            <v>0</v>
          </cell>
          <cell r="K975">
            <v>24893220</v>
          </cell>
          <cell r="L975">
            <v>24893220</v>
          </cell>
          <cell r="M975">
            <v>0</v>
          </cell>
          <cell r="N975">
            <v>0</v>
          </cell>
          <cell r="O975" t="str">
            <v>Расчеты с клиентами (Суммы невыданных пособий матерям с деть</v>
          </cell>
        </row>
        <row r="976">
          <cell r="A976">
            <v>9</v>
          </cell>
          <cell r="B976">
            <v>214</v>
          </cell>
          <cell r="C976">
            <v>7948</v>
          </cell>
          <cell r="D976">
            <v>904.29</v>
          </cell>
          <cell r="E976">
            <v>0</v>
          </cell>
          <cell r="F976">
            <v>29801.11</v>
          </cell>
          <cell r="H976">
            <v>0</v>
          </cell>
          <cell r="I976">
            <v>0</v>
          </cell>
          <cell r="J976">
            <v>0</v>
          </cell>
          <cell r="K976">
            <v>47996985</v>
          </cell>
          <cell r="L976">
            <v>47996985</v>
          </cell>
          <cell r="M976">
            <v>0</v>
          </cell>
          <cell r="N976">
            <v>0</v>
          </cell>
          <cell r="O976" t="str">
            <v>Расчеты с клиентами (Суммы невыданных пособий матерям с деть</v>
          </cell>
        </row>
        <row r="977">
          <cell r="A977">
            <v>9</v>
          </cell>
          <cell r="B977">
            <v>214</v>
          </cell>
          <cell r="C977">
            <v>8002</v>
          </cell>
          <cell r="D977">
            <v>904.29</v>
          </cell>
          <cell r="E977">
            <v>0</v>
          </cell>
          <cell r="F977">
            <v>29801.11</v>
          </cell>
          <cell r="H977">
            <v>0</v>
          </cell>
          <cell r="I977">
            <v>0</v>
          </cell>
          <cell r="J977">
            <v>0</v>
          </cell>
          <cell r="K977">
            <v>19154241</v>
          </cell>
          <cell r="L977">
            <v>19154241</v>
          </cell>
          <cell r="M977">
            <v>0</v>
          </cell>
          <cell r="N977">
            <v>0</v>
          </cell>
          <cell r="O977" t="str">
            <v>Расчеты с клиентами (Суммы невыданных пособий матерям с деть</v>
          </cell>
        </row>
        <row r="978">
          <cell r="A978">
            <v>9</v>
          </cell>
          <cell r="B978">
            <v>214</v>
          </cell>
          <cell r="C978">
            <v>8137</v>
          </cell>
          <cell r="D978">
            <v>904.29</v>
          </cell>
          <cell r="E978">
            <v>0</v>
          </cell>
          <cell r="F978">
            <v>29801.11</v>
          </cell>
          <cell r="H978">
            <v>0</v>
          </cell>
          <cell r="I978">
            <v>0</v>
          </cell>
          <cell r="J978">
            <v>0</v>
          </cell>
          <cell r="K978">
            <v>12695790</v>
          </cell>
          <cell r="L978">
            <v>12695790</v>
          </cell>
          <cell r="M978">
            <v>0</v>
          </cell>
          <cell r="N978">
            <v>0</v>
          </cell>
          <cell r="O978" t="str">
            <v>Расчеты с клиентами (Суммы невыданных пособий матерям с деть</v>
          </cell>
        </row>
        <row r="979">
          <cell r="A979">
            <v>9</v>
          </cell>
          <cell r="B979">
            <v>214</v>
          </cell>
          <cell r="C979">
            <v>8298</v>
          </cell>
          <cell r="D979">
            <v>904.29</v>
          </cell>
          <cell r="E979">
            <v>0</v>
          </cell>
          <cell r="F979">
            <v>29801.11</v>
          </cell>
          <cell r="H979">
            <v>0</v>
          </cell>
          <cell r="I979">
            <v>0</v>
          </cell>
          <cell r="J979">
            <v>0</v>
          </cell>
          <cell r="K979">
            <v>9581814</v>
          </cell>
          <cell r="L979">
            <v>9581814</v>
          </cell>
          <cell r="M979">
            <v>0</v>
          </cell>
          <cell r="N979">
            <v>0</v>
          </cell>
          <cell r="O979" t="str">
            <v>Расчеты с клиентами (Суммы невыданных пособий матерям с деть</v>
          </cell>
        </row>
        <row r="980">
          <cell r="A980">
            <v>9</v>
          </cell>
          <cell r="B980">
            <v>214</v>
          </cell>
          <cell r="C980">
            <v>8533</v>
          </cell>
          <cell r="D980">
            <v>904.29</v>
          </cell>
          <cell r="E980">
            <v>0</v>
          </cell>
          <cell r="F980">
            <v>29801.11</v>
          </cell>
          <cell r="H980">
            <v>0</v>
          </cell>
          <cell r="I980">
            <v>0</v>
          </cell>
          <cell r="J980">
            <v>0</v>
          </cell>
          <cell r="K980">
            <v>3565755</v>
          </cell>
          <cell r="L980">
            <v>3565755</v>
          </cell>
          <cell r="M980">
            <v>0</v>
          </cell>
          <cell r="N980">
            <v>0</v>
          </cell>
          <cell r="O980" t="str">
            <v>Расчеты с клиентами (Суммы невыданных пособий матерям с деть</v>
          </cell>
        </row>
        <row r="981">
          <cell r="A981">
            <v>9</v>
          </cell>
          <cell r="B981">
            <v>214</v>
          </cell>
          <cell r="C981">
            <v>8659</v>
          </cell>
          <cell r="D981">
            <v>904.29</v>
          </cell>
          <cell r="E981">
            <v>0</v>
          </cell>
          <cell r="F981">
            <v>29801.11</v>
          </cell>
          <cell r="H981">
            <v>0</v>
          </cell>
          <cell r="I981">
            <v>0</v>
          </cell>
          <cell r="J981">
            <v>0</v>
          </cell>
          <cell r="K981">
            <v>26411850</v>
          </cell>
          <cell r="L981">
            <v>26411850</v>
          </cell>
          <cell r="M981">
            <v>0</v>
          </cell>
          <cell r="N981">
            <v>0</v>
          </cell>
          <cell r="O981" t="str">
            <v>Расчеты с клиентами (Суммы невыданных пособий матерям с деть</v>
          </cell>
        </row>
        <row r="982">
          <cell r="A982">
            <v>9</v>
          </cell>
          <cell r="B982">
            <v>214</v>
          </cell>
          <cell r="C982">
            <v>214</v>
          </cell>
          <cell r="D982">
            <v>904.32</v>
          </cell>
          <cell r="E982">
            <v>0</v>
          </cell>
          <cell r="F982">
            <v>19909.02</v>
          </cell>
          <cell r="H982">
            <v>0</v>
          </cell>
          <cell r="I982">
            <v>0</v>
          </cell>
          <cell r="J982">
            <v>0</v>
          </cell>
          <cell r="K982">
            <v>594739.18000000005</v>
          </cell>
          <cell r="L982">
            <v>299300.61</v>
          </cell>
          <cell r="M982">
            <v>295438.57</v>
          </cell>
          <cell r="N982">
            <v>0</v>
          </cell>
          <cell r="O982" t="str">
            <v>За товарно-матерал. Ценности и услуги (авансовые платежи)</v>
          </cell>
        </row>
        <row r="983">
          <cell r="A983">
            <v>9</v>
          </cell>
          <cell r="B983">
            <v>214</v>
          </cell>
          <cell r="C983">
            <v>8659</v>
          </cell>
          <cell r="D983">
            <v>904.36</v>
          </cell>
          <cell r="E983">
            <v>0</v>
          </cell>
          <cell r="F983">
            <v>19931</v>
          </cell>
          <cell r="H983">
            <v>0</v>
          </cell>
          <cell r="I983">
            <v>0</v>
          </cell>
          <cell r="J983">
            <v>0</v>
          </cell>
          <cell r="K983">
            <v>3105</v>
          </cell>
          <cell r="L983">
            <v>3105</v>
          </cell>
          <cell r="M983">
            <v>0</v>
          </cell>
          <cell r="N983">
            <v>0</v>
          </cell>
          <cell r="O983" t="str">
            <v>Отсроченные налоги</v>
          </cell>
        </row>
        <row r="984">
          <cell r="A984">
            <v>9</v>
          </cell>
          <cell r="B984">
            <v>214</v>
          </cell>
          <cell r="C984">
            <v>214</v>
          </cell>
          <cell r="D984">
            <v>904.37</v>
          </cell>
          <cell r="E984">
            <v>0</v>
          </cell>
          <cell r="F984">
            <v>19995</v>
          </cell>
          <cell r="H984">
            <v>0</v>
          </cell>
          <cell r="I984">
            <v>0</v>
          </cell>
          <cell r="J984">
            <v>0</v>
          </cell>
          <cell r="K984">
            <v>30680</v>
          </cell>
          <cell r="L984">
            <v>0</v>
          </cell>
          <cell r="M984">
            <v>30680</v>
          </cell>
          <cell r="N984">
            <v>0</v>
          </cell>
          <cell r="O984" t="str">
            <v>Другие активы в процессе судебного разбирательства</v>
          </cell>
        </row>
        <row r="985">
          <cell r="A985">
            <v>9</v>
          </cell>
          <cell r="B985">
            <v>214</v>
          </cell>
          <cell r="C985">
            <v>3563</v>
          </cell>
          <cell r="D985">
            <v>904.37</v>
          </cell>
          <cell r="E985">
            <v>0</v>
          </cell>
          <cell r="F985">
            <v>19995</v>
          </cell>
          <cell r="H985">
            <v>0</v>
          </cell>
          <cell r="I985">
            <v>0</v>
          </cell>
          <cell r="J985">
            <v>0</v>
          </cell>
          <cell r="K985">
            <v>151739.6</v>
          </cell>
          <cell r="L985">
            <v>0</v>
          </cell>
          <cell r="M985">
            <v>151739.6</v>
          </cell>
          <cell r="N985">
            <v>0</v>
          </cell>
          <cell r="O985" t="str">
            <v>Другие активы в процессе судебного разбирательства</v>
          </cell>
        </row>
        <row r="986">
          <cell r="A986">
            <v>9</v>
          </cell>
          <cell r="B986">
            <v>214</v>
          </cell>
          <cell r="C986">
            <v>5996</v>
          </cell>
          <cell r="D986">
            <v>904.37</v>
          </cell>
          <cell r="E986">
            <v>0</v>
          </cell>
          <cell r="F986">
            <v>19995</v>
          </cell>
          <cell r="H986">
            <v>0</v>
          </cell>
          <cell r="I986">
            <v>0</v>
          </cell>
          <cell r="J986">
            <v>0</v>
          </cell>
          <cell r="K986">
            <v>23854</v>
          </cell>
          <cell r="L986">
            <v>0</v>
          </cell>
          <cell r="M986">
            <v>23854</v>
          </cell>
          <cell r="N986">
            <v>0</v>
          </cell>
          <cell r="O986" t="str">
            <v>Другие активы в процессе судебного разбирательства</v>
          </cell>
        </row>
        <row r="987">
          <cell r="A987">
            <v>9</v>
          </cell>
          <cell r="B987">
            <v>214</v>
          </cell>
          <cell r="C987">
            <v>7783</v>
          </cell>
          <cell r="D987">
            <v>904.37</v>
          </cell>
          <cell r="E987">
            <v>0</v>
          </cell>
          <cell r="F987">
            <v>19995</v>
          </cell>
          <cell r="H987">
            <v>0</v>
          </cell>
          <cell r="I987">
            <v>0</v>
          </cell>
          <cell r="J987">
            <v>0</v>
          </cell>
          <cell r="K987">
            <v>159934</v>
          </cell>
          <cell r="L987">
            <v>0</v>
          </cell>
          <cell r="M987">
            <v>159934</v>
          </cell>
          <cell r="N987">
            <v>0</v>
          </cell>
          <cell r="O987" t="str">
            <v>Другие активы в процессе судебного разбирательства</v>
          </cell>
        </row>
        <row r="988">
          <cell r="A988">
            <v>9</v>
          </cell>
          <cell r="B988">
            <v>214</v>
          </cell>
          <cell r="C988">
            <v>214</v>
          </cell>
          <cell r="D988">
            <v>904.39</v>
          </cell>
          <cell r="E988">
            <v>0</v>
          </cell>
          <cell r="F988">
            <v>22422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41330</v>
          </cell>
          <cell r="M988">
            <v>0</v>
          </cell>
          <cell r="N988">
            <v>41330</v>
          </cell>
          <cell r="O988" t="str">
            <v>Начисленные другие налоги и лицензии  к оплате</v>
          </cell>
        </row>
        <row r="989">
          <cell r="A989">
            <v>9</v>
          </cell>
          <cell r="B989">
            <v>214</v>
          </cell>
          <cell r="C989">
            <v>5996</v>
          </cell>
          <cell r="D989">
            <v>904.39</v>
          </cell>
          <cell r="E989">
            <v>0</v>
          </cell>
          <cell r="F989">
            <v>22422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275934.75</v>
          </cell>
          <cell r="M989">
            <v>0</v>
          </cell>
          <cell r="N989">
            <v>275934.75</v>
          </cell>
          <cell r="O989" t="str">
            <v>Начисленные другие налоги и лицензии  к оплате</v>
          </cell>
        </row>
        <row r="990">
          <cell r="A990">
            <v>9</v>
          </cell>
          <cell r="B990">
            <v>214</v>
          </cell>
          <cell r="C990">
            <v>7783</v>
          </cell>
          <cell r="D990">
            <v>904.39</v>
          </cell>
          <cell r="E990">
            <v>0</v>
          </cell>
          <cell r="F990">
            <v>22422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25126.95</v>
          </cell>
          <cell r="M990">
            <v>0</v>
          </cell>
          <cell r="N990">
            <v>25126.95</v>
          </cell>
          <cell r="O990" t="str">
            <v>Начисленные другие налоги и лицензии  к оплате</v>
          </cell>
        </row>
        <row r="991">
          <cell r="A991">
            <v>9</v>
          </cell>
          <cell r="B991">
            <v>214</v>
          </cell>
          <cell r="C991">
            <v>7845</v>
          </cell>
          <cell r="D991">
            <v>904.39</v>
          </cell>
          <cell r="E991">
            <v>0</v>
          </cell>
          <cell r="F991">
            <v>22422</v>
          </cell>
          <cell r="H991">
            <v>0</v>
          </cell>
          <cell r="I991">
            <v>0</v>
          </cell>
          <cell r="J991">
            <v>0</v>
          </cell>
          <cell r="K991">
            <v>8451.2800000000007</v>
          </cell>
          <cell r="L991">
            <v>15317.96</v>
          </cell>
          <cell r="M991">
            <v>0</v>
          </cell>
          <cell r="N991">
            <v>6866.68</v>
          </cell>
          <cell r="O991" t="str">
            <v>Начисленные другие налоги и лицензии  к оплате</v>
          </cell>
        </row>
        <row r="992">
          <cell r="A992">
            <v>9</v>
          </cell>
          <cell r="B992">
            <v>214</v>
          </cell>
          <cell r="C992">
            <v>7948</v>
          </cell>
          <cell r="D992">
            <v>904.39</v>
          </cell>
          <cell r="E992">
            <v>0</v>
          </cell>
          <cell r="F992">
            <v>22422</v>
          </cell>
          <cell r="H992">
            <v>0</v>
          </cell>
          <cell r="I992">
            <v>0</v>
          </cell>
          <cell r="J992">
            <v>0</v>
          </cell>
          <cell r="K992">
            <v>144465.13</v>
          </cell>
          <cell r="L992">
            <v>151408.43</v>
          </cell>
          <cell r="M992">
            <v>0</v>
          </cell>
          <cell r="N992">
            <v>6943.3</v>
          </cell>
          <cell r="O992" t="str">
            <v>Начисленные другие налоги и лицензии  к оплате</v>
          </cell>
        </row>
        <row r="993">
          <cell r="A993">
            <v>9</v>
          </cell>
          <cell r="B993">
            <v>214</v>
          </cell>
          <cell r="C993">
            <v>8002</v>
          </cell>
          <cell r="D993">
            <v>904.39</v>
          </cell>
          <cell r="E993">
            <v>0</v>
          </cell>
          <cell r="F993">
            <v>22422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7002.45</v>
          </cell>
          <cell r="M993">
            <v>0</v>
          </cell>
          <cell r="N993">
            <v>7002.45</v>
          </cell>
          <cell r="O993" t="str">
            <v>Начисленные другие налоги и лицензии  к оплате</v>
          </cell>
        </row>
        <row r="994">
          <cell r="A994">
            <v>9</v>
          </cell>
          <cell r="B994">
            <v>214</v>
          </cell>
          <cell r="C994">
            <v>8104</v>
          </cell>
          <cell r="D994">
            <v>904.39</v>
          </cell>
          <cell r="E994">
            <v>0</v>
          </cell>
          <cell r="F994">
            <v>22422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98749.78</v>
          </cell>
          <cell r="M994">
            <v>0</v>
          </cell>
          <cell r="N994">
            <v>98749.78</v>
          </cell>
          <cell r="O994" t="str">
            <v>Начисленные другие налоги и лицензии  к оплате</v>
          </cell>
        </row>
        <row r="995">
          <cell r="A995">
            <v>9</v>
          </cell>
          <cell r="B995">
            <v>214</v>
          </cell>
          <cell r="C995">
            <v>8137</v>
          </cell>
          <cell r="D995">
            <v>904.39</v>
          </cell>
          <cell r="E995">
            <v>0</v>
          </cell>
          <cell r="F995">
            <v>22422</v>
          </cell>
          <cell r="H995">
            <v>0</v>
          </cell>
          <cell r="I995">
            <v>0</v>
          </cell>
          <cell r="J995">
            <v>0</v>
          </cell>
          <cell r="K995">
            <v>2826</v>
          </cell>
          <cell r="L995">
            <v>8746</v>
          </cell>
          <cell r="M995">
            <v>0</v>
          </cell>
          <cell r="N995">
            <v>5920</v>
          </cell>
          <cell r="O995" t="str">
            <v>Начисленные другие налоги и лицензии  к оплате</v>
          </cell>
        </row>
        <row r="996">
          <cell r="A996">
            <v>9</v>
          </cell>
          <cell r="B996">
            <v>214</v>
          </cell>
          <cell r="C996">
            <v>8298</v>
          </cell>
          <cell r="D996">
            <v>904.39</v>
          </cell>
          <cell r="E996">
            <v>0</v>
          </cell>
          <cell r="F996">
            <v>22422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17096.91</v>
          </cell>
          <cell r="M996">
            <v>0</v>
          </cell>
          <cell r="N996">
            <v>17096.91</v>
          </cell>
          <cell r="O996" t="str">
            <v>Начисленные другие налоги и лицензии  к оплате</v>
          </cell>
        </row>
        <row r="997">
          <cell r="A997">
            <v>9</v>
          </cell>
          <cell r="B997">
            <v>214</v>
          </cell>
          <cell r="C997">
            <v>8533</v>
          </cell>
          <cell r="D997">
            <v>904.39</v>
          </cell>
          <cell r="E997">
            <v>0</v>
          </cell>
          <cell r="F997">
            <v>22422</v>
          </cell>
          <cell r="H997">
            <v>0</v>
          </cell>
          <cell r="I997">
            <v>0</v>
          </cell>
          <cell r="J997">
            <v>0</v>
          </cell>
          <cell r="K997">
            <v>1437.85</v>
          </cell>
          <cell r="L997">
            <v>4168.38</v>
          </cell>
          <cell r="M997">
            <v>0</v>
          </cell>
          <cell r="N997">
            <v>2730.53</v>
          </cell>
          <cell r="O997" t="str">
            <v>Начисленные другие налоги и лицензии  к оплате</v>
          </cell>
        </row>
        <row r="998">
          <cell r="A998">
            <v>9</v>
          </cell>
          <cell r="B998">
            <v>214</v>
          </cell>
          <cell r="C998">
            <v>8659</v>
          </cell>
          <cell r="D998">
            <v>904.39</v>
          </cell>
          <cell r="E998">
            <v>0</v>
          </cell>
          <cell r="F998">
            <v>22422</v>
          </cell>
          <cell r="H998">
            <v>0</v>
          </cell>
          <cell r="I998">
            <v>0</v>
          </cell>
          <cell r="J998">
            <v>0</v>
          </cell>
          <cell r="K998">
            <v>3105</v>
          </cell>
          <cell r="L998">
            <v>10954</v>
          </cell>
          <cell r="M998">
            <v>0</v>
          </cell>
          <cell r="N998">
            <v>7849</v>
          </cell>
          <cell r="O998" t="str">
            <v>Начисленные другие налоги и лицензии  к оплате</v>
          </cell>
        </row>
        <row r="999">
          <cell r="A999">
            <v>9</v>
          </cell>
          <cell r="B999">
            <v>214</v>
          </cell>
          <cell r="C999">
            <v>214</v>
          </cell>
          <cell r="D999">
            <v>904.42</v>
          </cell>
          <cell r="E999">
            <v>0</v>
          </cell>
          <cell r="F999">
            <v>29802.01</v>
          </cell>
          <cell r="H999">
            <v>0</v>
          </cell>
          <cell r="I999">
            <v>0</v>
          </cell>
          <cell r="J999">
            <v>0</v>
          </cell>
          <cell r="K999">
            <v>152714.63</v>
          </cell>
          <cell r="L999">
            <v>250074.61</v>
          </cell>
          <cell r="M999">
            <v>0</v>
          </cell>
          <cell r="N999">
            <v>97359.98</v>
          </cell>
          <cell r="O999" t="str">
            <v>счета к оплате за ТМЦ и услуги аванс.платежиот покуп.и заказ</v>
          </cell>
        </row>
        <row r="1000">
          <cell r="A1000">
            <v>9</v>
          </cell>
          <cell r="B1000">
            <v>214</v>
          </cell>
          <cell r="C1000">
            <v>7783</v>
          </cell>
          <cell r="D1000">
            <v>904.44</v>
          </cell>
          <cell r="E1000">
            <v>0</v>
          </cell>
          <cell r="F1000">
            <v>29803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251.7</v>
          </cell>
          <cell r="M1000">
            <v>0</v>
          </cell>
          <cell r="N1000">
            <v>251.7</v>
          </cell>
          <cell r="O1000" t="str">
            <v>Счета к оплате - расчеты с сотрудниками</v>
          </cell>
        </row>
        <row r="1001">
          <cell r="A1001">
            <v>9</v>
          </cell>
          <cell r="B1001">
            <v>214</v>
          </cell>
          <cell r="C1001">
            <v>8002</v>
          </cell>
          <cell r="D1001">
            <v>904.44</v>
          </cell>
          <cell r="E1001">
            <v>0</v>
          </cell>
          <cell r="F1001">
            <v>29803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18900</v>
          </cell>
          <cell r="M1001">
            <v>0</v>
          </cell>
          <cell r="N1001">
            <v>18900</v>
          </cell>
          <cell r="O1001" t="str">
            <v>Счета к оплате - расчеты с сотрудниками</v>
          </cell>
        </row>
        <row r="1002">
          <cell r="A1002">
            <v>9</v>
          </cell>
          <cell r="B1002">
            <v>214</v>
          </cell>
          <cell r="C1002">
            <v>8137</v>
          </cell>
          <cell r="D1002">
            <v>904.44</v>
          </cell>
          <cell r="E1002">
            <v>0</v>
          </cell>
          <cell r="F1002">
            <v>29803</v>
          </cell>
          <cell r="H1002">
            <v>0</v>
          </cell>
          <cell r="I1002">
            <v>0</v>
          </cell>
          <cell r="J1002">
            <v>0</v>
          </cell>
          <cell r="K1002">
            <v>21730.799999999999</v>
          </cell>
          <cell r="L1002">
            <v>21730.799999999999</v>
          </cell>
          <cell r="M1002">
            <v>0</v>
          </cell>
          <cell r="N1002">
            <v>0</v>
          </cell>
          <cell r="O1002" t="str">
            <v>Счета к оплате - расчеты с сотрудниками</v>
          </cell>
        </row>
        <row r="1003">
          <cell r="A1003">
            <v>9</v>
          </cell>
          <cell r="B1003">
            <v>214</v>
          </cell>
          <cell r="C1003">
            <v>8298</v>
          </cell>
          <cell r="D1003">
            <v>904.44</v>
          </cell>
          <cell r="E1003">
            <v>0</v>
          </cell>
          <cell r="F1003">
            <v>29803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6929</v>
          </cell>
          <cell r="M1003">
            <v>0</v>
          </cell>
          <cell r="N1003">
            <v>6929</v>
          </cell>
          <cell r="O1003" t="str">
            <v>Счета к оплате - расчеты с сотрудниками</v>
          </cell>
        </row>
        <row r="1004">
          <cell r="A1004">
            <v>9</v>
          </cell>
          <cell r="B1004">
            <v>214</v>
          </cell>
          <cell r="C1004">
            <v>8659</v>
          </cell>
          <cell r="D1004">
            <v>904.44</v>
          </cell>
          <cell r="E1004">
            <v>0</v>
          </cell>
          <cell r="F1004">
            <v>29803</v>
          </cell>
          <cell r="H1004">
            <v>0</v>
          </cell>
          <cell r="I1004">
            <v>0</v>
          </cell>
          <cell r="J1004">
            <v>0</v>
          </cell>
          <cell r="K1004">
            <v>79314.89</v>
          </cell>
          <cell r="L1004">
            <v>79314.89</v>
          </cell>
          <cell r="M1004">
            <v>0</v>
          </cell>
          <cell r="N1004">
            <v>0</v>
          </cell>
          <cell r="O1004" t="str">
            <v>Счета к оплате - расчеты с сотрудниками</v>
          </cell>
        </row>
        <row r="1005">
          <cell r="A1005">
            <v>9</v>
          </cell>
          <cell r="B1005">
            <v>214</v>
          </cell>
          <cell r="C1005">
            <v>214</v>
          </cell>
          <cell r="D1005">
            <v>904.99</v>
          </cell>
          <cell r="E1005">
            <v>21</v>
          </cell>
          <cell r="F1005">
            <v>19997.990000000002</v>
          </cell>
          <cell r="H1005">
            <v>1</v>
          </cell>
          <cell r="I1005">
            <v>0</v>
          </cell>
          <cell r="J1005">
            <v>0</v>
          </cell>
          <cell r="K1005">
            <v>1394807.92</v>
          </cell>
          <cell r="L1005">
            <v>1394807.92</v>
          </cell>
          <cell r="M1005">
            <v>0</v>
          </cell>
          <cell r="N1005">
            <v>0</v>
          </cell>
          <cell r="O1005" t="str">
            <v>Boshqa aktivlar</v>
          </cell>
        </row>
        <row r="1006">
          <cell r="A1006">
            <v>9</v>
          </cell>
          <cell r="B1006">
            <v>214</v>
          </cell>
          <cell r="C1006">
            <v>3563</v>
          </cell>
          <cell r="D1006">
            <v>904.99</v>
          </cell>
          <cell r="E1006">
            <v>21</v>
          </cell>
          <cell r="F1006">
            <v>19997.990000000002</v>
          </cell>
          <cell r="H1006">
            <v>1</v>
          </cell>
          <cell r="I1006">
            <v>0</v>
          </cell>
          <cell r="J1006">
            <v>0</v>
          </cell>
          <cell r="K1006">
            <v>198370</v>
          </cell>
          <cell r="L1006">
            <v>0</v>
          </cell>
          <cell r="M1006">
            <v>198370</v>
          </cell>
          <cell r="N1006">
            <v>0</v>
          </cell>
          <cell r="O1006" t="str">
            <v>Boshqa aktivlar</v>
          </cell>
        </row>
        <row r="1007">
          <cell r="A1007">
            <v>9</v>
          </cell>
          <cell r="B1007">
            <v>214</v>
          </cell>
          <cell r="C1007">
            <v>214</v>
          </cell>
          <cell r="D1007">
            <v>920</v>
          </cell>
          <cell r="E1007">
            <v>22</v>
          </cell>
          <cell r="F1007">
            <v>16509</v>
          </cell>
          <cell r="H1007">
            <v>1</v>
          </cell>
          <cell r="I1007">
            <v>458401</v>
          </cell>
          <cell r="J1007">
            <v>0</v>
          </cell>
          <cell r="K1007">
            <v>60000</v>
          </cell>
          <cell r="L1007">
            <v>49128</v>
          </cell>
          <cell r="M1007">
            <v>469273</v>
          </cell>
          <cell r="N1007">
            <v>0</v>
          </cell>
          <cell r="O1007" t="str">
            <v>Bank inshoatlari</v>
          </cell>
        </row>
        <row r="1008">
          <cell r="A1008">
            <v>9</v>
          </cell>
          <cell r="B1008">
            <v>214</v>
          </cell>
          <cell r="C1008">
            <v>3563</v>
          </cell>
          <cell r="D1008">
            <v>920</v>
          </cell>
          <cell r="E1008">
            <v>22</v>
          </cell>
          <cell r="F1008">
            <v>16509</v>
          </cell>
          <cell r="H1008">
            <v>1</v>
          </cell>
          <cell r="I1008">
            <v>204350</v>
          </cell>
          <cell r="J1008">
            <v>0</v>
          </cell>
          <cell r="K1008">
            <v>0</v>
          </cell>
          <cell r="L1008">
            <v>0</v>
          </cell>
          <cell r="M1008">
            <v>204350</v>
          </cell>
          <cell r="N1008">
            <v>0</v>
          </cell>
          <cell r="O1008" t="str">
            <v>Bank inshoatlari</v>
          </cell>
        </row>
        <row r="1009">
          <cell r="A1009">
            <v>9</v>
          </cell>
          <cell r="B1009">
            <v>214</v>
          </cell>
          <cell r="C1009">
            <v>5996</v>
          </cell>
          <cell r="D1009">
            <v>920</v>
          </cell>
          <cell r="E1009">
            <v>22</v>
          </cell>
          <cell r="F1009">
            <v>16509</v>
          </cell>
          <cell r="H1009">
            <v>1</v>
          </cell>
          <cell r="I1009">
            <v>7605</v>
          </cell>
          <cell r="J1009">
            <v>0</v>
          </cell>
          <cell r="K1009">
            <v>0</v>
          </cell>
          <cell r="L1009">
            <v>0</v>
          </cell>
          <cell r="M1009">
            <v>7605</v>
          </cell>
          <cell r="N1009">
            <v>0</v>
          </cell>
          <cell r="O1009" t="str">
            <v>Bank inshoatlari</v>
          </cell>
        </row>
        <row r="1010">
          <cell r="A1010">
            <v>9</v>
          </cell>
          <cell r="B1010">
            <v>214</v>
          </cell>
          <cell r="C1010">
            <v>7783</v>
          </cell>
          <cell r="D1010">
            <v>920</v>
          </cell>
          <cell r="E1010">
            <v>22</v>
          </cell>
          <cell r="F1010">
            <v>16509</v>
          </cell>
          <cell r="H1010">
            <v>1</v>
          </cell>
          <cell r="I1010">
            <v>543283</v>
          </cell>
          <cell r="J1010">
            <v>0</v>
          </cell>
          <cell r="K1010">
            <v>0</v>
          </cell>
          <cell r="L1010">
            <v>0</v>
          </cell>
          <cell r="M1010">
            <v>543283</v>
          </cell>
          <cell r="N1010">
            <v>0</v>
          </cell>
          <cell r="O1010" t="str">
            <v>Bank inshoatlari</v>
          </cell>
        </row>
        <row r="1011">
          <cell r="A1011">
            <v>9</v>
          </cell>
          <cell r="B1011">
            <v>214</v>
          </cell>
          <cell r="C1011">
            <v>7845</v>
          </cell>
          <cell r="D1011">
            <v>920</v>
          </cell>
          <cell r="E1011">
            <v>22</v>
          </cell>
          <cell r="F1011">
            <v>16509</v>
          </cell>
          <cell r="H1011">
            <v>1</v>
          </cell>
          <cell r="I1011">
            <v>3234440.67</v>
          </cell>
          <cell r="J1011">
            <v>0</v>
          </cell>
          <cell r="K1011">
            <v>0</v>
          </cell>
          <cell r="L1011">
            <v>0</v>
          </cell>
          <cell r="M1011">
            <v>3234440.67</v>
          </cell>
          <cell r="N1011">
            <v>0</v>
          </cell>
          <cell r="O1011" t="str">
            <v>Bank inshoatlari</v>
          </cell>
        </row>
        <row r="1012">
          <cell r="A1012">
            <v>9</v>
          </cell>
          <cell r="B1012">
            <v>214</v>
          </cell>
          <cell r="C1012">
            <v>7948</v>
          </cell>
          <cell r="D1012">
            <v>920</v>
          </cell>
          <cell r="E1012">
            <v>22</v>
          </cell>
          <cell r="F1012">
            <v>16509</v>
          </cell>
          <cell r="H1012">
            <v>1</v>
          </cell>
          <cell r="I1012">
            <v>74027</v>
          </cell>
          <cell r="J1012">
            <v>0</v>
          </cell>
          <cell r="K1012">
            <v>0</v>
          </cell>
          <cell r="L1012">
            <v>0</v>
          </cell>
          <cell r="M1012">
            <v>74027</v>
          </cell>
          <cell r="N1012">
            <v>0</v>
          </cell>
          <cell r="O1012" t="str">
            <v>Bank inshoatlari</v>
          </cell>
        </row>
        <row r="1013">
          <cell r="A1013">
            <v>9</v>
          </cell>
          <cell r="B1013">
            <v>214</v>
          </cell>
          <cell r="C1013">
            <v>8104</v>
          </cell>
          <cell r="D1013">
            <v>920</v>
          </cell>
          <cell r="E1013">
            <v>22</v>
          </cell>
          <cell r="F1013">
            <v>16509</v>
          </cell>
          <cell r="H1013">
            <v>1</v>
          </cell>
          <cell r="I1013">
            <v>94289</v>
          </cell>
          <cell r="J1013">
            <v>0</v>
          </cell>
          <cell r="K1013">
            <v>0</v>
          </cell>
          <cell r="L1013">
            <v>0</v>
          </cell>
          <cell r="M1013">
            <v>94289</v>
          </cell>
          <cell r="N1013">
            <v>0</v>
          </cell>
          <cell r="O1013" t="str">
            <v>Bank inshoatlari</v>
          </cell>
        </row>
        <row r="1014">
          <cell r="A1014">
            <v>9</v>
          </cell>
          <cell r="B1014">
            <v>214</v>
          </cell>
          <cell r="C1014">
            <v>8137</v>
          </cell>
          <cell r="D1014">
            <v>920</v>
          </cell>
          <cell r="E1014">
            <v>22</v>
          </cell>
          <cell r="F1014">
            <v>16509</v>
          </cell>
          <cell r="H1014">
            <v>1</v>
          </cell>
          <cell r="I1014">
            <v>1398420</v>
          </cell>
          <cell r="J1014">
            <v>0</v>
          </cell>
          <cell r="K1014">
            <v>0</v>
          </cell>
          <cell r="L1014">
            <v>0</v>
          </cell>
          <cell r="M1014">
            <v>1398420</v>
          </cell>
          <cell r="N1014">
            <v>0</v>
          </cell>
          <cell r="O1014" t="str">
            <v>Bank inshoatlari</v>
          </cell>
        </row>
        <row r="1015">
          <cell r="A1015">
            <v>9</v>
          </cell>
          <cell r="B1015">
            <v>214</v>
          </cell>
          <cell r="C1015">
            <v>8298</v>
          </cell>
          <cell r="D1015">
            <v>920</v>
          </cell>
          <cell r="E1015">
            <v>22</v>
          </cell>
          <cell r="F1015">
            <v>16509</v>
          </cell>
          <cell r="H1015">
            <v>1</v>
          </cell>
          <cell r="I1015">
            <v>0</v>
          </cell>
          <cell r="J1015">
            <v>0</v>
          </cell>
          <cell r="K1015">
            <v>9504975</v>
          </cell>
          <cell r="L1015">
            <v>0</v>
          </cell>
          <cell r="M1015">
            <v>9504975</v>
          </cell>
          <cell r="N1015">
            <v>0</v>
          </cell>
          <cell r="O1015" t="str">
            <v>Bank inshoatlari</v>
          </cell>
        </row>
        <row r="1016">
          <cell r="A1016">
            <v>9</v>
          </cell>
          <cell r="B1016">
            <v>214</v>
          </cell>
          <cell r="C1016">
            <v>8659</v>
          </cell>
          <cell r="D1016">
            <v>920</v>
          </cell>
          <cell r="E1016">
            <v>22</v>
          </cell>
          <cell r="F1016">
            <v>16509</v>
          </cell>
          <cell r="H1016">
            <v>1</v>
          </cell>
          <cell r="I1016">
            <v>32400</v>
          </cell>
          <cell r="J1016">
            <v>0</v>
          </cell>
          <cell r="K1016">
            <v>2353100</v>
          </cell>
          <cell r="L1016">
            <v>2353100</v>
          </cell>
          <cell r="M1016">
            <v>32400</v>
          </cell>
          <cell r="N1016">
            <v>0</v>
          </cell>
          <cell r="O1016" t="str">
            <v>Bank inshoatlari</v>
          </cell>
        </row>
        <row r="1017">
          <cell r="A1017">
            <v>9</v>
          </cell>
          <cell r="B1017">
            <v>214</v>
          </cell>
          <cell r="C1017">
            <v>214</v>
          </cell>
          <cell r="D1017">
            <v>921.01</v>
          </cell>
          <cell r="E1017">
            <v>22</v>
          </cell>
          <cell r="F1017">
            <v>16529</v>
          </cell>
          <cell r="H1017">
            <v>1</v>
          </cell>
          <cell r="I1017">
            <v>184212</v>
          </cell>
          <cell r="J1017">
            <v>0</v>
          </cell>
          <cell r="K1017">
            <v>0</v>
          </cell>
          <cell r="L1017">
            <v>0</v>
          </cell>
          <cell r="M1017">
            <v>184212</v>
          </cell>
          <cell r="N1017">
            <v>0</v>
          </cell>
          <cell r="O1017" t="str">
            <v>Transport vositalari</v>
          </cell>
        </row>
        <row r="1018">
          <cell r="A1018">
            <v>9</v>
          </cell>
          <cell r="B1018">
            <v>214</v>
          </cell>
          <cell r="C1018">
            <v>3563</v>
          </cell>
          <cell r="D1018">
            <v>921.01</v>
          </cell>
          <cell r="E1018">
            <v>22</v>
          </cell>
          <cell r="F1018">
            <v>16529</v>
          </cell>
          <cell r="H1018">
            <v>1</v>
          </cell>
          <cell r="I1018">
            <v>1430650</v>
          </cell>
          <cell r="J1018">
            <v>0</v>
          </cell>
          <cell r="K1018">
            <v>60000</v>
          </cell>
          <cell r="L1018">
            <v>0</v>
          </cell>
          <cell r="M1018">
            <v>1490650</v>
          </cell>
          <cell r="N1018">
            <v>0</v>
          </cell>
          <cell r="O1018" t="str">
            <v>Transport vositalari</v>
          </cell>
        </row>
        <row r="1019">
          <cell r="A1019">
            <v>9</v>
          </cell>
          <cell r="B1019">
            <v>214</v>
          </cell>
          <cell r="C1019">
            <v>5996</v>
          </cell>
          <cell r="D1019">
            <v>921.01</v>
          </cell>
          <cell r="E1019">
            <v>22</v>
          </cell>
          <cell r="F1019">
            <v>16529</v>
          </cell>
          <cell r="H1019">
            <v>1</v>
          </cell>
          <cell r="I1019">
            <v>700338</v>
          </cell>
          <cell r="J1019">
            <v>0</v>
          </cell>
          <cell r="K1019">
            <v>0</v>
          </cell>
          <cell r="L1019">
            <v>2112</v>
          </cell>
          <cell r="M1019">
            <v>698226</v>
          </cell>
          <cell r="N1019">
            <v>0</v>
          </cell>
          <cell r="O1019" t="str">
            <v>Transport vositalari</v>
          </cell>
        </row>
        <row r="1020">
          <cell r="A1020">
            <v>9</v>
          </cell>
          <cell r="B1020">
            <v>214</v>
          </cell>
          <cell r="C1020">
            <v>7783</v>
          </cell>
          <cell r="D1020">
            <v>921.01</v>
          </cell>
          <cell r="E1020">
            <v>22</v>
          </cell>
          <cell r="F1020">
            <v>16529</v>
          </cell>
          <cell r="H1020">
            <v>1</v>
          </cell>
          <cell r="I1020">
            <v>572026</v>
          </cell>
          <cell r="J1020">
            <v>0</v>
          </cell>
          <cell r="K1020">
            <v>0</v>
          </cell>
          <cell r="L1020">
            <v>0</v>
          </cell>
          <cell r="M1020">
            <v>572026</v>
          </cell>
          <cell r="N1020">
            <v>0</v>
          </cell>
          <cell r="O1020" t="str">
            <v>Transport vositalari</v>
          </cell>
        </row>
        <row r="1021">
          <cell r="A1021">
            <v>9</v>
          </cell>
          <cell r="B1021">
            <v>214</v>
          </cell>
          <cell r="C1021">
            <v>7948</v>
          </cell>
          <cell r="D1021">
            <v>921.01</v>
          </cell>
          <cell r="E1021">
            <v>22</v>
          </cell>
          <cell r="F1021">
            <v>16529</v>
          </cell>
          <cell r="H1021">
            <v>1</v>
          </cell>
          <cell r="I1021">
            <v>703956</v>
          </cell>
          <cell r="J1021">
            <v>0</v>
          </cell>
          <cell r="K1021">
            <v>0</v>
          </cell>
          <cell r="L1021">
            <v>0</v>
          </cell>
          <cell r="M1021">
            <v>703956</v>
          </cell>
          <cell r="N1021">
            <v>0</v>
          </cell>
          <cell r="O1021" t="str">
            <v>Transport vositalari</v>
          </cell>
        </row>
        <row r="1022">
          <cell r="A1022">
            <v>9</v>
          </cell>
          <cell r="B1022">
            <v>214</v>
          </cell>
          <cell r="C1022">
            <v>8104</v>
          </cell>
          <cell r="D1022">
            <v>921.01</v>
          </cell>
          <cell r="E1022">
            <v>22</v>
          </cell>
          <cell r="F1022">
            <v>16529</v>
          </cell>
          <cell r="H1022">
            <v>1</v>
          </cell>
          <cell r="I1022">
            <v>338280</v>
          </cell>
          <cell r="J1022">
            <v>0</v>
          </cell>
          <cell r="K1022">
            <v>0</v>
          </cell>
          <cell r="L1022">
            <v>0</v>
          </cell>
          <cell r="M1022">
            <v>338280</v>
          </cell>
          <cell r="N1022">
            <v>0</v>
          </cell>
          <cell r="O1022" t="str">
            <v>Transport vositalari</v>
          </cell>
        </row>
        <row r="1023">
          <cell r="A1023">
            <v>9</v>
          </cell>
          <cell r="B1023">
            <v>214</v>
          </cell>
          <cell r="C1023">
            <v>8298</v>
          </cell>
          <cell r="D1023">
            <v>921.01</v>
          </cell>
          <cell r="E1023">
            <v>22</v>
          </cell>
          <cell r="F1023">
            <v>16529</v>
          </cell>
          <cell r="H1023">
            <v>1</v>
          </cell>
          <cell r="I1023">
            <v>371111</v>
          </cell>
          <cell r="J1023">
            <v>0</v>
          </cell>
          <cell r="K1023">
            <v>0</v>
          </cell>
          <cell r="L1023">
            <v>0</v>
          </cell>
          <cell r="M1023">
            <v>371111</v>
          </cell>
          <cell r="N1023">
            <v>0</v>
          </cell>
          <cell r="O1023" t="str">
            <v>Transport vositalari</v>
          </cell>
        </row>
        <row r="1024">
          <cell r="A1024">
            <v>9</v>
          </cell>
          <cell r="B1024">
            <v>214</v>
          </cell>
          <cell r="C1024">
            <v>8659</v>
          </cell>
          <cell r="D1024">
            <v>921.01</v>
          </cell>
          <cell r="E1024">
            <v>22</v>
          </cell>
          <cell r="F1024">
            <v>16529</v>
          </cell>
          <cell r="H1024">
            <v>1</v>
          </cell>
          <cell r="I1024">
            <v>340788</v>
          </cell>
          <cell r="J1024">
            <v>0</v>
          </cell>
          <cell r="K1024">
            <v>0</v>
          </cell>
          <cell r="L1024">
            <v>4296</v>
          </cell>
          <cell r="M1024">
            <v>336492</v>
          </cell>
          <cell r="N1024">
            <v>0</v>
          </cell>
          <cell r="O1024" t="str">
            <v>Transport vositalari</v>
          </cell>
        </row>
        <row r="1025">
          <cell r="A1025">
            <v>9</v>
          </cell>
          <cell r="B1025">
            <v>214</v>
          </cell>
          <cell r="C1025">
            <v>214</v>
          </cell>
          <cell r="D1025">
            <v>921.02</v>
          </cell>
          <cell r="E1025">
            <v>22</v>
          </cell>
          <cell r="F1025">
            <v>16535</v>
          </cell>
          <cell r="H1025">
            <v>1</v>
          </cell>
          <cell r="I1025">
            <v>3394212</v>
          </cell>
          <cell r="J1025">
            <v>0</v>
          </cell>
          <cell r="K1025">
            <v>150489.35999999999</v>
          </cell>
          <cell r="L1025">
            <v>32951</v>
          </cell>
          <cell r="M1025">
            <v>3511750.36</v>
          </cell>
          <cell r="N1025">
            <v>0</v>
          </cell>
          <cell r="O1025" t="str">
            <v>Mebel, uskunalar va jixozlar</v>
          </cell>
        </row>
        <row r="1026">
          <cell r="A1026">
            <v>9</v>
          </cell>
          <cell r="B1026">
            <v>214</v>
          </cell>
          <cell r="C1026">
            <v>3563</v>
          </cell>
          <cell r="D1026">
            <v>921.02</v>
          </cell>
          <cell r="E1026">
            <v>22</v>
          </cell>
          <cell r="F1026">
            <v>16535</v>
          </cell>
          <cell r="H1026">
            <v>1</v>
          </cell>
          <cell r="I1026">
            <v>3439644</v>
          </cell>
          <cell r="J1026">
            <v>0</v>
          </cell>
          <cell r="K1026">
            <v>362484</v>
          </cell>
          <cell r="L1026">
            <v>27951</v>
          </cell>
          <cell r="M1026">
            <v>3774177</v>
          </cell>
          <cell r="N1026">
            <v>0</v>
          </cell>
          <cell r="O1026" t="str">
            <v>Mebel, uskunalar va jixozlar</v>
          </cell>
        </row>
        <row r="1027">
          <cell r="A1027">
            <v>9</v>
          </cell>
          <cell r="B1027">
            <v>214</v>
          </cell>
          <cell r="C1027">
            <v>5996</v>
          </cell>
          <cell r="D1027">
            <v>921.02</v>
          </cell>
          <cell r="E1027">
            <v>22</v>
          </cell>
          <cell r="F1027">
            <v>16535</v>
          </cell>
          <cell r="H1027">
            <v>1</v>
          </cell>
          <cell r="I1027">
            <v>2627506.44</v>
          </cell>
          <cell r="J1027">
            <v>0</v>
          </cell>
          <cell r="K1027">
            <v>347388.49</v>
          </cell>
          <cell r="L1027">
            <v>57363</v>
          </cell>
          <cell r="M1027">
            <v>2917531.93</v>
          </cell>
          <cell r="N1027">
            <v>0</v>
          </cell>
          <cell r="O1027" t="str">
            <v>Mebel, uskunalar va jixozlar</v>
          </cell>
        </row>
        <row r="1028">
          <cell r="A1028">
            <v>9</v>
          </cell>
          <cell r="B1028">
            <v>214</v>
          </cell>
          <cell r="C1028">
            <v>7783</v>
          </cell>
          <cell r="D1028">
            <v>921.02</v>
          </cell>
          <cell r="E1028">
            <v>22</v>
          </cell>
          <cell r="F1028">
            <v>16535</v>
          </cell>
          <cell r="H1028">
            <v>1</v>
          </cell>
          <cell r="I1028">
            <v>2121877</v>
          </cell>
          <cell r="J1028">
            <v>0</v>
          </cell>
          <cell r="K1028">
            <v>0</v>
          </cell>
          <cell r="L1028">
            <v>34314</v>
          </cell>
          <cell r="M1028">
            <v>2087563</v>
          </cell>
          <cell r="N1028">
            <v>0</v>
          </cell>
          <cell r="O1028" t="str">
            <v>Mebel, uskunalar va jixozlar</v>
          </cell>
        </row>
        <row r="1029">
          <cell r="A1029">
            <v>9</v>
          </cell>
          <cell r="B1029">
            <v>214</v>
          </cell>
          <cell r="C1029">
            <v>7845</v>
          </cell>
          <cell r="D1029">
            <v>921.02</v>
          </cell>
          <cell r="E1029">
            <v>22</v>
          </cell>
          <cell r="F1029">
            <v>16535</v>
          </cell>
          <cell r="H1029">
            <v>1</v>
          </cell>
          <cell r="I1029">
            <v>2124699</v>
          </cell>
          <cell r="J1029">
            <v>0</v>
          </cell>
          <cell r="K1029">
            <v>334118</v>
          </cell>
          <cell r="L1029">
            <v>0</v>
          </cell>
          <cell r="M1029">
            <v>2458817</v>
          </cell>
          <cell r="N1029">
            <v>0</v>
          </cell>
          <cell r="O1029" t="str">
            <v>Mebel, uskunalar va jixozlar</v>
          </cell>
        </row>
        <row r="1030">
          <cell r="A1030">
            <v>9</v>
          </cell>
          <cell r="B1030">
            <v>214</v>
          </cell>
          <cell r="C1030">
            <v>7948</v>
          </cell>
          <cell r="D1030">
            <v>921.02</v>
          </cell>
          <cell r="E1030">
            <v>22</v>
          </cell>
          <cell r="F1030">
            <v>16535</v>
          </cell>
          <cell r="H1030">
            <v>1</v>
          </cell>
          <cell r="I1030">
            <v>1825608</v>
          </cell>
          <cell r="J1030">
            <v>0</v>
          </cell>
          <cell r="K1030">
            <v>493106.04</v>
          </cell>
          <cell r="L1030">
            <v>0</v>
          </cell>
          <cell r="M1030">
            <v>2318714.04</v>
          </cell>
          <cell r="N1030">
            <v>0</v>
          </cell>
          <cell r="O1030" t="str">
            <v>Mebel, uskunalar va jixozlar</v>
          </cell>
        </row>
        <row r="1031">
          <cell r="A1031">
            <v>9</v>
          </cell>
          <cell r="B1031">
            <v>214</v>
          </cell>
          <cell r="C1031">
            <v>8002</v>
          </cell>
          <cell r="D1031">
            <v>921.02</v>
          </cell>
          <cell r="E1031">
            <v>22</v>
          </cell>
          <cell r="F1031">
            <v>16535</v>
          </cell>
          <cell r="H1031">
            <v>1</v>
          </cell>
          <cell r="I1031">
            <v>1706875</v>
          </cell>
          <cell r="J1031">
            <v>0</v>
          </cell>
          <cell r="K1031">
            <v>331788.49</v>
          </cell>
          <cell r="L1031">
            <v>35400</v>
          </cell>
          <cell r="M1031">
            <v>2003263.49</v>
          </cell>
          <cell r="N1031">
            <v>0</v>
          </cell>
          <cell r="O1031" t="str">
            <v>Mebel, uskunalar va jixozlar</v>
          </cell>
        </row>
        <row r="1032">
          <cell r="A1032">
            <v>9</v>
          </cell>
          <cell r="B1032">
            <v>214</v>
          </cell>
          <cell r="C1032">
            <v>8104</v>
          </cell>
          <cell r="D1032">
            <v>921.02</v>
          </cell>
          <cell r="E1032">
            <v>22</v>
          </cell>
          <cell r="F1032">
            <v>16535</v>
          </cell>
          <cell r="H1032">
            <v>1</v>
          </cell>
          <cell r="I1032">
            <v>1746011</v>
          </cell>
          <cell r="J1032">
            <v>0</v>
          </cell>
          <cell r="K1032">
            <v>331799.51</v>
          </cell>
          <cell r="L1032">
            <v>16500</v>
          </cell>
          <cell r="M1032">
            <v>2061310.51</v>
          </cell>
          <cell r="N1032">
            <v>0</v>
          </cell>
          <cell r="O1032" t="str">
            <v>Mebel, uskunalar va jixozlar</v>
          </cell>
        </row>
        <row r="1033">
          <cell r="A1033">
            <v>9</v>
          </cell>
          <cell r="B1033">
            <v>214</v>
          </cell>
          <cell r="C1033">
            <v>8137</v>
          </cell>
          <cell r="D1033">
            <v>921.02</v>
          </cell>
          <cell r="E1033">
            <v>22</v>
          </cell>
          <cell r="F1033">
            <v>16535</v>
          </cell>
          <cell r="H1033">
            <v>1</v>
          </cell>
          <cell r="I1033">
            <v>1494610</v>
          </cell>
          <cell r="J1033">
            <v>0</v>
          </cell>
          <cell r="K1033">
            <v>343290</v>
          </cell>
          <cell r="L1033">
            <v>198677</v>
          </cell>
          <cell r="M1033">
            <v>1639223</v>
          </cell>
          <cell r="N1033">
            <v>0</v>
          </cell>
          <cell r="O1033" t="str">
            <v>Mebel, uskunalar va jixozlar</v>
          </cell>
        </row>
        <row r="1034">
          <cell r="A1034">
            <v>9</v>
          </cell>
          <cell r="B1034">
            <v>214</v>
          </cell>
          <cell r="C1034">
            <v>8298</v>
          </cell>
          <cell r="D1034">
            <v>921.02</v>
          </cell>
          <cell r="E1034">
            <v>22</v>
          </cell>
          <cell r="F1034">
            <v>16535</v>
          </cell>
          <cell r="H1034">
            <v>1</v>
          </cell>
          <cell r="I1034">
            <v>2130827</v>
          </cell>
          <cell r="J1034">
            <v>0</v>
          </cell>
          <cell r="K1034">
            <v>68838</v>
          </cell>
          <cell r="L1034">
            <v>122210</v>
          </cell>
          <cell r="M1034">
            <v>2077455</v>
          </cell>
          <cell r="N1034">
            <v>0</v>
          </cell>
          <cell r="O1034" t="str">
            <v>Mebel, uskunalar va jixozlar</v>
          </cell>
        </row>
        <row r="1035">
          <cell r="A1035">
            <v>9</v>
          </cell>
          <cell r="B1035">
            <v>214</v>
          </cell>
          <cell r="C1035">
            <v>8533</v>
          </cell>
          <cell r="D1035">
            <v>921.02</v>
          </cell>
          <cell r="E1035">
            <v>22</v>
          </cell>
          <cell r="F1035">
            <v>16535</v>
          </cell>
          <cell r="H1035">
            <v>1</v>
          </cell>
          <cell r="I1035">
            <v>1377125</v>
          </cell>
          <cell r="J1035">
            <v>0</v>
          </cell>
          <cell r="K1035">
            <v>488373.1</v>
          </cell>
          <cell r="L1035">
            <v>110549.1</v>
          </cell>
          <cell r="M1035">
            <v>1754949</v>
          </cell>
          <cell r="N1035">
            <v>0</v>
          </cell>
          <cell r="O1035" t="str">
            <v>Mebel, uskunalar va jixozlar</v>
          </cell>
        </row>
        <row r="1036">
          <cell r="A1036">
            <v>9</v>
          </cell>
          <cell r="B1036">
            <v>214</v>
          </cell>
          <cell r="C1036">
            <v>8659</v>
          </cell>
          <cell r="D1036">
            <v>921.02</v>
          </cell>
          <cell r="E1036">
            <v>22</v>
          </cell>
          <cell r="F1036">
            <v>16535</v>
          </cell>
          <cell r="H1036">
            <v>1</v>
          </cell>
          <cell r="I1036">
            <v>1753671</v>
          </cell>
          <cell r="J1036">
            <v>0</v>
          </cell>
          <cell r="K1036">
            <v>432777.27</v>
          </cell>
          <cell r="L1036">
            <v>220897</v>
          </cell>
          <cell r="M1036">
            <v>1965551.27</v>
          </cell>
          <cell r="N1036">
            <v>0</v>
          </cell>
          <cell r="O1036" t="str">
            <v>Mebel, uskunalar va jixozlar</v>
          </cell>
        </row>
        <row r="1037">
          <cell r="A1037">
            <v>9</v>
          </cell>
          <cell r="B1037">
            <v>214</v>
          </cell>
          <cell r="C1037">
            <v>214</v>
          </cell>
          <cell r="D1037">
            <v>925</v>
          </cell>
          <cell r="E1037">
            <v>22</v>
          </cell>
          <cell r="F1037">
            <v>16541</v>
          </cell>
          <cell r="H1037">
            <v>1</v>
          </cell>
          <cell r="I1037">
            <v>0</v>
          </cell>
          <cell r="J1037">
            <v>0</v>
          </cell>
          <cell r="K1037">
            <v>11730.32</v>
          </cell>
          <cell r="L1037">
            <v>0</v>
          </cell>
          <cell r="M1037">
            <v>11730.32</v>
          </cell>
          <cell r="N1037">
            <v>0</v>
          </cell>
          <cell r="O1037" t="str">
            <v>Nomaterial aktivlar</v>
          </cell>
        </row>
        <row r="1038">
          <cell r="A1038">
            <v>9</v>
          </cell>
          <cell r="B1038">
            <v>214</v>
          </cell>
          <cell r="C1038">
            <v>3563</v>
          </cell>
          <cell r="D1038">
            <v>925</v>
          </cell>
          <cell r="E1038">
            <v>22</v>
          </cell>
          <cell r="F1038">
            <v>16541</v>
          </cell>
          <cell r="H1038">
            <v>1</v>
          </cell>
          <cell r="I1038">
            <v>0</v>
          </cell>
          <cell r="J1038">
            <v>0</v>
          </cell>
          <cell r="K1038">
            <v>12335</v>
          </cell>
          <cell r="L1038">
            <v>0</v>
          </cell>
          <cell r="M1038">
            <v>12335</v>
          </cell>
          <cell r="N1038">
            <v>0</v>
          </cell>
          <cell r="O1038" t="str">
            <v>Nomaterial aktivlar</v>
          </cell>
        </row>
        <row r="1039">
          <cell r="A1039">
            <v>9</v>
          </cell>
          <cell r="B1039">
            <v>214</v>
          </cell>
          <cell r="C1039">
            <v>7948</v>
          </cell>
          <cell r="D1039">
            <v>925</v>
          </cell>
          <cell r="E1039">
            <v>22</v>
          </cell>
          <cell r="F1039">
            <v>16541</v>
          </cell>
          <cell r="H1039">
            <v>1</v>
          </cell>
          <cell r="I1039">
            <v>0</v>
          </cell>
          <cell r="J1039">
            <v>0</v>
          </cell>
          <cell r="K1039">
            <v>123738.55</v>
          </cell>
          <cell r="L1039">
            <v>0</v>
          </cell>
          <cell r="M1039">
            <v>123738.55</v>
          </cell>
          <cell r="N1039">
            <v>0</v>
          </cell>
          <cell r="O1039" t="str">
            <v>Nomaterial aktivlar</v>
          </cell>
        </row>
        <row r="1040">
          <cell r="A1040">
            <v>9</v>
          </cell>
          <cell r="B1040">
            <v>214</v>
          </cell>
          <cell r="C1040">
            <v>8002</v>
          </cell>
          <cell r="D1040">
            <v>925</v>
          </cell>
          <cell r="E1040">
            <v>22</v>
          </cell>
          <cell r="F1040">
            <v>16541</v>
          </cell>
          <cell r="H1040">
            <v>1</v>
          </cell>
          <cell r="I1040">
            <v>0</v>
          </cell>
          <cell r="J1040">
            <v>0</v>
          </cell>
          <cell r="K1040">
            <v>12335</v>
          </cell>
          <cell r="L1040">
            <v>0</v>
          </cell>
          <cell r="M1040">
            <v>12335</v>
          </cell>
          <cell r="N1040">
            <v>0</v>
          </cell>
          <cell r="O1040" t="str">
            <v>Nomaterial aktivlar</v>
          </cell>
        </row>
        <row r="1041">
          <cell r="A1041">
            <v>9</v>
          </cell>
          <cell r="B1041">
            <v>214</v>
          </cell>
          <cell r="C1041">
            <v>8137</v>
          </cell>
          <cell r="D1041">
            <v>925</v>
          </cell>
          <cell r="E1041">
            <v>22</v>
          </cell>
          <cell r="F1041">
            <v>16541</v>
          </cell>
          <cell r="H1041">
            <v>1</v>
          </cell>
          <cell r="I1041">
            <v>0</v>
          </cell>
          <cell r="J1041">
            <v>0</v>
          </cell>
          <cell r="K1041">
            <v>29349.279999999999</v>
          </cell>
          <cell r="L1041">
            <v>0</v>
          </cell>
          <cell r="M1041">
            <v>29349.279999999999</v>
          </cell>
          <cell r="N1041">
            <v>0</v>
          </cell>
          <cell r="O1041" t="str">
            <v>Nomaterial aktivlar</v>
          </cell>
        </row>
        <row r="1042">
          <cell r="A1042">
            <v>9</v>
          </cell>
          <cell r="B1042">
            <v>214</v>
          </cell>
          <cell r="C1042">
            <v>8533</v>
          </cell>
          <cell r="D1042">
            <v>925</v>
          </cell>
          <cell r="E1042">
            <v>22</v>
          </cell>
          <cell r="F1042">
            <v>16541</v>
          </cell>
          <cell r="H1042">
            <v>1</v>
          </cell>
          <cell r="I1042">
            <v>0</v>
          </cell>
          <cell r="J1042">
            <v>0</v>
          </cell>
          <cell r="K1042">
            <v>2356.4499999999998</v>
          </cell>
          <cell r="L1042">
            <v>0</v>
          </cell>
          <cell r="M1042">
            <v>2356.4499999999998</v>
          </cell>
          <cell r="N1042">
            <v>0</v>
          </cell>
          <cell r="O1042" t="str">
            <v>Nomaterial aktivlar</v>
          </cell>
        </row>
        <row r="1043">
          <cell r="A1043">
            <v>9</v>
          </cell>
          <cell r="B1043">
            <v>214</v>
          </cell>
          <cell r="C1043">
            <v>214</v>
          </cell>
          <cell r="D1043">
            <v>930</v>
          </cell>
          <cell r="E1043">
            <v>22</v>
          </cell>
          <cell r="F1043">
            <v>16505</v>
          </cell>
          <cell r="H1043">
            <v>1</v>
          </cell>
          <cell r="I1043">
            <v>5253701.8</v>
          </cell>
          <cell r="J1043">
            <v>0</v>
          </cell>
          <cell r="K1043">
            <v>0</v>
          </cell>
          <cell r="L1043">
            <v>0</v>
          </cell>
          <cell r="M1043">
            <v>5253701.8</v>
          </cell>
          <cell r="N1043">
            <v>0</v>
          </cell>
          <cell r="O1043" t="str">
            <v>Kapital qurilish</v>
          </cell>
        </row>
        <row r="1044">
          <cell r="A1044">
            <v>9</v>
          </cell>
          <cell r="B1044">
            <v>214</v>
          </cell>
          <cell r="C1044">
            <v>3563</v>
          </cell>
          <cell r="D1044">
            <v>930</v>
          </cell>
          <cell r="E1044">
            <v>22</v>
          </cell>
          <cell r="F1044">
            <v>16505</v>
          </cell>
          <cell r="H1044">
            <v>1</v>
          </cell>
          <cell r="I1044">
            <v>4532004.8</v>
          </cell>
          <cell r="J1044">
            <v>0</v>
          </cell>
          <cell r="K1044">
            <v>0</v>
          </cell>
          <cell r="L1044">
            <v>0</v>
          </cell>
          <cell r="M1044">
            <v>4532004.8</v>
          </cell>
          <cell r="N1044">
            <v>0</v>
          </cell>
          <cell r="O1044" t="str">
            <v>Kapital qurilish</v>
          </cell>
        </row>
        <row r="1045">
          <cell r="A1045">
            <v>9</v>
          </cell>
          <cell r="B1045">
            <v>214</v>
          </cell>
          <cell r="C1045">
            <v>5996</v>
          </cell>
          <cell r="D1045">
            <v>930</v>
          </cell>
          <cell r="E1045">
            <v>22</v>
          </cell>
          <cell r="F1045">
            <v>16505</v>
          </cell>
          <cell r="H1045">
            <v>1</v>
          </cell>
          <cell r="I1045">
            <v>20786554.960000001</v>
          </cell>
          <cell r="J1045">
            <v>0</v>
          </cell>
          <cell r="K1045">
            <v>0</v>
          </cell>
          <cell r="L1045">
            <v>0</v>
          </cell>
          <cell r="M1045">
            <v>20786554.960000001</v>
          </cell>
          <cell r="N1045">
            <v>0</v>
          </cell>
          <cell r="O1045" t="str">
            <v>Kapital qurilish</v>
          </cell>
        </row>
        <row r="1046">
          <cell r="A1046">
            <v>9</v>
          </cell>
          <cell r="B1046">
            <v>214</v>
          </cell>
          <cell r="C1046">
            <v>7783</v>
          </cell>
          <cell r="D1046">
            <v>930</v>
          </cell>
          <cell r="E1046">
            <v>22</v>
          </cell>
          <cell r="F1046">
            <v>16505</v>
          </cell>
          <cell r="H1046">
            <v>1</v>
          </cell>
          <cell r="I1046">
            <v>1678248</v>
          </cell>
          <cell r="J1046">
            <v>0</v>
          </cell>
          <cell r="K1046">
            <v>0</v>
          </cell>
          <cell r="L1046">
            <v>159934</v>
          </cell>
          <cell r="M1046">
            <v>1518314</v>
          </cell>
          <cell r="N1046">
            <v>0</v>
          </cell>
          <cell r="O1046" t="str">
            <v>Kapital qurilish</v>
          </cell>
        </row>
        <row r="1047">
          <cell r="A1047">
            <v>9</v>
          </cell>
          <cell r="B1047">
            <v>214</v>
          </cell>
          <cell r="C1047">
            <v>7948</v>
          </cell>
          <cell r="D1047">
            <v>930</v>
          </cell>
          <cell r="E1047">
            <v>22</v>
          </cell>
          <cell r="F1047">
            <v>16505</v>
          </cell>
          <cell r="H1047">
            <v>1</v>
          </cell>
          <cell r="I1047">
            <v>3262000</v>
          </cell>
          <cell r="J1047">
            <v>0</v>
          </cell>
          <cell r="K1047">
            <v>0</v>
          </cell>
          <cell r="L1047">
            <v>0</v>
          </cell>
          <cell r="M1047">
            <v>3262000</v>
          </cell>
          <cell r="N1047">
            <v>0</v>
          </cell>
          <cell r="O1047" t="str">
            <v>Kapital qurilish</v>
          </cell>
        </row>
        <row r="1048">
          <cell r="A1048">
            <v>9</v>
          </cell>
          <cell r="B1048">
            <v>214</v>
          </cell>
          <cell r="C1048">
            <v>8002</v>
          </cell>
          <cell r="D1048">
            <v>930</v>
          </cell>
          <cell r="E1048">
            <v>22</v>
          </cell>
          <cell r="F1048">
            <v>16505</v>
          </cell>
          <cell r="H1048">
            <v>1</v>
          </cell>
          <cell r="I1048">
            <v>6963483.9199999999</v>
          </cell>
          <cell r="J1048">
            <v>0</v>
          </cell>
          <cell r="K1048">
            <v>0</v>
          </cell>
          <cell r="L1048">
            <v>0</v>
          </cell>
          <cell r="M1048">
            <v>6963483.9199999999</v>
          </cell>
          <cell r="N1048">
            <v>0</v>
          </cell>
          <cell r="O1048" t="str">
            <v>Kapital qurilish</v>
          </cell>
        </row>
        <row r="1049">
          <cell r="A1049">
            <v>9</v>
          </cell>
          <cell r="B1049">
            <v>214</v>
          </cell>
          <cell r="C1049">
            <v>8104</v>
          </cell>
          <cell r="D1049">
            <v>930</v>
          </cell>
          <cell r="E1049">
            <v>22</v>
          </cell>
          <cell r="F1049">
            <v>16505</v>
          </cell>
          <cell r="H1049">
            <v>1</v>
          </cell>
          <cell r="I1049">
            <v>2977092.52</v>
          </cell>
          <cell r="J1049">
            <v>0</v>
          </cell>
          <cell r="K1049">
            <v>0</v>
          </cell>
          <cell r="L1049">
            <v>0</v>
          </cell>
          <cell r="M1049">
            <v>2977092.52</v>
          </cell>
          <cell r="N1049">
            <v>0</v>
          </cell>
          <cell r="O1049" t="str">
            <v>Kapital qurilish</v>
          </cell>
        </row>
        <row r="1050">
          <cell r="A1050">
            <v>9</v>
          </cell>
          <cell r="B1050">
            <v>214</v>
          </cell>
          <cell r="C1050">
            <v>8137</v>
          </cell>
          <cell r="D1050">
            <v>930</v>
          </cell>
          <cell r="E1050">
            <v>22</v>
          </cell>
          <cell r="F1050">
            <v>16505</v>
          </cell>
          <cell r="H1050">
            <v>1</v>
          </cell>
          <cell r="I1050">
            <v>1483125</v>
          </cell>
          <cell r="J1050">
            <v>0</v>
          </cell>
          <cell r="K1050">
            <v>0</v>
          </cell>
          <cell r="L1050">
            <v>0</v>
          </cell>
          <cell r="M1050">
            <v>1483125</v>
          </cell>
          <cell r="N1050">
            <v>0</v>
          </cell>
          <cell r="O1050" t="str">
            <v>Kapital qurilish</v>
          </cell>
        </row>
        <row r="1051">
          <cell r="A1051">
            <v>9</v>
          </cell>
          <cell r="B1051">
            <v>214</v>
          </cell>
          <cell r="C1051">
            <v>8298</v>
          </cell>
          <cell r="D1051">
            <v>930</v>
          </cell>
          <cell r="E1051">
            <v>22</v>
          </cell>
          <cell r="F1051">
            <v>16505</v>
          </cell>
          <cell r="H1051">
            <v>1</v>
          </cell>
          <cell r="I1051">
            <v>10693358.02</v>
          </cell>
          <cell r="J1051">
            <v>0</v>
          </cell>
          <cell r="K1051">
            <v>0</v>
          </cell>
          <cell r="L1051">
            <v>9537125</v>
          </cell>
          <cell r="M1051">
            <v>1156233.02</v>
          </cell>
          <cell r="N1051">
            <v>0</v>
          </cell>
          <cell r="O1051" t="str">
            <v>Kapital qurilish</v>
          </cell>
        </row>
        <row r="1052">
          <cell r="A1052">
            <v>9</v>
          </cell>
          <cell r="B1052">
            <v>214</v>
          </cell>
          <cell r="C1052">
            <v>8533</v>
          </cell>
          <cell r="D1052">
            <v>930</v>
          </cell>
          <cell r="E1052">
            <v>22</v>
          </cell>
          <cell r="F1052">
            <v>16505</v>
          </cell>
          <cell r="H1052">
            <v>1</v>
          </cell>
          <cell r="I1052">
            <v>4201065.54</v>
          </cell>
          <cell r="J1052">
            <v>0</v>
          </cell>
          <cell r="K1052">
            <v>0</v>
          </cell>
          <cell r="L1052">
            <v>33000</v>
          </cell>
          <cell r="M1052">
            <v>4168065.54</v>
          </cell>
          <cell r="N1052">
            <v>0</v>
          </cell>
          <cell r="O1052" t="str">
            <v>Kapital qurilish</v>
          </cell>
        </row>
        <row r="1053">
          <cell r="A1053">
            <v>9</v>
          </cell>
          <cell r="B1053">
            <v>214</v>
          </cell>
          <cell r="C1053">
            <v>8659</v>
          </cell>
          <cell r="D1053">
            <v>930</v>
          </cell>
          <cell r="E1053">
            <v>22</v>
          </cell>
          <cell r="F1053">
            <v>16505</v>
          </cell>
          <cell r="H1053">
            <v>1</v>
          </cell>
          <cell r="I1053">
            <v>3347883</v>
          </cell>
          <cell r="J1053">
            <v>0</v>
          </cell>
          <cell r="K1053">
            <v>0</v>
          </cell>
          <cell r="L1053">
            <v>2353100</v>
          </cell>
          <cell r="M1053">
            <v>994783</v>
          </cell>
          <cell r="N1053">
            <v>0</v>
          </cell>
          <cell r="O1053" t="str">
            <v>Kapital qurilish</v>
          </cell>
        </row>
        <row r="1054">
          <cell r="A1054">
            <v>9</v>
          </cell>
          <cell r="B1054">
            <v>214</v>
          </cell>
          <cell r="C1054">
            <v>214</v>
          </cell>
          <cell r="D1054">
            <v>940.01</v>
          </cell>
          <cell r="E1054">
            <v>22</v>
          </cell>
          <cell r="F1054">
            <v>19921.009999999998</v>
          </cell>
          <cell r="H1054">
            <v>1</v>
          </cell>
          <cell r="I1054">
            <v>179433.3</v>
          </cell>
          <cell r="J1054">
            <v>0</v>
          </cell>
          <cell r="K1054">
            <v>64500</v>
          </cell>
          <cell r="L1054">
            <v>74814</v>
          </cell>
          <cell r="M1054">
            <v>169119.3</v>
          </cell>
          <cell r="N1054">
            <v>0</v>
          </cell>
          <cell r="O1054" t="str">
            <v>Строительные материалы для текущего ремонта</v>
          </cell>
        </row>
        <row r="1055">
          <cell r="A1055">
            <v>9</v>
          </cell>
          <cell r="B1055">
            <v>214</v>
          </cell>
          <cell r="C1055">
            <v>3563</v>
          </cell>
          <cell r="D1055">
            <v>940.01</v>
          </cell>
          <cell r="E1055">
            <v>22</v>
          </cell>
          <cell r="F1055">
            <v>19921.009999999998</v>
          </cell>
          <cell r="H1055">
            <v>1</v>
          </cell>
          <cell r="I1055">
            <v>19620</v>
          </cell>
          <cell r="J1055">
            <v>0</v>
          </cell>
          <cell r="K1055">
            <v>27200</v>
          </cell>
          <cell r="L1055">
            <v>4010</v>
          </cell>
          <cell r="M1055">
            <v>42810</v>
          </cell>
          <cell r="N1055">
            <v>0</v>
          </cell>
          <cell r="O1055" t="str">
            <v>Строительные материалы для текущего ремонта</v>
          </cell>
        </row>
        <row r="1056">
          <cell r="A1056">
            <v>9</v>
          </cell>
          <cell r="B1056">
            <v>214</v>
          </cell>
          <cell r="C1056">
            <v>7783</v>
          </cell>
          <cell r="D1056">
            <v>940.01</v>
          </cell>
          <cell r="E1056">
            <v>22</v>
          </cell>
          <cell r="F1056">
            <v>19921.009999999998</v>
          </cell>
          <cell r="H1056">
            <v>1</v>
          </cell>
          <cell r="I1056">
            <v>112079.73</v>
          </cell>
          <cell r="J1056">
            <v>0</v>
          </cell>
          <cell r="K1056">
            <v>0</v>
          </cell>
          <cell r="L1056">
            <v>0</v>
          </cell>
          <cell r="M1056">
            <v>112079.73</v>
          </cell>
          <cell r="N1056">
            <v>0</v>
          </cell>
          <cell r="O1056" t="str">
            <v>Строительные материалы для текущего ремонта</v>
          </cell>
        </row>
        <row r="1057">
          <cell r="A1057">
            <v>9</v>
          </cell>
          <cell r="B1057">
            <v>214</v>
          </cell>
          <cell r="C1057">
            <v>8533</v>
          </cell>
          <cell r="D1057">
            <v>940.01</v>
          </cell>
          <cell r="E1057">
            <v>22</v>
          </cell>
          <cell r="F1057">
            <v>19921.009999999998</v>
          </cell>
          <cell r="H1057">
            <v>1</v>
          </cell>
          <cell r="I1057">
            <v>10500</v>
          </cell>
          <cell r="J1057">
            <v>0</v>
          </cell>
          <cell r="K1057">
            <v>0</v>
          </cell>
          <cell r="L1057">
            <v>10500</v>
          </cell>
          <cell r="M1057">
            <v>0</v>
          </cell>
          <cell r="N1057">
            <v>0</v>
          </cell>
          <cell r="O1057" t="str">
            <v>Строительные материалы для текущего ремонта</v>
          </cell>
        </row>
        <row r="1058">
          <cell r="A1058">
            <v>9</v>
          </cell>
          <cell r="B1058">
            <v>214</v>
          </cell>
          <cell r="C1058">
            <v>214</v>
          </cell>
          <cell r="D1058">
            <v>940.02</v>
          </cell>
          <cell r="E1058">
            <v>22</v>
          </cell>
          <cell r="F1058">
            <v>19921.02</v>
          </cell>
          <cell r="H1058">
            <v>1</v>
          </cell>
          <cell r="I1058">
            <v>2104320.81</v>
          </cell>
          <cell r="J1058">
            <v>0</v>
          </cell>
          <cell r="K1058">
            <v>3736482.56</v>
          </cell>
          <cell r="L1058">
            <v>5840803.3700000001</v>
          </cell>
          <cell r="M1058">
            <v>0</v>
          </cell>
          <cell r="N1058">
            <v>0</v>
          </cell>
          <cell r="O1058" t="str">
            <v>Компьютеры и вычтехника включая счетные машинки</v>
          </cell>
        </row>
        <row r="1059">
          <cell r="A1059">
            <v>9</v>
          </cell>
          <cell r="B1059">
            <v>214</v>
          </cell>
          <cell r="C1059">
            <v>3563</v>
          </cell>
          <cell r="D1059">
            <v>940.02</v>
          </cell>
          <cell r="E1059">
            <v>22</v>
          </cell>
          <cell r="F1059">
            <v>19921.02</v>
          </cell>
          <cell r="H1059">
            <v>1</v>
          </cell>
          <cell r="I1059">
            <v>115334</v>
          </cell>
          <cell r="J1059">
            <v>0</v>
          </cell>
          <cell r="K1059">
            <v>0</v>
          </cell>
          <cell r="L1059">
            <v>0</v>
          </cell>
          <cell r="M1059">
            <v>115334</v>
          </cell>
          <cell r="N1059">
            <v>0</v>
          </cell>
          <cell r="O1059" t="str">
            <v>Компьютеры и вычтехника включая счетные машинки</v>
          </cell>
        </row>
        <row r="1060">
          <cell r="A1060">
            <v>9</v>
          </cell>
          <cell r="B1060">
            <v>214</v>
          </cell>
          <cell r="C1060">
            <v>5996</v>
          </cell>
          <cell r="D1060">
            <v>940.02</v>
          </cell>
          <cell r="E1060">
            <v>22</v>
          </cell>
          <cell r="F1060">
            <v>19921.02</v>
          </cell>
          <cell r="H1060">
            <v>1</v>
          </cell>
          <cell r="I1060">
            <v>104934</v>
          </cell>
          <cell r="J1060">
            <v>0</v>
          </cell>
          <cell r="K1060">
            <v>1232.4000000000001</v>
          </cell>
          <cell r="L1060">
            <v>106166.39999999999</v>
          </cell>
          <cell r="M1060">
            <v>0</v>
          </cell>
          <cell r="N1060">
            <v>0</v>
          </cell>
          <cell r="O1060" t="str">
            <v>Компьютеры и вычтехника включая счетные машинки</v>
          </cell>
        </row>
        <row r="1061">
          <cell r="A1061">
            <v>9</v>
          </cell>
          <cell r="B1061">
            <v>214</v>
          </cell>
          <cell r="C1061">
            <v>7783</v>
          </cell>
          <cell r="D1061">
            <v>940.02</v>
          </cell>
          <cell r="E1061">
            <v>22</v>
          </cell>
          <cell r="F1061">
            <v>19921.02</v>
          </cell>
          <cell r="H1061">
            <v>1</v>
          </cell>
          <cell r="I1061">
            <v>296009.53999999998</v>
          </cell>
          <cell r="J1061">
            <v>0</v>
          </cell>
          <cell r="K1061">
            <v>0</v>
          </cell>
          <cell r="L1061">
            <v>296009.53999999998</v>
          </cell>
          <cell r="M1061">
            <v>0</v>
          </cell>
          <cell r="N1061">
            <v>0</v>
          </cell>
          <cell r="O1061" t="str">
            <v>Компьютеры и вычтехника включая счетные машинки</v>
          </cell>
        </row>
        <row r="1062">
          <cell r="A1062">
            <v>9</v>
          </cell>
          <cell r="B1062">
            <v>214</v>
          </cell>
          <cell r="C1062">
            <v>7845</v>
          </cell>
          <cell r="D1062">
            <v>940.02</v>
          </cell>
          <cell r="E1062">
            <v>22</v>
          </cell>
          <cell r="F1062">
            <v>19921.02</v>
          </cell>
          <cell r="H1062">
            <v>1</v>
          </cell>
          <cell r="I1062">
            <v>173102.3</v>
          </cell>
          <cell r="J1062">
            <v>0</v>
          </cell>
          <cell r="K1062">
            <v>0</v>
          </cell>
          <cell r="L1062">
            <v>173102.3</v>
          </cell>
          <cell r="M1062">
            <v>0</v>
          </cell>
          <cell r="N1062">
            <v>0</v>
          </cell>
          <cell r="O1062" t="str">
            <v>Компьютеры и вычтехника включая счетные машинки</v>
          </cell>
        </row>
        <row r="1063">
          <cell r="A1063">
            <v>9</v>
          </cell>
          <cell r="B1063">
            <v>214</v>
          </cell>
          <cell r="C1063">
            <v>7948</v>
          </cell>
          <cell r="D1063">
            <v>940.02</v>
          </cell>
          <cell r="E1063">
            <v>22</v>
          </cell>
          <cell r="F1063">
            <v>19921.02</v>
          </cell>
          <cell r="H1063">
            <v>1</v>
          </cell>
          <cell r="I1063">
            <v>302451.59999999998</v>
          </cell>
          <cell r="J1063">
            <v>0</v>
          </cell>
          <cell r="K1063">
            <v>0</v>
          </cell>
          <cell r="L1063">
            <v>268051.59999999998</v>
          </cell>
          <cell r="M1063">
            <v>34400</v>
          </cell>
          <cell r="N1063">
            <v>0</v>
          </cell>
          <cell r="O1063" t="str">
            <v>Компьютеры и вычтехника включая счетные машинки</v>
          </cell>
        </row>
        <row r="1064">
          <cell r="A1064">
            <v>9</v>
          </cell>
          <cell r="B1064">
            <v>214</v>
          </cell>
          <cell r="C1064">
            <v>8002</v>
          </cell>
          <cell r="D1064">
            <v>940.02</v>
          </cell>
          <cell r="E1064">
            <v>22</v>
          </cell>
          <cell r="F1064">
            <v>19921.02</v>
          </cell>
          <cell r="H1064">
            <v>1</v>
          </cell>
          <cell r="I1064">
            <v>74738.509999999995</v>
          </cell>
          <cell r="J1064">
            <v>0</v>
          </cell>
          <cell r="K1064">
            <v>0</v>
          </cell>
          <cell r="L1064">
            <v>74738.509999999995</v>
          </cell>
          <cell r="M1064">
            <v>0</v>
          </cell>
          <cell r="N1064">
            <v>0</v>
          </cell>
          <cell r="O1064" t="str">
            <v>Компьютеры и вычтехника включая счетные машинки</v>
          </cell>
        </row>
        <row r="1065">
          <cell r="A1065">
            <v>9</v>
          </cell>
          <cell r="B1065">
            <v>214</v>
          </cell>
          <cell r="C1065">
            <v>8104</v>
          </cell>
          <cell r="D1065">
            <v>940.02</v>
          </cell>
          <cell r="E1065">
            <v>22</v>
          </cell>
          <cell r="F1065">
            <v>19921.02</v>
          </cell>
          <cell r="H1065">
            <v>1</v>
          </cell>
          <cell r="I1065">
            <v>253576.59</v>
          </cell>
          <cell r="J1065">
            <v>0</v>
          </cell>
          <cell r="K1065">
            <v>0</v>
          </cell>
          <cell r="L1065">
            <v>203944.34</v>
          </cell>
          <cell r="M1065">
            <v>49632.25</v>
          </cell>
          <cell r="N1065">
            <v>0</v>
          </cell>
          <cell r="O1065" t="str">
            <v>Компьютеры и вычтехника включая счетные машинки</v>
          </cell>
        </row>
        <row r="1066">
          <cell r="A1066">
            <v>9</v>
          </cell>
          <cell r="B1066">
            <v>214</v>
          </cell>
          <cell r="C1066">
            <v>8137</v>
          </cell>
          <cell r="D1066">
            <v>940.02</v>
          </cell>
          <cell r="E1066">
            <v>22</v>
          </cell>
          <cell r="F1066">
            <v>19921.02</v>
          </cell>
          <cell r="H1066">
            <v>1</v>
          </cell>
          <cell r="I1066">
            <v>308545.34000000003</v>
          </cell>
          <cell r="J1066">
            <v>0</v>
          </cell>
          <cell r="K1066">
            <v>0</v>
          </cell>
          <cell r="L1066">
            <v>308545.34000000003</v>
          </cell>
          <cell r="M1066">
            <v>0</v>
          </cell>
          <cell r="N1066">
            <v>0</v>
          </cell>
          <cell r="O1066" t="str">
            <v>Компьютеры и вычтехника включая счетные машинки</v>
          </cell>
        </row>
        <row r="1067">
          <cell r="A1067">
            <v>9</v>
          </cell>
          <cell r="B1067">
            <v>214</v>
          </cell>
          <cell r="C1067">
            <v>8533</v>
          </cell>
          <cell r="D1067">
            <v>940.02</v>
          </cell>
          <cell r="E1067">
            <v>22</v>
          </cell>
          <cell r="F1067">
            <v>19921.02</v>
          </cell>
          <cell r="H1067">
            <v>1</v>
          </cell>
          <cell r="I1067">
            <v>21623</v>
          </cell>
          <cell r="J1067">
            <v>0</v>
          </cell>
          <cell r="K1067">
            <v>0</v>
          </cell>
          <cell r="L1067">
            <v>21623</v>
          </cell>
          <cell r="M1067">
            <v>0</v>
          </cell>
          <cell r="N1067">
            <v>0</v>
          </cell>
          <cell r="O1067" t="str">
            <v>Компьютеры и вычтехника включая счетные машинки</v>
          </cell>
        </row>
        <row r="1068">
          <cell r="A1068">
            <v>9</v>
          </cell>
          <cell r="B1068">
            <v>214</v>
          </cell>
          <cell r="C1068">
            <v>8659</v>
          </cell>
          <cell r="D1068">
            <v>940.02</v>
          </cell>
          <cell r="E1068">
            <v>22</v>
          </cell>
          <cell r="F1068">
            <v>19921.02</v>
          </cell>
          <cell r="H1068">
            <v>1</v>
          </cell>
          <cell r="I1068">
            <v>31648.720000000001</v>
          </cell>
          <cell r="J1068">
            <v>0</v>
          </cell>
          <cell r="K1068">
            <v>3136</v>
          </cell>
          <cell r="L1068">
            <v>34784.720000000001</v>
          </cell>
          <cell r="M1068">
            <v>0</v>
          </cell>
          <cell r="N1068">
            <v>0</v>
          </cell>
          <cell r="O1068" t="str">
            <v>Компьютеры и вычтехника включая счетные машинки</v>
          </cell>
        </row>
        <row r="1069">
          <cell r="A1069">
            <v>9</v>
          </cell>
          <cell r="B1069">
            <v>214</v>
          </cell>
          <cell r="C1069">
            <v>214</v>
          </cell>
          <cell r="D1069">
            <v>940.03</v>
          </cell>
          <cell r="E1069">
            <v>22</v>
          </cell>
          <cell r="F1069">
            <v>19921.03</v>
          </cell>
          <cell r="H1069">
            <v>1</v>
          </cell>
          <cell r="I1069">
            <v>10110</v>
          </cell>
          <cell r="J1069">
            <v>0</v>
          </cell>
          <cell r="K1069">
            <v>461366.28</v>
          </cell>
          <cell r="L1069">
            <v>457709.48</v>
          </cell>
          <cell r="M1069">
            <v>13766.8</v>
          </cell>
          <cell r="N1069">
            <v>0</v>
          </cell>
          <cell r="O1069" t="str">
            <v>Топливо и смазочные материалы (единые талоны на ГСМ)</v>
          </cell>
        </row>
        <row r="1070">
          <cell r="A1070">
            <v>9</v>
          </cell>
          <cell r="B1070">
            <v>214</v>
          </cell>
          <cell r="C1070">
            <v>3563</v>
          </cell>
          <cell r="D1070">
            <v>940.03</v>
          </cell>
          <cell r="E1070">
            <v>22</v>
          </cell>
          <cell r="F1070">
            <v>19921.03</v>
          </cell>
          <cell r="H1070">
            <v>1</v>
          </cell>
          <cell r="I1070">
            <v>0</v>
          </cell>
          <cell r="J1070">
            <v>0</v>
          </cell>
          <cell r="K1070">
            <v>16604.5</v>
          </cell>
          <cell r="L1070">
            <v>16604.5</v>
          </cell>
          <cell r="M1070">
            <v>0</v>
          </cell>
          <cell r="N1070">
            <v>0</v>
          </cell>
          <cell r="O1070" t="str">
            <v>Топливо и смазочные материалы (единые талоны на ГСМ)</v>
          </cell>
        </row>
        <row r="1071">
          <cell r="A1071">
            <v>9</v>
          </cell>
          <cell r="B1071">
            <v>214</v>
          </cell>
          <cell r="C1071">
            <v>7783</v>
          </cell>
          <cell r="D1071">
            <v>940.03</v>
          </cell>
          <cell r="E1071">
            <v>22</v>
          </cell>
          <cell r="F1071">
            <v>19921.03</v>
          </cell>
          <cell r="H1071">
            <v>1</v>
          </cell>
          <cell r="I1071">
            <v>0</v>
          </cell>
          <cell r="J1071">
            <v>0</v>
          </cell>
          <cell r="K1071">
            <v>800.6</v>
          </cell>
          <cell r="L1071">
            <v>800.6</v>
          </cell>
          <cell r="M1071">
            <v>0</v>
          </cell>
          <cell r="N1071">
            <v>0</v>
          </cell>
          <cell r="O1071" t="str">
            <v>Топливо и смазочные материалы (единые талоны на ГСМ)</v>
          </cell>
        </row>
        <row r="1072">
          <cell r="A1072">
            <v>9</v>
          </cell>
          <cell r="B1072">
            <v>214</v>
          </cell>
          <cell r="C1072">
            <v>7948</v>
          </cell>
          <cell r="D1072">
            <v>940.03</v>
          </cell>
          <cell r="E1072">
            <v>22</v>
          </cell>
          <cell r="F1072">
            <v>19921.03</v>
          </cell>
          <cell r="H1072">
            <v>1</v>
          </cell>
          <cell r="I1072">
            <v>0</v>
          </cell>
          <cell r="J1072">
            <v>0</v>
          </cell>
          <cell r="K1072">
            <v>28423.66</v>
          </cell>
          <cell r="L1072">
            <v>0</v>
          </cell>
          <cell r="M1072">
            <v>28423.66</v>
          </cell>
          <cell r="N1072">
            <v>0</v>
          </cell>
          <cell r="O1072" t="str">
            <v>Топливо и смазочные материалы (единые талоны на ГСМ)</v>
          </cell>
        </row>
        <row r="1073">
          <cell r="A1073">
            <v>9</v>
          </cell>
          <cell r="B1073">
            <v>214</v>
          </cell>
          <cell r="C1073">
            <v>214</v>
          </cell>
          <cell r="D1073">
            <v>940.04</v>
          </cell>
          <cell r="E1073">
            <v>22</v>
          </cell>
          <cell r="F1073">
            <v>19921.04</v>
          </cell>
          <cell r="H1073">
            <v>1</v>
          </cell>
          <cell r="I1073">
            <v>1010500</v>
          </cell>
          <cell r="J1073">
            <v>0</v>
          </cell>
          <cell r="K1073">
            <v>23500</v>
          </cell>
          <cell r="L1073">
            <v>1034000</v>
          </cell>
          <cell r="M1073">
            <v>0</v>
          </cell>
          <cell r="N1073">
            <v>0</v>
          </cell>
          <cell r="O1073" t="str">
            <v>Mebel va uskunalar</v>
          </cell>
        </row>
        <row r="1074">
          <cell r="A1074">
            <v>9</v>
          </cell>
          <cell r="B1074">
            <v>214</v>
          </cell>
          <cell r="C1074">
            <v>5996</v>
          </cell>
          <cell r="D1074">
            <v>940.04</v>
          </cell>
          <cell r="E1074">
            <v>22</v>
          </cell>
          <cell r="F1074">
            <v>19921.04</v>
          </cell>
          <cell r="H1074">
            <v>1</v>
          </cell>
          <cell r="I1074">
            <v>224941</v>
          </cell>
          <cell r="J1074">
            <v>0</v>
          </cell>
          <cell r="K1074">
            <v>0</v>
          </cell>
          <cell r="L1074">
            <v>224941</v>
          </cell>
          <cell r="M1074">
            <v>0</v>
          </cell>
          <cell r="N1074">
            <v>0</v>
          </cell>
          <cell r="O1074" t="str">
            <v>Mebel va uskunalar</v>
          </cell>
        </row>
        <row r="1075">
          <cell r="A1075">
            <v>9</v>
          </cell>
          <cell r="B1075">
            <v>214</v>
          </cell>
          <cell r="C1075">
            <v>7783</v>
          </cell>
          <cell r="D1075">
            <v>940.04</v>
          </cell>
          <cell r="E1075">
            <v>22</v>
          </cell>
          <cell r="F1075">
            <v>19921.04</v>
          </cell>
          <cell r="H1075">
            <v>1</v>
          </cell>
          <cell r="I1075">
            <v>142841</v>
          </cell>
          <cell r="J1075">
            <v>0</v>
          </cell>
          <cell r="K1075">
            <v>0</v>
          </cell>
          <cell r="L1075">
            <v>142841</v>
          </cell>
          <cell r="M1075">
            <v>0</v>
          </cell>
          <cell r="N1075">
            <v>0</v>
          </cell>
          <cell r="O1075" t="str">
            <v>Mebel va uskunalar</v>
          </cell>
        </row>
        <row r="1076">
          <cell r="A1076">
            <v>9</v>
          </cell>
          <cell r="B1076">
            <v>214</v>
          </cell>
          <cell r="C1076">
            <v>7948</v>
          </cell>
          <cell r="D1076">
            <v>940.04</v>
          </cell>
          <cell r="E1076">
            <v>22</v>
          </cell>
          <cell r="F1076">
            <v>19921.04</v>
          </cell>
          <cell r="H1076">
            <v>1</v>
          </cell>
          <cell r="I1076">
            <v>66947</v>
          </cell>
          <cell r="J1076">
            <v>0</v>
          </cell>
          <cell r="K1076">
            <v>0</v>
          </cell>
          <cell r="L1076">
            <v>41947</v>
          </cell>
          <cell r="M1076">
            <v>25000</v>
          </cell>
          <cell r="N1076">
            <v>0</v>
          </cell>
          <cell r="O1076" t="str">
            <v>Mebel va uskunalar</v>
          </cell>
        </row>
        <row r="1077">
          <cell r="A1077">
            <v>9</v>
          </cell>
          <cell r="B1077">
            <v>214</v>
          </cell>
          <cell r="C1077">
            <v>8002</v>
          </cell>
          <cell r="D1077">
            <v>940.04</v>
          </cell>
          <cell r="E1077">
            <v>22</v>
          </cell>
          <cell r="F1077">
            <v>19921.04</v>
          </cell>
          <cell r="H1077">
            <v>1</v>
          </cell>
          <cell r="I1077">
            <v>8000</v>
          </cell>
          <cell r="J1077">
            <v>0</v>
          </cell>
          <cell r="K1077">
            <v>0</v>
          </cell>
          <cell r="L1077">
            <v>8000</v>
          </cell>
          <cell r="M1077">
            <v>0</v>
          </cell>
          <cell r="N1077">
            <v>0</v>
          </cell>
          <cell r="O1077" t="str">
            <v>Mebel va uskunalar</v>
          </cell>
        </row>
        <row r="1078">
          <cell r="A1078">
            <v>9</v>
          </cell>
          <cell r="B1078">
            <v>214</v>
          </cell>
          <cell r="C1078">
            <v>8104</v>
          </cell>
          <cell r="D1078">
            <v>940.04</v>
          </cell>
          <cell r="E1078">
            <v>22</v>
          </cell>
          <cell r="F1078">
            <v>19921.04</v>
          </cell>
          <cell r="H1078">
            <v>1</v>
          </cell>
          <cell r="I1078">
            <v>117848</v>
          </cell>
          <cell r="J1078">
            <v>0</v>
          </cell>
          <cell r="K1078">
            <v>0</v>
          </cell>
          <cell r="L1078">
            <v>28298</v>
          </cell>
          <cell r="M1078">
            <v>89550</v>
          </cell>
          <cell r="N1078">
            <v>0</v>
          </cell>
          <cell r="O1078" t="str">
            <v>Mebel va uskunalar</v>
          </cell>
        </row>
        <row r="1079">
          <cell r="A1079">
            <v>9</v>
          </cell>
          <cell r="B1079">
            <v>214</v>
          </cell>
          <cell r="C1079">
            <v>8298</v>
          </cell>
          <cell r="D1079">
            <v>940.04</v>
          </cell>
          <cell r="E1079">
            <v>22</v>
          </cell>
          <cell r="F1079">
            <v>19921.04</v>
          </cell>
          <cell r="H1079">
            <v>1</v>
          </cell>
          <cell r="I1079">
            <v>65880.100000000006</v>
          </cell>
          <cell r="J1079">
            <v>0</v>
          </cell>
          <cell r="K1079">
            <v>124610</v>
          </cell>
          <cell r="L1079">
            <v>190490.1</v>
          </cell>
          <cell r="M1079">
            <v>0</v>
          </cell>
          <cell r="N1079">
            <v>0</v>
          </cell>
          <cell r="O1079" t="str">
            <v>Mebel va uskunalar</v>
          </cell>
        </row>
        <row r="1080">
          <cell r="A1080">
            <v>9</v>
          </cell>
          <cell r="B1080">
            <v>214</v>
          </cell>
          <cell r="C1080">
            <v>8533</v>
          </cell>
          <cell r="D1080">
            <v>940.04</v>
          </cell>
          <cell r="E1080">
            <v>22</v>
          </cell>
          <cell r="F1080">
            <v>19921.04</v>
          </cell>
          <cell r="H1080">
            <v>1</v>
          </cell>
          <cell r="I1080">
            <v>6090</v>
          </cell>
          <cell r="J1080">
            <v>0</v>
          </cell>
          <cell r="K1080">
            <v>0</v>
          </cell>
          <cell r="L1080">
            <v>2610</v>
          </cell>
          <cell r="M1080">
            <v>3480</v>
          </cell>
          <cell r="N1080">
            <v>0</v>
          </cell>
          <cell r="O1080" t="str">
            <v>Mebel va uskunalar</v>
          </cell>
        </row>
        <row r="1081">
          <cell r="A1081">
            <v>9</v>
          </cell>
          <cell r="B1081">
            <v>214</v>
          </cell>
          <cell r="C1081">
            <v>214</v>
          </cell>
          <cell r="D1081">
            <v>940.05</v>
          </cell>
          <cell r="E1081">
            <v>22</v>
          </cell>
          <cell r="F1081">
            <v>19921.05</v>
          </cell>
          <cell r="H1081">
            <v>1</v>
          </cell>
          <cell r="I1081">
            <v>10638.4</v>
          </cell>
          <cell r="J1081">
            <v>0</v>
          </cell>
          <cell r="K1081">
            <v>65000</v>
          </cell>
          <cell r="L1081">
            <v>75638.399999999994</v>
          </cell>
          <cell r="M1081">
            <v>0</v>
          </cell>
          <cell r="N1081">
            <v>0</v>
          </cell>
          <cell r="O1081" t="str">
            <v>Зап/части к машинам, включая автомашины и другую технику</v>
          </cell>
        </row>
        <row r="1082">
          <cell r="A1082">
            <v>9</v>
          </cell>
          <cell r="B1082">
            <v>214</v>
          </cell>
          <cell r="C1082">
            <v>3563</v>
          </cell>
          <cell r="D1082">
            <v>940.05</v>
          </cell>
          <cell r="E1082">
            <v>22</v>
          </cell>
          <cell r="F1082">
            <v>19921.05</v>
          </cell>
          <cell r="H1082">
            <v>1</v>
          </cell>
          <cell r="I1082">
            <v>0</v>
          </cell>
          <cell r="J1082">
            <v>0</v>
          </cell>
          <cell r="K1082">
            <v>60000</v>
          </cell>
          <cell r="L1082">
            <v>60000</v>
          </cell>
          <cell r="M1082">
            <v>0</v>
          </cell>
          <cell r="N1082">
            <v>0</v>
          </cell>
          <cell r="O1082" t="str">
            <v>Зап/части к машинам, включая автомашины и другую технику</v>
          </cell>
        </row>
        <row r="1083">
          <cell r="A1083">
            <v>9</v>
          </cell>
          <cell r="B1083">
            <v>214</v>
          </cell>
          <cell r="C1083">
            <v>8533</v>
          </cell>
          <cell r="D1083">
            <v>940.05</v>
          </cell>
          <cell r="E1083">
            <v>22</v>
          </cell>
          <cell r="F1083">
            <v>19921.05</v>
          </cell>
          <cell r="H1083">
            <v>1</v>
          </cell>
          <cell r="I1083">
            <v>26830.959999999999</v>
          </cell>
          <cell r="J1083">
            <v>0</v>
          </cell>
          <cell r="K1083">
            <v>0</v>
          </cell>
          <cell r="L1083">
            <v>26830.959999999999</v>
          </cell>
          <cell r="M1083">
            <v>0</v>
          </cell>
          <cell r="N1083">
            <v>0</v>
          </cell>
          <cell r="O1083" t="str">
            <v>Зап/части к машинам, включая автомашины и другую технику</v>
          </cell>
        </row>
        <row r="1084">
          <cell r="A1084">
            <v>9</v>
          </cell>
          <cell r="B1084">
            <v>214</v>
          </cell>
          <cell r="C1084">
            <v>214</v>
          </cell>
          <cell r="D1084">
            <v>940.08</v>
          </cell>
          <cell r="E1084">
            <v>22</v>
          </cell>
          <cell r="F1084">
            <v>19921.080000000002</v>
          </cell>
          <cell r="H1084">
            <v>1</v>
          </cell>
          <cell r="I1084">
            <v>693689.8</v>
          </cell>
          <cell r="J1084">
            <v>0</v>
          </cell>
          <cell r="K1084">
            <v>798903.12</v>
          </cell>
          <cell r="L1084">
            <v>270390.90999999997</v>
          </cell>
          <cell r="M1084">
            <v>1222202.01</v>
          </cell>
          <cell r="N1084">
            <v>0</v>
          </cell>
          <cell r="O1084" t="str">
            <v>Прочин хоз-е материалы невошедшие в другие группы</v>
          </cell>
        </row>
        <row r="1085">
          <cell r="A1085">
            <v>9</v>
          </cell>
          <cell r="B1085">
            <v>214</v>
          </cell>
          <cell r="C1085">
            <v>3563</v>
          </cell>
          <cell r="D1085">
            <v>940.08</v>
          </cell>
          <cell r="E1085">
            <v>22</v>
          </cell>
          <cell r="F1085">
            <v>19921.080000000002</v>
          </cell>
          <cell r="H1085">
            <v>1</v>
          </cell>
          <cell r="I1085">
            <v>20568</v>
          </cell>
          <cell r="J1085">
            <v>0</v>
          </cell>
          <cell r="K1085">
            <v>101376.7</v>
          </cell>
          <cell r="L1085">
            <v>0</v>
          </cell>
          <cell r="M1085">
            <v>121944.7</v>
          </cell>
          <cell r="N1085">
            <v>0</v>
          </cell>
          <cell r="O1085" t="str">
            <v>Прочин хоз-е материалы невошедшие в другие группы</v>
          </cell>
        </row>
        <row r="1086">
          <cell r="A1086">
            <v>9</v>
          </cell>
          <cell r="B1086">
            <v>214</v>
          </cell>
          <cell r="C1086">
            <v>5996</v>
          </cell>
          <cell r="D1086">
            <v>940.08</v>
          </cell>
          <cell r="E1086">
            <v>22</v>
          </cell>
          <cell r="F1086">
            <v>19921.080000000002</v>
          </cell>
          <cell r="H1086">
            <v>1</v>
          </cell>
          <cell r="I1086">
            <v>0</v>
          </cell>
          <cell r="J1086">
            <v>0</v>
          </cell>
          <cell r="K1086">
            <v>1500.9</v>
          </cell>
          <cell r="L1086">
            <v>0</v>
          </cell>
          <cell r="M1086">
            <v>1500.9</v>
          </cell>
          <cell r="N1086">
            <v>0</v>
          </cell>
          <cell r="O1086" t="str">
            <v>Прочин хоз-е материалы невошедшие в другие группы</v>
          </cell>
        </row>
        <row r="1087">
          <cell r="A1087">
            <v>9</v>
          </cell>
          <cell r="B1087">
            <v>214</v>
          </cell>
          <cell r="C1087">
            <v>7783</v>
          </cell>
          <cell r="D1087">
            <v>940.08</v>
          </cell>
          <cell r="E1087">
            <v>22</v>
          </cell>
          <cell r="F1087">
            <v>19921.080000000002</v>
          </cell>
          <cell r="H1087">
            <v>1</v>
          </cell>
          <cell r="I1087">
            <v>14000</v>
          </cell>
          <cell r="J1087">
            <v>0</v>
          </cell>
          <cell r="K1087">
            <v>102164.76</v>
          </cell>
          <cell r="L1087">
            <v>91234</v>
          </cell>
          <cell r="M1087">
            <v>24930.76</v>
          </cell>
          <cell r="N1087">
            <v>0</v>
          </cell>
          <cell r="O1087" t="str">
            <v>Прочин хоз-е материалы невошедшие в другие группы</v>
          </cell>
        </row>
        <row r="1088">
          <cell r="A1088">
            <v>9</v>
          </cell>
          <cell r="B1088">
            <v>214</v>
          </cell>
          <cell r="C1088">
            <v>7845</v>
          </cell>
          <cell r="D1088">
            <v>940.08</v>
          </cell>
          <cell r="E1088">
            <v>22</v>
          </cell>
          <cell r="F1088">
            <v>19921.080000000002</v>
          </cell>
          <cell r="H1088">
            <v>1</v>
          </cell>
          <cell r="I1088">
            <v>63326.239999999998</v>
          </cell>
          <cell r="J1088">
            <v>0</v>
          </cell>
          <cell r="K1088">
            <v>0</v>
          </cell>
          <cell r="L1088">
            <v>41400</v>
          </cell>
          <cell r="M1088">
            <v>21926.240000000002</v>
          </cell>
          <cell r="N1088">
            <v>0</v>
          </cell>
          <cell r="O1088" t="str">
            <v>Прочин хоз-е материалы невошедшие в другие группы</v>
          </cell>
        </row>
        <row r="1089">
          <cell r="A1089">
            <v>9</v>
          </cell>
          <cell r="B1089">
            <v>214</v>
          </cell>
          <cell r="C1089">
            <v>7948</v>
          </cell>
          <cell r="D1089">
            <v>940.08</v>
          </cell>
          <cell r="E1089">
            <v>22</v>
          </cell>
          <cell r="F1089">
            <v>19921.080000000002</v>
          </cell>
          <cell r="H1089">
            <v>1</v>
          </cell>
          <cell r="I1089">
            <v>81396.12</v>
          </cell>
          <cell r="J1089">
            <v>0</v>
          </cell>
          <cell r="K1089">
            <v>0</v>
          </cell>
          <cell r="L1089">
            <v>81396.12</v>
          </cell>
          <cell r="M1089">
            <v>0</v>
          </cell>
          <cell r="N1089">
            <v>0</v>
          </cell>
          <cell r="O1089" t="str">
            <v>Прочин хоз-е материалы невошедшие в другие группы</v>
          </cell>
        </row>
        <row r="1090">
          <cell r="A1090">
            <v>9</v>
          </cell>
          <cell r="B1090">
            <v>214</v>
          </cell>
          <cell r="C1090">
            <v>8104</v>
          </cell>
          <cell r="D1090">
            <v>940.08</v>
          </cell>
          <cell r="E1090">
            <v>22</v>
          </cell>
          <cell r="F1090">
            <v>19921.080000000002</v>
          </cell>
          <cell r="H1090">
            <v>1</v>
          </cell>
          <cell r="I1090">
            <v>277435.88</v>
          </cell>
          <cell r="J1090">
            <v>0</v>
          </cell>
          <cell r="K1090">
            <v>27951</v>
          </cell>
          <cell r="L1090">
            <v>0</v>
          </cell>
          <cell r="M1090">
            <v>305386.88</v>
          </cell>
          <cell r="N1090">
            <v>0</v>
          </cell>
          <cell r="O1090" t="str">
            <v>Прочин хоз-е материалы невошедшие в другие группы</v>
          </cell>
        </row>
        <row r="1091">
          <cell r="A1091">
            <v>9</v>
          </cell>
          <cell r="B1091">
            <v>214</v>
          </cell>
          <cell r="C1091">
            <v>8137</v>
          </cell>
          <cell r="D1091">
            <v>940.08</v>
          </cell>
          <cell r="E1091">
            <v>22</v>
          </cell>
          <cell r="F1091">
            <v>19921.080000000002</v>
          </cell>
          <cell r="H1091">
            <v>1</v>
          </cell>
          <cell r="I1091">
            <v>67612.639999999999</v>
          </cell>
          <cell r="J1091">
            <v>0</v>
          </cell>
          <cell r="K1091">
            <v>119010.43</v>
          </cell>
          <cell r="L1091">
            <v>68330</v>
          </cell>
          <cell r="M1091">
            <v>118293.07</v>
          </cell>
          <cell r="N1091">
            <v>0</v>
          </cell>
          <cell r="O1091" t="str">
            <v>Прочин хоз-е материалы невошедшие в другие группы</v>
          </cell>
        </row>
        <row r="1092">
          <cell r="A1092">
            <v>9</v>
          </cell>
          <cell r="B1092">
            <v>214</v>
          </cell>
          <cell r="C1092">
            <v>8533</v>
          </cell>
          <cell r="D1092">
            <v>940.08</v>
          </cell>
          <cell r="E1092">
            <v>22</v>
          </cell>
          <cell r="F1092">
            <v>19921.080000000002</v>
          </cell>
          <cell r="H1092">
            <v>1</v>
          </cell>
          <cell r="I1092">
            <v>55430.74</v>
          </cell>
          <cell r="J1092">
            <v>0</v>
          </cell>
          <cell r="K1092">
            <v>349646.26</v>
          </cell>
          <cell r="L1092">
            <v>357637.89</v>
          </cell>
          <cell r="M1092">
            <v>47439.11</v>
          </cell>
          <cell r="N1092">
            <v>0</v>
          </cell>
          <cell r="O1092" t="str">
            <v>Прочин хоз-е материалы невошедшие в другие группы</v>
          </cell>
        </row>
        <row r="1093">
          <cell r="A1093">
            <v>9</v>
          </cell>
          <cell r="B1093">
            <v>214</v>
          </cell>
          <cell r="C1093">
            <v>8659</v>
          </cell>
          <cell r="D1093">
            <v>940.08</v>
          </cell>
          <cell r="E1093">
            <v>22</v>
          </cell>
          <cell r="F1093">
            <v>19921.080000000002</v>
          </cell>
          <cell r="H1093">
            <v>1</v>
          </cell>
          <cell r="I1093">
            <v>144817.14000000001</v>
          </cell>
          <cell r="J1093">
            <v>0</v>
          </cell>
          <cell r="K1093">
            <v>86627.8</v>
          </cell>
          <cell r="L1093">
            <v>0</v>
          </cell>
          <cell r="M1093">
            <v>231444.94</v>
          </cell>
          <cell r="N1093">
            <v>0</v>
          </cell>
          <cell r="O1093" t="str">
            <v>Прочин хоз-е материалы невошедшие в другие группы</v>
          </cell>
        </row>
        <row r="1094">
          <cell r="A1094">
            <v>9</v>
          </cell>
          <cell r="B1094">
            <v>214</v>
          </cell>
          <cell r="C1094">
            <v>214</v>
          </cell>
          <cell r="D1094">
            <v>940.09</v>
          </cell>
          <cell r="E1094">
            <v>22</v>
          </cell>
          <cell r="F1094">
            <v>19921.09</v>
          </cell>
          <cell r="H1094">
            <v>1</v>
          </cell>
          <cell r="I1094">
            <v>542768.75</v>
          </cell>
          <cell r="J1094">
            <v>0</v>
          </cell>
          <cell r="K1094">
            <v>1338500.25</v>
          </cell>
          <cell r="L1094">
            <v>623006.30000000005</v>
          </cell>
          <cell r="M1094">
            <v>1258262.7</v>
          </cell>
          <cell r="N1094">
            <v>0</v>
          </cell>
          <cell r="O1094" t="str">
            <v>Бумага и бланки простого учета (только в облуправлениях)</v>
          </cell>
        </row>
        <row r="1095">
          <cell r="A1095">
            <v>9</v>
          </cell>
          <cell r="B1095">
            <v>214</v>
          </cell>
          <cell r="C1095">
            <v>5996</v>
          </cell>
          <cell r="D1095">
            <v>940.09</v>
          </cell>
          <cell r="E1095">
            <v>22</v>
          </cell>
          <cell r="F1095">
            <v>19921.09</v>
          </cell>
          <cell r="H1095">
            <v>1</v>
          </cell>
          <cell r="I1095">
            <v>106271.93</v>
          </cell>
          <cell r="J1095">
            <v>0</v>
          </cell>
          <cell r="K1095">
            <v>34635</v>
          </cell>
          <cell r="L1095">
            <v>0</v>
          </cell>
          <cell r="M1095">
            <v>140906.93</v>
          </cell>
          <cell r="N1095">
            <v>0</v>
          </cell>
          <cell r="O1095" t="str">
            <v>Бумага и бланки простого учета (только в облуправлениях)</v>
          </cell>
        </row>
        <row r="1096">
          <cell r="A1096">
            <v>9</v>
          </cell>
          <cell r="B1096">
            <v>214</v>
          </cell>
          <cell r="C1096">
            <v>8298</v>
          </cell>
          <cell r="D1096">
            <v>940.09</v>
          </cell>
          <cell r="E1096">
            <v>22</v>
          </cell>
          <cell r="F1096">
            <v>19921.09</v>
          </cell>
          <cell r="H1096">
            <v>1</v>
          </cell>
          <cell r="I1096">
            <v>17400</v>
          </cell>
          <cell r="J1096">
            <v>0</v>
          </cell>
          <cell r="K1096">
            <v>51048</v>
          </cell>
          <cell r="L1096">
            <v>17400</v>
          </cell>
          <cell r="M1096">
            <v>51048</v>
          </cell>
          <cell r="N1096">
            <v>0</v>
          </cell>
          <cell r="O1096" t="str">
            <v>Бумага и бланки простого учета (только в облуправлениях)</v>
          </cell>
        </row>
        <row r="1097">
          <cell r="A1097">
            <v>9</v>
          </cell>
          <cell r="B1097">
            <v>214</v>
          </cell>
          <cell r="C1097">
            <v>214</v>
          </cell>
          <cell r="D1097">
            <v>940.1</v>
          </cell>
          <cell r="E1097">
            <v>22</v>
          </cell>
          <cell r="F1097">
            <v>19923.009999999998</v>
          </cell>
          <cell r="H1097">
            <v>1</v>
          </cell>
          <cell r="I1097">
            <v>0</v>
          </cell>
          <cell r="J1097">
            <v>0</v>
          </cell>
          <cell r="K1097">
            <v>2170069.4500000002</v>
          </cell>
          <cell r="L1097">
            <v>6225.36</v>
          </cell>
          <cell r="M1097">
            <v>2163844.09</v>
          </cell>
          <cell r="N1097">
            <v>0</v>
          </cell>
          <cell r="O1097" t="str">
            <v>Компьютеры и вычтехника, включая счетные машинки</v>
          </cell>
        </row>
        <row r="1098">
          <cell r="A1098">
            <v>9</v>
          </cell>
          <cell r="B1098">
            <v>214</v>
          </cell>
          <cell r="C1098">
            <v>5996</v>
          </cell>
          <cell r="D1098">
            <v>940.1</v>
          </cell>
          <cell r="E1098">
            <v>22</v>
          </cell>
          <cell r="F1098">
            <v>19923.009999999998</v>
          </cell>
          <cell r="H1098">
            <v>1</v>
          </cell>
          <cell r="I1098">
            <v>0</v>
          </cell>
          <cell r="J1098">
            <v>0</v>
          </cell>
          <cell r="K1098">
            <v>106166.39999999999</v>
          </cell>
          <cell r="L1098">
            <v>0</v>
          </cell>
          <cell r="M1098">
            <v>106166.39999999999</v>
          </cell>
          <cell r="N1098">
            <v>0</v>
          </cell>
          <cell r="O1098" t="str">
            <v>Компьютеры и вычтехника, включая счетные машинки</v>
          </cell>
        </row>
        <row r="1099">
          <cell r="A1099">
            <v>9</v>
          </cell>
          <cell r="B1099">
            <v>214</v>
          </cell>
          <cell r="C1099">
            <v>7783</v>
          </cell>
          <cell r="D1099">
            <v>940.1</v>
          </cell>
          <cell r="E1099">
            <v>22</v>
          </cell>
          <cell r="F1099">
            <v>19923.009999999998</v>
          </cell>
          <cell r="H1099">
            <v>1</v>
          </cell>
          <cell r="I1099">
            <v>0</v>
          </cell>
          <cell r="J1099">
            <v>0</v>
          </cell>
          <cell r="K1099">
            <v>296009.53999999998</v>
          </cell>
          <cell r="L1099">
            <v>0</v>
          </cell>
          <cell r="M1099">
            <v>296009.53999999998</v>
          </cell>
          <cell r="N1099">
            <v>0</v>
          </cell>
          <cell r="O1099" t="str">
            <v>Компьютеры и вычтехника, включая счетные машинки</v>
          </cell>
        </row>
        <row r="1100">
          <cell r="A1100">
            <v>9</v>
          </cell>
          <cell r="B1100">
            <v>214</v>
          </cell>
          <cell r="C1100">
            <v>7845</v>
          </cell>
          <cell r="D1100">
            <v>940.1</v>
          </cell>
          <cell r="E1100">
            <v>22</v>
          </cell>
          <cell r="F1100">
            <v>19923.009999999998</v>
          </cell>
          <cell r="H1100">
            <v>1</v>
          </cell>
          <cell r="I1100">
            <v>0</v>
          </cell>
          <cell r="J1100">
            <v>0</v>
          </cell>
          <cell r="K1100">
            <v>173102.3</v>
          </cell>
          <cell r="L1100">
            <v>0</v>
          </cell>
          <cell r="M1100">
            <v>173102.3</v>
          </cell>
          <cell r="N1100">
            <v>0</v>
          </cell>
          <cell r="O1100" t="str">
            <v>Компьютеры и вычтехника включая счетные машинки</v>
          </cell>
        </row>
        <row r="1101">
          <cell r="A1101">
            <v>9</v>
          </cell>
          <cell r="B1101">
            <v>214</v>
          </cell>
          <cell r="C1101">
            <v>8002</v>
          </cell>
          <cell r="D1101">
            <v>940.1</v>
          </cell>
          <cell r="E1101">
            <v>22</v>
          </cell>
          <cell r="F1101">
            <v>19923.009999999998</v>
          </cell>
          <cell r="H1101">
            <v>1</v>
          </cell>
          <cell r="I1101">
            <v>0</v>
          </cell>
          <cell r="J1101">
            <v>0</v>
          </cell>
          <cell r="K1101">
            <v>74738.509999999995</v>
          </cell>
          <cell r="L1101">
            <v>0</v>
          </cell>
          <cell r="M1101">
            <v>74738.509999999995</v>
          </cell>
          <cell r="N1101">
            <v>0</v>
          </cell>
          <cell r="O1101" t="str">
            <v>Компьютеры и вычтехника, включая счетные машинки</v>
          </cell>
        </row>
        <row r="1102">
          <cell r="A1102">
            <v>9</v>
          </cell>
          <cell r="B1102">
            <v>214</v>
          </cell>
          <cell r="C1102">
            <v>8104</v>
          </cell>
          <cell r="D1102">
            <v>940.1</v>
          </cell>
          <cell r="E1102">
            <v>22</v>
          </cell>
          <cell r="F1102">
            <v>19923.009999999998</v>
          </cell>
          <cell r="H1102">
            <v>1</v>
          </cell>
          <cell r="I1102">
            <v>0</v>
          </cell>
          <cell r="J1102">
            <v>0</v>
          </cell>
          <cell r="K1102">
            <v>135677.34</v>
          </cell>
          <cell r="L1102">
            <v>0</v>
          </cell>
          <cell r="M1102">
            <v>135677.34</v>
          </cell>
          <cell r="N1102">
            <v>0</v>
          </cell>
          <cell r="O1102" t="str">
            <v>Компьютеры и вычтехника, включая счетные машинки</v>
          </cell>
        </row>
        <row r="1103">
          <cell r="A1103">
            <v>9</v>
          </cell>
          <cell r="B1103">
            <v>214</v>
          </cell>
          <cell r="C1103">
            <v>8137</v>
          </cell>
          <cell r="D1103">
            <v>940.1</v>
          </cell>
          <cell r="E1103">
            <v>22</v>
          </cell>
          <cell r="F1103">
            <v>19923.009999999998</v>
          </cell>
          <cell r="H1103">
            <v>1</v>
          </cell>
          <cell r="I1103">
            <v>0</v>
          </cell>
          <cell r="J1103">
            <v>0</v>
          </cell>
          <cell r="K1103">
            <v>247398.74</v>
          </cell>
          <cell r="L1103">
            <v>0</v>
          </cell>
          <cell r="M1103">
            <v>247398.74</v>
          </cell>
          <cell r="N1103">
            <v>0</v>
          </cell>
          <cell r="O1103" t="str">
            <v>Компьютеры и вычтехника, включая счетные машинки</v>
          </cell>
        </row>
        <row r="1104">
          <cell r="A1104">
            <v>9</v>
          </cell>
          <cell r="B1104">
            <v>214</v>
          </cell>
          <cell r="C1104">
            <v>214</v>
          </cell>
          <cell r="D1104">
            <v>940.11</v>
          </cell>
          <cell r="E1104">
            <v>22</v>
          </cell>
          <cell r="F1104">
            <v>19923.02</v>
          </cell>
          <cell r="H1104">
            <v>1</v>
          </cell>
          <cell r="I1104">
            <v>0</v>
          </cell>
          <cell r="J1104">
            <v>0</v>
          </cell>
          <cell r="K1104">
            <v>1014000</v>
          </cell>
          <cell r="L1104">
            <v>0</v>
          </cell>
          <cell r="M1104">
            <v>1014000</v>
          </cell>
          <cell r="N1104">
            <v>0</v>
          </cell>
          <cell r="O1104" t="str">
            <v>Mebel va uskunalar</v>
          </cell>
        </row>
        <row r="1105">
          <cell r="A1105">
            <v>9</v>
          </cell>
          <cell r="B1105">
            <v>214</v>
          </cell>
          <cell r="C1105">
            <v>5996</v>
          </cell>
          <cell r="D1105">
            <v>940.11</v>
          </cell>
          <cell r="E1105">
            <v>22</v>
          </cell>
          <cell r="F1105">
            <v>19923.02</v>
          </cell>
          <cell r="H1105">
            <v>1</v>
          </cell>
          <cell r="I1105">
            <v>0</v>
          </cell>
          <cell r="J1105">
            <v>0</v>
          </cell>
          <cell r="K1105">
            <v>224941</v>
          </cell>
          <cell r="L1105">
            <v>0</v>
          </cell>
          <cell r="M1105">
            <v>224941</v>
          </cell>
          <cell r="N1105">
            <v>0</v>
          </cell>
          <cell r="O1105" t="str">
            <v>Mebel va uskunalar</v>
          </cell>
        </row>
        <row r="1106">
          <cell r="A1106">
            <v>9</v>
          </cell>
          <cell r="B1106">
            <v>214</v>
          </cell>
          <cell r="C1106">
            <v>7783</v>
          </cell>
          <cell r="D1106">
            <v>940.11</v>
          </cell>
          <cell r="E1106">
            <v>22</v>
          </cell>
          <cell r="F1106">
            <v>19923.02</v>
          </cell>
          <cell r="H1106">
            <v>1</v>
          </cell>
          <cell r="I1106">
            <v>0</v>
          </cell>
          <cell r="J1106">
            <v>0</v>
          </cell>
          <cell r="K1106">
            <v>142841</v>
          </cell>
          <cell r="L1106">
            <v>0</v>
          </cell>
          <cell r="M1106">
            <v>142841</v>
          </cell>
          <cell r="N1106">
            <v>0</v>
          </cell>
          <cell r="O1106" t="str">
            <v>Mebel va uskunalar</v>
          </cell>
        </row>
        <row r="1107">
          <cell r="A1107">
            <v>9</v>
          </cell>
          <cell r="B1107">
            <v>214</v>
          </cell>
          <cell r="C1107">
            <v>7948</v>
          </cell>
          <cell r="D1107">
            <v>940.11</v>
          </cell>
          <cell r="E1107">
            <v>22</v>
          </cell>
          <cell r="F1107">
            <v>19923.02</v>
          </cell>
          <cell r="H1107">
            <v>1</v>
          </cell>
          <cell r="I1107">
            <v>0</v>
          </cell>
          <cell r="J1107">
            <v>0</v>
          </cell>
          <cell r="K1107">
            <v>41947</v>
          </cell>
          <cell r="L1107">
            <v>0</v>
          </cell>
          <cell r="M1107">
            <v>41947</v>
          </cell>
          <cell r="N1107">
            <v>0</v>
          </cell>
          <cell r="O1107" t="str">
            <v>Mebel va uskunalar</v>
          </cell>
        </row>
        <row r="1108">
          <cell r="A1108">
            <v>9</v>
          </cell>
          <cell r="B1108">
            <v>214</v>
          </cell>
          <cell r="C1108">
            <v>8002</v>
          </cell>
          <cell r="D1108">
            <v>940.11</v>
          </cell>
          <cell r="E1108">
            <v>22</v>
          </cell>
          <cell r="F1108">
            <v>19923.02</v>
          </cell>
          <cell r="H1108">
            <v>1</v>
          </cell>
          <cell r="I1108">
            <v>0</v>
          </cell>
          <cell r="J1108">
            <v>0</v>
          </cell>
          <cell r="K1108">
            <v>8000</v>
          </cell>
          <cell r="L1108">
            <v>0</v>
          </cell>
          <cell r="M1108">
            <v>8000</v>
          </cell>
          <cell r="N1108">
            <v>0</v>
          </cell>
          <cell r="O1108" t="str">
            <v>Mebel va uskunalar</v>
          </cell>
        </row>
        <row r="1109">
          <cell r="A1109">
            <v>9</v>
          </cell>
          <cell r="B1109">
            <v>214</v>
          </cell>
          <cell r="C1109">
            <v>8104</v>
          </cell>
          <cell r="D1109">
            <v>940.11</v>
          </cell>
          <cell r="E1109">
            <v>22</v>
          </cell>
          <cell r="F1109">
            <v>19923.02</v>
          </cell>
          <cell r="H1109">
            <v>1</v>
          </cell>
          <cell r="I1109">
            <v>0</v>
          </cell>
          <cell r="J1109">
            <v>0</v>
          </cell>
          <cell r="K1109">
            <v>68614</v>
          </cell>
          <cell r="L1109">
            <v>0</v>
          </cell>
          <cell r="M1109">
            <v>68614</v>
          </cell>
          <cell r="N1109">
            <v>0</v>
          </cell>
          <cell r="O1109" t="str">
            <v>Mebel va uskunalar</v>
          </cell>
        </row>
        <row r="1110">
          <cell r="A1110">
            <v>9</v>
          </cell>
          <cell r="B1110">
            <v>214</v>
          </cell>
          <cell r="C1110">
            <v>8298</v>
          </cell>
          <cell r="D1110">
            <v>940.11</v>
          </cell>
          <cell r="E1110">
            <v>22</v>
          </cell>
          <cell r="F1110">
            <v>19923.02</v>
          </cell>
          <cell r="H1110">
            <v>1</v>
          </cell>
          <cell r="I1110">
            <v>0</v>
          </cell>
          <cell r="J1110">
            <v>0</v>
          </cell>
          <cell r="K1110">
            <v>201164.6</v>
          </cell>
          <cell r="L1110">
            <v>1226.7</v>
          </cell>
          <cell r="M1110">
            <v>199937.9</v>
          </cell>
          <cell r="N1110">
            <v>0</v>
          </cell>
          <cell r="O1110" t="str">
            <v>Mebel va uskunalar</v>
          </cell>
        </row>
        <row r="1111">
          <cell r="A1111">
            <v>9</v>
          </cell>
          <cell r="B1111">
            <v>214</v>
          </cell>
          <cell r="C1111">
            <v>214</v>
          </cell>
          <cell r="D1111">
            <v>940.12</v>
          </cell>
          <cell r="E1111">
            <v>22</v>
          </cell>
          <cell r="F1111">
            <v>19923.03</v>
          </cell>
          <cell r="H1111">
            <v>1</v>
          </cell>
          <cell r="I1111">
            <v>0</v>
          </cell>
          <cell r="J1111">
            <v>0</v>
          </cell>
          <cell r="K1111">
            <v>75638.399999999994</v>
          </cell>
          <cell r="L1111">
            <v>0</v>
          </cell>
          <cell r="M1111">
            <v>75638.399999999994</v>
          </cell>
          <cell r="N1111">
            <v>0</v>
          </cell>
          <cell r="O1111" t="str">
            <v>Зап/части к машинам, включая автомашины и др.технику</v>
          </cell>
        </row>
        <row r="1112">
          <cell r="A1112">
            <v>9</v>
          </cell>
          <cell r="B1112">
            <v>214</v>
          </cell>
          <cell r="C1112">
            <v>214</v>
          </cell>
          <cell r="D1112">
            <v>942</v>
          </cell>
          <cell r="E1112">
            <v>22</v>
          </cell>
          <cell r="F1112">
            <v>19921.099999999999</v>
          </cell>
          <cell r="H1112">
            <v>1</v>
          </cell>
          <cell r="I1112">
            <v>103515.99</v>
          </cell>
          <cell r="J1112">
            <v>0</v>
          </cell>
          <cell r="K1112">
            <v>7385.36</v>
          </cell>
          <cell r="L1112">
            <v>0</v>
          </cell>
          <cell r="M1112">
            <v>110901.35</v>
          </cell>
          <cell r="N1112">
            <v>0</v>
          </cell>
          <cell r="O1112" t="str">
            <v>Малоценные и быстроизнашиваемые предметы</v>
          </cell>
        </row>
        <row r="1113">
          <cell r="A1113">
            <v>9</v>
          </cell>
          <cell r="B1113">
            <v>214</v>
          </cell>
          <cell r="C1113">
            <v>3563</v>
          </cell>
          <cell r="D1113">
            <v>942</v>
          </cell>
          <cell r="E1113">
            <v>22</v>
          </cell>
          <cell r="F1113">
            <v>19921.099999999999</v>
          </cell>
          <cell r="H1113">
            <v>1</v>
          </cell>
          <cell r="I1113">
            <v>22495.15</v>
          </cell>
          <cell r="J1113">
            <v>0</v>
          </cell>
          <cell r="K1113">
            <v>20000</v>
          </cell>
          <cell r="L1113">
            <v>0</v>
          </cell>
          <cell r="M1113">
            <v>42495.15</v>
          </cell>
          <cell r="N1113">
            <v>0</v>
          </cell>
          <cell r="O1113" t="str">
            <v>Малоценные и быстроизнашиваемые предметы</v>
          </cell>
        </row>
        <row r="1114">
          <cell r="A1114">
            <v>9</v>
          </cell>
          <cell r="B1114">
            <v>214</v>
          </cell>
          <cell r="C1114">
            <v>5996</v>
          </cell>
          <cell r="D1114">
            <v>942</v>
          </cell>
          <cell r="E1114">
            <v>22</v>
          </cell>
          <cell r="F1114">
            <v>19921.099999999999</v>
          </cell>
          <cell r="H1114">
            <v>1</v>
          </cell>
          <cell r="I1114">
            <v>18889.189999999999</v>
          </cell>
          <cell r="J1114">
            <v>0</v>
          </cell>
          <cell r="K1114">
            <v>0</v>
          </cell>
          <cell r="L1114">
            <v>0</v>
          </cell>
          <cell r="M1114">
            <v>18889.189999999999</v>
          </cell>
          <cell r="N1114">
            <v>0</v>
          </cell>
          <cell r="O1114" t="str">
            <v>Малоценные и быстроизнашиваемые предметы</v>
          </cell>
        </row>
        <row r="1115">
          <cell r="A1115">
            <v>9</v>
          </cell>
          <cell r="B1115">
            <v>214</v>
          </cell>
          <cell r="C1115">
            <v>7783</v>
          </cell>
          <cell r="D1115">
            <v>942</v>
          </cell>
          <cell r="E1115">
            <v>22</v>
          </cell>
          <cell r="F1115">
            <v>19921.099999999999</v>
          </cell>
          <cell r="H1115">
            <v>1</v>
          </cell>
          <cell r="I1115">
            <v>279730.39</v>
          </cell>
          <cell r="J1115">
            <v>0</v>
          </cell>
          <cell r="K1115">
            <v>0</v>
          </cell>
          <cell r="L1115">
            <v>5000</v>
          </cell>
          <cell r="M1115">
            <v>274730.39</v>
          </cell>
          <cell r="N1115">
            <v>0</v>
          </cell>
          <cell r="O1115" t="str">
            <v>Малоценные и быстроизнашиваемые предметы</v>
          </cell>
        </row>
        <row r="1116">
          <cell r="A1116">
            <v>9</v>
          </cell>
          <cell r="B1116">
            <v>214</v>
          </cell>
          <cell r="C1116">
            <v>7845</v>
          </cell>
          <cell r="D1116">
            <v>942</v>
          </cell>
          <cell r="E1116">
            <v>22</v>
          </cell>
          <cell r="F1116">
            <v>19921.099999999999</v>
          </cell>
          <cell r="H1116">
            <v>1</v>
          </cell>
          <cell r="I1116">
            <v>125.43</v>
          </cell>
          <cell r="J1116">
            <v>0</v>
          </cell>
          <cell r="K1116">
            <v>0</v>
          </cell>
          <cell r="L1116">
            <v>77.78</v>
          </cell>
          <cell r="M1116">
            <v>47.65</v>
          </cell>
          <cell r="N1116">
            <v>0</v>
          </cell>
          <cell r="O1116" t="str">
            <v>Малоценные и быстроизнашиваемые предметы</v>
          </cell>
        </row>
        <row r="1117">
          <cell r="A1117">
            <v>9</v>
          </cell>
          <cell r="B1117">
            <v>214</v>
          </cell>
          <cell r="C1117">
            <v>7948</v>
          </cell>
          <cell r="D1117">
            <v>942</v>
          </cell>
          <cell r="E1117">
            <v>22</v>
          </cell>
          <cell r="F1117">
            <v>19921.099999999999</v>
          </cell>
          <cell r="H1117">
            <v>1</v>
          </cell>
          <cell r="I1117">
            <v>9479.99</v>
          </cell>
          <cell r="J1117">
            <v>0</v>
          </cell>
          <cell r="K1117">
            <v>9406.26</v>
          </cell>
          <cell r="L1117">
            <v>9479.99</v>
          </cell>
          <cell r="M1117">
            <v>9406.26</v>
          </cell>
          <cell r="N1117">
            <v>0</v>
          </cell>
          <cell r="O1117" t="str">
            <v>Малоценные и быстроизнашиваемые предметы</v>
          </cell>
        </row>
        <row r="1118">
          <cell r="A1118">
            <v>9</v>
          </cell>
          <cell r="B1118">
            <v>214</v>
          </cell>
          <cell r="C1118">
            <v>8002</v>
          </cell>
          <cell r="D1118">
            <v>942</v>
          </cell>
          <cell r="E1118">
            <v>22</v>
          </cell>
          <cell r="F1118">
            <v>19921.099999999999</v>
          </cell>
          <cell r="H1118">
            <v>1</v>
          </cell>
          <cell r="I1118">
            <v>355.19</v>
          </cell>
          <cell r="J1118">
            <v>0</v>
          </cell>
          <cell r="K1118">
            <v>5261</v>
          </cell>
          <cell r="L1118">
            <v>0</v>
          </cell>
          <cell r="M1118">
            <v>5616.19</v>
          </cell>
          <cell r="N1118">
            <v>0</v>
          </cell>
          <cell r="O1118" t="str">
            <v>Малоценные и быстроизнашиваемые предметы</v>
          </cell>
        </row>
        <row r="1119">
          <cell r="A1119">
            <v>9</v>
          </cell>
          <cell r="B1119">
            <v>214</v>
          </cell>
          <cell r="C1119">
            <v>8104</v>
          </cell>
          <cell r="D1119">
            <v>942</v>
          </cell>
          <cell r="E1119">
            <v>22</v>
          </cell>
          <cell r="F1119">
            <v>19921.099999999999</v>
          </cell>
          <cell r="H1119">
            <v>1</v>
          </cell>
          <cell r="I1119">
            <v>133.82</v>
          </cell>
          <cell r="J1119">
            <v>0</v>
          </cell>
          <cell r="K1119">
            <v>0</v>
          </cell>
          <cell r="L1119">
            <v>0</v>
          </cell>
          <cell r="M1119">
            <v>133.82</v>
          </cell>
          <cell r="N1119">
            <v>0</v>
          </cell>
          <cell r="O1119" t="str">
            <v>Малоценные и быстроизнашиваемые предметы</v>
          </cell>
        </row>
        <row r="1120">
          <cell r="A1120">
            <v>9</v>
          </cell>
          <cell r="B1120">
            <v>214</v>
          </cell>
          <cell r="C1120">
            <v>8137</v>
          </cell>
          <cell r="D1120">
            <v>942</v>
          </cell>
          <cell r="E1120">
            <v>22</v>
          </cell>
          <cell r="F1120">
            <v>19921.099999999999</v>
          </cell>
          <cell r="H1120">
            <v>1</v>
          </cell>
          <cell r="I1120">
            <v>169.05</v>
          </cell>
          <cell r="J1120">
            <v>0</v>
          </cell>
          <cell r="K1120">
            <v>198677</v>
          </cell>
          <cell r="L1120">
            <v>0</v>
          </cell>
          <cell r="M1120">
            <v>198846.05</v>
          </cell>
          <cell r="N1120">
            <v>0</v>
          </cell>
          <cell r="O1120" t="str">
            <v>Малоценные и быстроизнашиваемые предметы</v>
          </cell>
        </row>
        <row r="1121">
          <cell r="A1121">
            <v>9</v>
          </cell>
          <cell r="B1121">
            <v>214</v>
          </cell>
          <cell r="C1121">
            <v>8298</v>
          </cell>
          <cell r="D1121">
            <v>942</v>
          </cell>
          <cell r="E1121">
            <v>22</v>
          </cell>
          <cell r="F1121">
            <v>19921.099999999999</v>
          </cell>
          <cell r="H1121">
            <v>1</v>
          </cell>
          <cell r="I1121">
            <v>233927.81</v>
          </cell>
          <cell r="J1121">
            <v>0</v>
          </cell>
          <cell r="K1121">
            <v>7000</v>
          </cell>
          <cell r="L1121">
            <v>70824</v>
          </cell>
          <cell r="M1121">
            <v>170103.81</v>
          </cell>
          <cell r="N1121">
            <v>0</v>
          </cell>
          <cell r="O1121" t="str">
            <v>Малоценные и быстроизнашиваемые предметы</v>
          </cell>
        </row>
        <row r="1122">
          <cell r="A1122">
            <v>9</v>
          </cell>
          <cell r="B1122">
            <v>214</v>
          </cell>
          <cell r="C1122">
            <v>8533</v>
          </cell>
          <cell r="D1122">
            <v>942</v>
          </cell>
          <cell r="E1122">
            <v>22</v>
          </cell>
          <cell r="F1122">
            <v>19921.099999999999</v>
          </cell>
          <cell r="H1122">
            <v>1</v>
          </cell>
          <cell r="I1122">
            <v>7056.04</v>
          </cell>
          <cell r="J1122">
            <v>0</v>
          </cell>
          <cell r="K1122">
            <v>0</v>
          </cell>
          <cell r="L1122">
            <v>0</v>
          </cell>
          <cell r="M1122">
            <v>7056.04</v>
          </cell>
          <cell r="N1122">
            <v>0</v>
          </cell>
          <cell r="O1122" t="str">
            <v>Малоценные и быстроизнашиваемые предметы</v>
          </cell>
        </row>
        <row r="1123">
          <cell r="A1123">
            <v>9</v>
          </cell>
          <cell r="B1123">
            <v>214</v>
          </cell>
          <cell r="C1123">
            <v>8659</v>
          </cell>
          <cell r="D1123">
            <v>942</v>
          </cell>
          <cell r="E1123">
            <v>22</v>
          </cell>
          <cell r="F1123">
            <v>19921.099999999999</v>
          </cell>
          <cell r="H1123">
            <v>1</v>
          </cell>
          <cell r="I1123">
            <v>9305</v>
          </cell>
          <cell r="J1123">
            <v>0</v>
          </cell>
          <cell r="K1123">
            <v>0</v>
          </cell>
          <cell r="L1123">
            <v>37.799999999999997</v>
          </cell>
          <cell r="M1123">
            <v>9267.2000000000007</v>
          </cell>
          <cell r="N1123">
            <v>0</v>
          </cell>
          <cell r="O1123" t="str">
            <v>Малоценные и быстроизнашиваемые предметы</v>
          </cell>
        </row>
        <row r="1124">
          <cell r="A1124">
            <v>9</v>
          </cell>
          <cell r="B1124">
            <v>214</v>
          </cell>
          <cell r="C1124">
            <v>214</v>
          </cell>
          <cell r="D1124">
            <v>960.01</v>
          </cell>
          <cell r="E1124">
            <v>24</v>
          </cell>
          <cell r="F1124">
            <v>40205</v>
          </cell>
          <cell r="H1124">
            <v>4</v>
          </cell>
          <cell r="I1124">
            <v>0</v>
          </cell>
          <cell r="J1124">
            <v>0</v>
          </cell>
          <cell r="K1124">
            <v>0</v>
          </cell>
          <cell r="L1124">
            <v>367200</v>
          </cell>
          <cell r="M1124">
            <v>0</v>
          </cell>
          <cell r="N1124">
            <v>367200</v>
          </cell>
          <cell r="O1124" t="str">
            <v>Процентные доход по другим счетам в ЦБРУ</v>
          </cell>
        </row>
        <row r="1125">
          <cell r="A1125">
            <v>9</v>
          </cell>
          <cell r="B1125">
            <v>214</v>
          </cell>
          <cell r="C1125">
            <v>3563</v>
          </cell>
          <cell r="D1125">
            <v>960.01</v>
          </cell>
          <cell r="E1125">
            <v>24</v>
          </cell>
          <cell r="F1125">
            <v>40205</v>
          </cell>
          <cell r="H1125">
            <v>4</v>
          </cell>
          <cell r="I1125">
            <v>0</v>
          </cell>
          <cell r="J1125">
            <v>0</v>
          </cell>
          <cell r="K1125">
            <v>0</v>
          </cell>
          <cell r="L1125">
            <v>1187735</v>
          </cell>
          <cell r="M1125">
            <v>0</v>
          </cell>
          <cell r="N1125">
            <v>1187735</v>
          </cell>
          <cell r="O1125" t="str">
            <v>Процентные доход по другим счетам в ЦБРУ</v>
          </cell>
        </row>
        <row r="1126">
          <cell r="A1126">
            <v>9</v>
          </cell>
          <cell r="B1126">
            <v>214</v>
          </cell>
          <cell r="C1126">
            <v>5996</v>
          </cell>
          <cell r="D1126">
            <v>960.01</v>
          </cell>
          <cell r="E1126">
            <v>24</v>
          </cell>
          <cell r="F1126">
            <v>40205</v>
          </cell>
          <cell r="H1126">
            <v>4</v>
          </cell>
          <cell r="I1126">
            <v>0</v>
          </cell>
          <cell r="J1126">
            <v>0</v>
          </cell>
          <cell r="K1126">
            <v>0</v>
          </cell>
          <cell r="L1126">
            <v>1435035</v>
          </cell>
          <cell r="M1126">
            <v>0</v>
          </cell>
          <cell r="N1126">
            <v>1435035</v>
          </cell>
          <cell r="O1126" t="str">
            <v>Процентные доход по другим счетам в ЦБРУ</v>
          </cell>
        </row>
        <row r="1127">
          <cell r="A1127">
            <v>9</v>
          </cell>
          <cell r="B1127">
            <v>214</v>
          </cell>
          <cell r="C1127">
            <v>7783</v>
          </cell>
          <cell r="D1127">
            <v>960.01</v>
          </cell>
          <cell r="E1127">
            <v>24</v>
          </cell>
          <cell r="F1127">
            <v>40205</v>
          </cell>
          <cell r="H1127">
            <v>4</v>
          </cell>
          <cell r="I1127">
            <v>0</v>
          </cell>
          <cell r="J1127">
            <v>0</v>
          </cell>
          <cell r="K1127">
            <v>0</v>
          </cell>
          <cell r="L1127">
            <v>1478426</v>
          </cell>
          <cell r="M1127">
            <v>0</v>
          </cell>
          <cell r="N1127">
            <v>1478426</v>
          </cell>
          <cell r="O1127" t="str">
            <v>Процентные доход по другим счетам в ЦБРУ</v>
          </cell>
        </row>
        <row r="1128">
          <cell r="A1128">
            <v>9</v>
          </cell>
          <cell r="B1128">
            <v>214</v>
          </cell>
          <cell r="C1128">
            <v>7845</v>
          </cell>
          <cell r="D1128">
            <v>960.01</v>
          </cell>
          <cell r="E1128">
            <v>24</v>
          </cell>
          <cell r="F1128">
            <v>40205</v>
          </cell>
          <cell r="H1128">
            <v>4</v>
          </cell>
          <cell r="I1128">
            <v>0</v>
          </cell>
          <cell r="J1128">
            <v>0</v>
          </cell>
          <cell r="K1128">
            <v>0</v>
          </cell>
          <cell r="L1128">
            <v>961160</v>
          </cell>
          <cell r="M1128">
            <v>0</v>
          </cell>
          <cell r="N1128">
            <v>961160</v>
          </cell>
          <cell r="O1128" t="str">
            <v>Процентные доход по другим счетам в ЦБРУ</v>
          </cell>
        </row>
        <row r="1129">
          <cell r="A1129">
            <v>9</v>
          </cell>
          <cell r="B1129">
            <v>214</v>
          </cell>
          <cell r="C1129">
            <v>7948</v>
          </cell>
          <cell r="D1129">
            <v>960.01</v>
          </cell>
          <cell r="E1129">
            <v>24</v>
          </cell>
          <cell r="F1129">
            <v>40205</v>
          </cell>
          <cell r="H1129">
            <v>4</v>
          </cell>
          <cell r="I1129">
            <v>0</v>
          </cell>
          <cell r="J1129">
            <v>0</v>
          </cell>
          <cell r="K1129">
            <v>0</v>
          </cell>
          <cell r="L1129">
            <v>947272</v>
          </cell>
          <cell r="M1129">
            <v>0</v>
          </cell>
          <cell r="N1129">
            <v>947272</v>
          </cell>
          <cell r="O1129" t="str">
            <v>Процентные доход по другим счетам в ЦБРУ</v>
          </cell>
        </row>
        <row r="1130">
          <cell r="A1130">
            <v>9</v>
          </cell>
          <cell r="B1130">
            <v>214</v>
          </cell>
          <cell r="C1130">
            <v>8002</v>
          </cell>
          <cell r="D1130">
            <v>960.01</v>
          </cell>
          <cell r="E1130">
            <v>24</v>
          </cell>
          <cell r="F1130">
            <v>40205</v>
          </cell>
          <cell r="H1130">
            <v>4</v>
          </cell>
          <cell r="I1130">
            <v>0</v>
          </cell>
          <cell r="J1130">
            <v>0</v>
          </cell>
          <cell r="K1130">
            <v>0</v>
          </cell>
          <cell r="L1130">
            <v>604197</v>
          </cell>
          <cell r="M1130">
            <v>0</v>
          </cell>
          <cell r="N1130">
            <v>604197</v>
          </cell>
          <cell r="O1130" t="str">
            <v>Процентные доход по другим счетам в ЦБРУ</v>
          </cell>
        </row>
        <row r="1131">
          <cell r="A1131">
            <v>9</v>
          </cell>
          <cell r="B1131">
            <v>214</v>
          </cell>
          <cell r="C1131">
            <v>8104</v>
          </cell>
          <cell r="D1131">
            <v>960.01</v>
          </cell>
          <cell r="E1131">
            <v>24</v>
          </cell>
          <cell r="F1131">
            <v>40205</v>
          </cell>
          <cell r="H1131">
            <v>4</v>
          </cell>
          <cell r="I1131">
            <v>0</v>
          </cell>
          <cell r="J1131">
            <v>0</v>
          </cell>
          <cell r="K1131">
            <v>0</v>
          </cell>
          <cell r="L1131">
            <v>529176</v>
          </cell>
          <cell r="M1131">
            <v>0</v>
          </cell>
          <cell r="N1131">
            <v>529176</v>
          </cell>
          <cell r="O1131" t="str">
            <v>Процентные доход по другим счетам в ЦБРУ</v>
          </cell>
        </row>
        <row r="1132">
          <cell r="A1132">
            <v>9</v>
          </cell>
          <cell r="B1132">
            <v>214</v>
          </cell>
          <cell r="C1132">
            <v>8137</v>
          </cell>
          <cell r="D1132">
            <v>960.01</v>
          </cell>
          <cell r="E1132">
            <v>24</v>
          </cell>
          <cell r="F1132">
            <v>40205</v>
          </cell>
          <cell r="H1132">
            <v>4</v>
          </cell>
          <cell r="I1132">
            <v>0</v>
          </cell>
          <cell r="J1132">
            <v>0</v>
          </cell>
          <cell r="K1132">
            <v>0</v>
          </cell>
          <cell r="L1132">
            <v>626567</v>
          </cell>
          <cell r="M1132">
            <v>0</v>
          </cell>
          <cell r="N1132">
            <v>626567</v>
          </cell>
          <cell r="O1132" t="str">
            <v>Процентные доход по другим счетам в ЦБРУ</v>
          </cell>
        </row>
        <row r="1133">
          <cell r="A1133">
            <v>9</v>
          </cell>
          <cell r="B1133">
            <v>214</v>
          </cell>
          <cell r="C1133">
            <v>8298</v>
          </cell>
          <cell r="D1133">
            <v>960.01</v>
          </cell>
          <cell r="E1133">
            <v>24</v>
          </cell>
          <cell r="F1133">
            <v>40205</v>
          </cell>
          <cell r="H1133">
            <v>4</v>
          </cell>
          <cell r="I1133">
            <v>0</v>
          </cell>
          <cell r="J1133">
            <v>0</v>
          </cell>
          <cell r="K1133">
            <v>0</v>
          </cell>
          <cell r="L1133">
            <v>890608</v>
          </cell>
          <cell r="M1133">
            <v>0</v>
          </cell>
          <cell r="N1133">
            <v>890608</v>
          </cell>
          <cell r="O1133" t="str">
            <v>Процентные доход по другим счетам в ЦБРУ</v>
          </cell>
        </row>
        <row r="1134">
          <cell r="A1134">
            <v>9</v>
          </cell>
          <cell r="B1134">
            <v>214</v>
          </cell>
          <cell r="C1134">
            <v>8533</v>
          </cell>
          <cell r="D1134">
            <v>960.01</v>
          </cell>
          <cell r="E1134">
            <v>24</v>
          </cell>
          <cell r="F1134">
            <v>40205</v>
          </cell>
          <cell r="H1134">
            <v>4</v>
          </cell>
          <cell r="I1134">
            <v>0</v>
          </cell>
          <cell r="J1134">
            <v>0</v>
          </cell>
          <cell r="K1134">
            <v>0</v>
          </cell>
          <cell r="L1134">
            <v>289856</v>
          </cell>
          <cell r="M1134">
            <v>0</v>
          </cell>
          <cell r="N1134">
            <v>289856</v>
          </cell>
          <cell r="O1134" t="str">
            <v>Процентные доход по другим счетам в ЦБРУ</v>
          </cell>
        </row>
        <row r="1135">
          <cell r="A1135">
            <v>9</v>
          </cell>
          <cell r="B1135">
            <v>214</v>
          </cell>
          <cell r="C1135">
            <v>8659</v>
          </cell>
          <cell r="D1135">
            <v>960.01</v>
          </cell>
          <cell r="E1135">
            <v>24</v>
          </cell>
          <cell r="F1135">
            <v>40205</v>
          </cell>
          <cell r="H1135">
            <v>4</v>
          </cell>
          <cell r="I1135">
            <v>0</v>
          </cell>
          <cell r="J1135">
            <v>0</v>
          </cell>
          <cell r="K1135">
            <v>0</v>
          </cell>
          <cell r="L1135">
            <v>184768</v>
          </cell>
          <cell r="M1135">
            <v>0</v>
          </cell>
          <cell r="N1135">
            <v>184768</v>
          </cell>
          <cell r="O1135" t="str">
            <v>Процентные доход по другим счетам в ЦБРУ</v>
          </cell>
        </row>
        <row r="1136">
          <cell r="A1136">
            <v>9</v>
          </cell>
          <cell r="B1136">
            <v>214</v>
          </cell>
          <cell r="C1136">
            <v>214</v>
          </cell>
          <cell r="D1136">
            <v>960.04</v>
          </cell>
          <cell r="E1136">
            <v>24</v>
          </cell>
          <cell r="F1136">
            <v>40605</v>
          </cell>
          <cell r="H1136">
            <v>4</v>
          </cell>
          <cell r="I1136">
            <v>0</v>
          </cell>
          <cell r="J1136">
            <v>0</v>
          </cell>
          <cell r="K1136">
            <v>0</v>
          </cell>
          <cell r="L1136">
            <v>2146000</v>
          </cell>
          <cell r="M1136">
            <v>0</v>
          </cell>
          <cell r="N1136">
            <v>2146000</v>
          </cell>
          <cell r="O1136" t="str">
            <v>Процентные доходы по правительственным облигациям - ГКО</v>
          </cell>
        </row>
        <row r="1137">
          <cell r="A1137">
            <v>9</v>
          </cell>
          <cell r="B1137">
            <v>214</v>
          </cell>
          <cell r="C1137">
            <v>3563</v>
          </cell>
          <cell r="D1137">
            <v>960.04</v>
          </cell>
          <cell r="E1137">
            <v>24</v>
          </cell>
          <cell r="F1137">
            <v>40605</v>
          </cell>
          <cell r="H1137">
            <v>4</v>
          </cell>
          <cell r="I1137">
            <v>0</v>
          </cell>
          <cell r="J1137">
            <v>0</v>
          </cell>
          <cell r="K1137">
            <v>0</v>
          </cell>
          <cell r="L1137">
            <v>71930</v>
          </cell>
          <cell r="M1137">
            <v>0</v>
          </cell>
          <cell r="N1137">
            <v>71930</v>
          </cell>
          <cell r="O1137" t="str">
            <v>Процентные доходы по правительственным облигациям - ГКО</v>
          </cell>
        </row>
        <row r="1138">
          <cell r="A1138">
            <v>9</v>
          </cell>
          <cell r="B1138">
            <v>214</v>
          </cell>
          <cell r="C1138">
            <v>5996</v>
          </cell>
          <cell r="D1138">
            <v>960.04</v>
          </cell>
          <cell r="E1138">
            <v>24</v>
          </cell>
          <cell r="F1138">
            <v>40605</v>
          </cell>
          <cell r="H1138">
            <v>4</v>
          </cell>
          <cell r="I1138">
            <v>0</v>
          </cell>
          <cell r="J1138">
            <v>0</v>
          </cell>
          <cell r="K1138">
            <v>0</v>
          </cell>
          <cell r="L1138">
            <v>18700</v>
          </cell>
          <cell r="M1138">
            <v>0</v>
          </cell>
          <cell r="N1138">
            <v>18700</v>
          </cell>
          <cell r="O1138" t="str">
            <v>Процентные доходы по правительственным облигациям - ГКО</v>
          </cell>
        </row>
        <row r="1139">
          <cell r="A1139">
            <v>9</v>
          </cell>
          <cell r="B1139">
            <v>214</v>
          </cell>
          <cell r="C1139">
            <v>7783</v>
          </cell>
          <cell r="D1139">
            <v>960.04</v>
          </cell>
          <cell r="E1139">
            <v>24</v>
          </cell>
          <cell r="F1139">
            <v>40605</v>
          </cell>
          <cell r="H1139">
            <v>4</v>
          </cell>
          <cell r="I1139">
            <v>0</v>
          </cell>
          <cell r="J1139">
            <v>0</v>
          </cell>
          <cell r="K1139">
            <v>0</v>
          </cell>
          <cell r="L1139">
            <v>77020</v>
          </cell>
          <cell r="M1139">
            <v>0</v>
          </cell>
          <cell r="N1139">
            <v>77020</v>
          </cell>
          <cell r="O1139" t="str">
            <v>Процентные доходы по правительственным облигациям - ГКО</v>
          </cell>
        </row>
        <row r="1140">
          <cell r="A1140">
            <v>9</v>
          </cell>
          <cell r="B1140">
            <v>214</v>
          </cell>
          <cell r="C1140">
            <v>7845</v>
          </cell>
          <cell r="D1140">
            <v>960.04</v>
          </cell>
          <cell r="E1140">
            <v>24</v>
          </cell>
          <cell r="F1140">
            <v>40605</v>
          </cell>
          <cell r="H1140">
            <v>4</v>
          </cell>
          <cell r="I1140">
            <v>0</v>
          </cell>
          <cell r="J1140">
            <v>0</v>
          </cell>
          <cell r="K1140">
            <v>0</v>
          </cell>
          <cell r="L1140">
            <v>18750</v>
          </cell>
          <cell r="M1140">
            <v>0</v>
          </cell>
          <cell r="N1140">
            <v>18750</v>
          </cell>
          <cell r="O1140" t="str">
            <v>Процентные доходы по правительственным облигациям - ГКО</v>
          </cell>
        </row>
        <row r="1141">
          <cell r="A1141">
            <v>9</v>
          </cell>
          <cell r="B1141">
            <v>214</v>
          </cell>
          <cell r="C1141">
            <v>7948</v>
          </cell>
          <cell r="D1141">
            <v>960.04</v>
          </cell>
          <cell r="E1141">
            <v>24</v>
          </cell>
          <cell r="F1141">
            <v>40605</v>
          </cell>
          <cell r="H1141">
            <v>4</v>
          </cell>
          <cell r="I1141">
            <v>0</v>
          </cell>
          <cell r="J1141">
            <v>0</v>
          </cell>
          <cell r="K1141">
            <v>0</v>
          </cell>
          <cell r="L1141">
            <v>39660</v>
          </cell>
          <cell r="M1141">
            <v>0</v>
          </cell>
          <cell r="N1141">
            <v>39660</v>
          </cell>
          <cell r="O1141" t="str">
            <v>Процентные доходы по правительственным облигациям - ГКО</v>
          </cell>
        </row>
        <row r="1142">
          <cell r="A1142">
            <v>9</v>
          </cell>
          <cell r="B1142">
            <v>214</v>
          </cell>
          <cell r="C1142">
            <v>8104</v>
          </cell>
          <cell r="D1142">
            <v>960.04</v>
          </cell>
          <cell r="E1142">
            <v>24</v>
          </cell>
          <cell r="F1142">
            <v>40605</v>
          </cell>
          <cell r="H1142">
            <v>4</v>
          </cell>
          <cell r="I1142">
            <v>0</v>
          </cell>
          <cell r="J1142">
            <v>0</v>
          </cell>
          <cell r="K1142">
            <v>0</v>
          </cell>
          <cell r="L1142">
            <v>5210</v>
          </cell>
          <cell r="M1142">
            <v>0</v>
          </cell>
          <cell r="N1142">
            <v>5210</v>
          </cell>
          <cell r="O1142" t="str">
            <v>Процентные доходы по правительственным облигациям - ГКО</v>
          </cell>
        </row>
        <row r="1143">
          <cell r="A1143">
            <v>9</v>
          </cell>
          <cell r="B1143">
            <v>214</v>
          </cell>
          <cell r="C1143">
            <v>8137</v>
          </cell>
          <cell r="D1143">
            <v>960.04</v>
          </cell>
          <cell r="E1143">
            <v>24</v>
          </cell>
          <cell r="F1143">
            <v>40605</v>
          </cell>
          <cell r="H1143">
            <v>4</v>
          </cell>
          <cell r="I1143">
            <v>0</v>
          </cell>
          <cell r="J1143">
            <v>0</v>
          </cell>
          <cell r="K1143">
            <v>0</v>
          </cell>
          <cell r="L1143">
            <v>13670</v>
          </cell>
          <cell r="M1143">
            <v>0</v>
          </cell>
          <cell r="N1143">
            <v>13670</v>
          </cell>
          <cell r="O1143" t="str">
            <v>Процентные доходы по правительственным облигациям - ГКО</v>
          </cell>
        </row>
        <row r="1144">
          <cell r="A1144">
            <v>9</v>
          </cell>
          <cell r="B1144">
            <v>214</v>
          </cell>
          <cell r="C1144">
            <v>8298</v>
          </cell>
          <cell r="D1144">
            <v>960.04</v>
          </cell>
          <cell r="E1144">
            <v>24</v>
          </cell>
          <cell r="F1144">
            <v>40605</v>
          </cell>
          <cell r="H1144">
            <v>4</v>
          </cell>
          <cell r="I1144">
            <v>0</v>
          </cell>
          <cell r="J1144">
            <v>0</v>
          </cell>
          <cell r="K1144">
            <v>0</v>
          </cell>
          <cell r="L1144">
            <v>30</v>
          </cell>
          <cell r="M1144">
            <v>0</v>
          </cell>
          <cell r="N1144">
            <v>30</v>
          </cell>
          <cell r="O1144" t="str">
            <v>Процентные доходы по правительственным облигациям - ГКО</v>
          </cell>
        </row>
        <row r="1145">
          <cell r="A1145">
            <v>9</v>
          </cell>
          <cell r="B1145">
            <v>214</v>
          </cell>
          <cell r="C1145">
            <v>8659</v>
          </cell>
          <cell r="D1145">
            <v>960.04</v>
          </cell>
          <cell r="E1145">
            <v>24</v>
          </cell>
          <cell r="F1145">
            <v>40605</v>
          </cell>
          <cell r="H1145">
            <v>4</v>
          </cell>
          <cell r="I1145">
            <v>0</v>
          </cell>
          <cell r="J1145">
            <v>0</v>
          </cell>
          <cell r="K1145">
            <v>0</v>
          </cell>
          <cell r="L1145">
            <v>90030</v>
          </cell>
          <cell r="M1145">
            <v>0</v>
          </cell>
          <cell r="N1145">
            <v>90030</v>
          </cell>
          <cell r="O1145" t="str">
            <v>Процентные доходы по правительственным облигациям - ГКО</v>
          </cell>
        </row>
        <row r="1146">
          <cell r="A1146">
            <v>9</v>
          </cell>
          <cell r="B1146">
            <v>214</v>
          </cell>
          <cell r="C1146">
            <v>5996</v>
          </cell>
          <cell r="D1146">
            <v>960.12</v>
          </cell>
          <cell r="E1146">
            <v>24</v>
          </cell>
          <cell r="F1146">
            <v>42005</v>
          </cell>
          <cell r="H1146">
            <v>4</v>
          </cell>
          <cell r="I1146">
            <v>0</v>
          </cell>
          <cell r="J1146">
            <v>0</v>
          </cell>
          <cell r="K1146">
            <v>0</v>
          </cell>
          <cell r="L1146">
            <v>1045000</v>
          </cell>
          <cell r="M1146">
            <v>0</v>
          </cell>
          <cell r="N1146">
            <v>1045000</v>
          </cell>
          <cell r="O1146" t="str">
            <v>Проц-ные доходы по просроченным ссудам. предост. физ лицам</v>
          </cell>
        </row>
        <row r="1147">
          <cell r="A1147">
            <v>9</v>
          </cell>
          <cell r="B1147">
            <v>214</v>
          </cell>
          <cell r="C1147">
            <v>7783</v>
          </cell>
          <cell r="D1147">
            <v>960.12</v>
          </cell>
          <cell r="E1147">
            <v>24</v>
          </cell>
          <cell r="F1147">
            <v>42005</v>
          </cell>
          <cell r="H1147">
            <v>4</v>
          </cell>
          <cell r="I1147">
            <v>0</v>
          </cell>
          <cell r="J1147">
            <v>0</v>
          </cell>
          <cell r="K1147">
            <v>0</v>
          </cell>
          <cell r="L1147">
            <v>250850</v>
          </cell>
          <cell r="M1147">
            <v>0</v>
          </cell>
          <cell r="N1147">
            <v>250850</v>
          </cell>
          <cell r="O1147" t="str">
            <v>Проц-ные доходы по просроченным ссудам. предост. физ лицам</v>
          </cell>
        </row>
        <row r="1148">
          <cell r="A1148">
            <v>9</v>
          </cell>
          <cell r="B1148">
            <v>214</v>
          </cell>
          <cell r="C1148">
            <v>7845</v>
          </cell>
          <cell r="D1148">
            <v>960.12</v>
          </cell>
          <cell r="E1148">
            <v>24</v>
          </cell>
          <cell r="F1148">
            <v>42005</v>
          </cell>
          <cell r="H1148">
            <v>4</v>
          </cell>
          <cell r="I1148">
            <v>0</v>
          </cell>
          <cell r="J1148">
            <v>0</v>
          </cell>
          <cell r="K1148">
            <v>0</v>
          </cell>
          <cell r="L1148">
            <v>15000</v>
          </cell>
          <cell r="M1148">
            <v>0</v>
          </cell>
          <cell r="N1148">
            <v>15000</v>
          </cell>
          <cell r="O1148" t="str">
            <v>Проц-ные доходы по просроченным ссудам. предост. физ лицам</v>
          </cell>
        </row>
        <row r="1149">
          <cell r="A1149">
            <v>9</v>
          </cell>
          <cell r="B1149">
            <v>214</v>
          </cell>
          <cell r="C1149">
            <v>7948</v>
          </cell>
          <cell r="D1149">
            <v>960.12</v>
          </cell>
          <cell r="E1149">
            <v>24</v>
          </cell>
          <cell r="F1149">
            <v>42005</v>
          </cell>
          <cell r="H1149">
            <v>4</v>
          </cell>
          <cell r="I1149">
            <v>0</v>
          </cell>
          <cell r="J1149">
            <v>0</v>
          </cell>
          <cell r="K1149">
            <v>0</v>
          </cell>
          <cell r="L1149">
            <v>35818</v>
          </cell>
          <cell r="M1149">
            <v>0</v>
          </cell>
          <cell r="N1149">
            <v>35818</v>
          </cell>
          <cell r="O1149" t="str">
            <v>Проц-ные доходы по просроченным ссудам. предост. физ лицам</v>
          </cell>
        </row>
        <row r="1150">
          <cell r="A1150">
            <v>9</v>
          </cell>
          <cell r="B1150">
            <v>214</v>
          </cell>
          <cell r="C1150">
            <v>8104</v>
          </cell>
          <cell r="D1150">
            <v>960.12</v>
          </cell>
          <cell r="E1150">
            <v>24</v>
          </cell>
          <cell r="F1150">
            <v>42005</v>
          </cell>
          <cell r="H1150">
            <v>4</v>
          </cell>
          <cell r="I1150">
            <v>0</v>
          </cell>
          <cell r="J1150">
            <v>0</v>
          </cell>
          <cell r="K1150">
            <v>0</v>
          </cell>
          <cell r="L1150">
            <v>45750</v>
          </cell>
          <cell r="M1150">
            <v>0</v>
          </cell>
          <cell r="N1150">
            <v>45750</v>
          </cell>
          <cell r="O1150" t="str">
            <v>Процентные доходы по просроченным ссудам. предоставленным ча</v>
          </cell>
        </row>
        <row r="1151">
          <cell r="A1151">
            <v>9</v>
          </cell>
          <cell r="B1151">
            <v>214</v>
          </cell>
          <cell r="C1151">
            <v>8137</v>
          </cell>
          <cell r="D1151">
            <v>960.12</v>
          </cell>
          <cell r="E1151">
            <v>24</v>
          </cell>
          <cell r="F1151">
            <v>42005</v>
          </cell>
          <cell r="H1151">
            <v>4</v>
          </cell>
          <cell r="I1151">
            <v>0</v>
          </cell>
          <cell r="J1151">
            <v>0</v>
          </cell>
          <cell r="K1151">
            <v>0</v>
          </cell>
          <cell r="L1151">
            <v>31000</v>
          </cell>
          <cell r="M1151">
            <v>0</v>
          </cell>
          <cell r="N1151">
            <v>31000</v>
          </cell>
          <cell r="O1151" t="str">
            <v>Процентные доходы по долгосрочным ссудам. предоставленным ча</v>
          </cell>
        </row>
        <row r="1152">
          <cell r="A1152">
            <v>9</v>
          </cell>
          <cell r="B1152">
            <v>214</v>
          </cell>
          <cell r="C1152">
            <v>8659</v>
          </cell>
          <cell r="D1152">
            <v>960.12</v>
          </cell>
          <cell r="E1152">
            <v>24</v>
          </cell>
          <cell r="F1152">
            <v>42005</v>
          </cell>
          <cell r="H1152">
            <v>4</v>
          </cell>
          <cell r="I1152">
            <v>0</v>
          </cell>
          <cell r="J1152">
            <v>0</v>
          </cell>
          <cell r="K1152">
            <v>0</v>
          </cell>
          <cell r="L1152">
            <v>155100</v>
          </cell>
          <cell r="M1152">
            <v>0</v>
          </cell>
          <cell r="N1152">
            <v>155100</v>
          </cell>
          <cell r="O1152" t="str">
            <v>Процентные доходы по долгосрочным ссудам. предоставленным ча</v>
          </cell>
        </row>
        <row r="1153">
          <cell r="A1153">
            <v>9</v>
          </cell>
          <cell r="B1153">
            <v>214</v>
          </cell>
          <cell r="C1153">
            <v>3563</v>
          </cell>
          <cell r="D1153">
            <v>960.19</v>
          </cell>
          <cell r="E1153">
            <v>24</v>
          </cell>
          <cell r="F1153">
            <v>44301</v>
          </cell>
          <cell r="H1153">
            <v>4</v>
          </cell>
          <cell r="I1153">
            <v>0</v>
          </cell>
          <cell r="J1153">
            <v>0</v>
          </cell>
          <cell r="K1153">
            <v>0</v>
          </cell>
          <cell r="L1153">
            <v>216839.14</v>
          </cell>
          <cell r="M1153">
            <v>0</v>
          </cell>
          <cell r="N1153">
            <v>216839.14</v>
          </cell>
          <cell r="O1153" t="str">
            <v>Процентные доходы по долгосрочным ссудам. предоставленным ча</v>
          </cell>
        </row>
        <row r="1154">
          <cell r="A1154">
            <v>9</v>
          </cell>
          <cell r="B1154">
            <v>214</v>
          </cell>
          <cell r="C1154">
            <v>5996</v>
          </cell>
          <cell r="D1154">
            <v>960.19</v>
          </cell>
          <cell r="E1154">
            <v>24</v>
          </cell>
          <cell r="F1154">
            <v>44301</v>
          </cell>
          <cell r="H1154">
            <v>4</v>
          </cell>
          <cell r="I1154">
            <v>0</v>
          </cell>
          <cell r="J1154">
            <v>0</v>
          </cell>
          <cell r="K1154">
            <v>0</v>
          </cell>
          <cell r="L1154">
            <v>63784</v>
          </cell>
          <cell r="M1154">
            <v>0</v>
          </cell>
          <cell r="N1154">
            <v>63784</v>
          </cell>
          <cell r="O1154" t="str">
            <v>Процентные доходы по долгосрочным ссудам. предоставленным ча</v>
          </cell>
        </row>
        <row r="1155">
          <cell r="A1155">
            <v>9</v>
          </cell>
          <cell r="B1155">
            <v>214</v>
          </cell>
          <cell r="C1155">
            <v>7783</v>
          </cell>
          <cell r="D1155">
            <v>960.19</v>
          </cell>
          <cell r="E1155">
            <v>24</v>
          </cell>
          <cell r="F1155">
            <v>44301</v>
          </cell>
          <cell r="H1155">
            <v>4</v>
          </cell>
          <cell r="I1155">
            <v>0</v>
          </cell>
          <cell r="J1155">
            <v>0</v>
          </cell>
          <cell r="K1155">
            <v>0</v>
          </cell>
          <cell r="L1155">
            <v>189274.14</v>
          </cell>
          <cell r="M1155">
            <v>0</v>
          </cell>
          <cell r="N1155">
            <v>189274.14</v>
          </cell>
          <cell r="O1155" t="str">
            <v>Процентные доходы по долгосрочным ссудам. предоставленным ча</v>
          </cell>
        </row>
        <row r="1156">
          <cell r="A1156">
            <v>9</v>
          </cell>
          <cell r="B1156">
            <v>214</v>
          </cell>
          <cell r="C1156">
            <v>7845</v>
          </cell>
          <cell r="D1156">
            <v>960.19</v>
          </cell>
          <cell r="E1156">
            <v>24</v>
          </cell>
          <cell r="F1156">
            <v>44301</v>
          </cell>
          <cell r="H1156">
            <v>4</v>
          </cell>
          <cell r="I1156">
            <v>0</v>
          </cell>
          <cell r="J1156">
            <v>0</v>
          </cell>
          <cell r="K1156">
            <v>0</v>
          </cell>
          <cell r="L1156">
            <v>210149.46</v>
          </cell>
          <cell r="M1156">
            <v>0</v>
          </cell>
          <cell r="N1156">
            <v>210149.46</v>
          </cell>
          <cell r="O1156" t="str">
            <v>Процентные доходы по долгосрочным ссудам. предоставленным ча</v>
          </cell>
        </row>
        <row r="1157">
          <cell r="A1157">
            <v>9</v>
          </cell>
          <cell r="B1157">
            <v>214</v>
          </cell>
          <cell r="C1157">
            <v>7948</v>
          </cell>
          <cell r="D1157">
            <v>960.19</v>
          </cell>
          <cell r="E1157">
            <v>24</v>
          </cell>
          <cell r="F1157">
            <v>44301</v>
          </cell>
          <cell r="H1157">
            <v>4</v>
          </cell>
          <cell r="I1157">
            <v>0</v>
          </cell>
          <cell r="J1157">
            <v>0</v>
          </cell>
          <cell r="K1157">
            <v>0</v>
          </cell>
          <cell r="L1157">
            <v>57046</v>
          </cell>
          <cell r="M1157">
            <v>0</v>
          </cell>
          <cell r="N1157">
            <v>57046</v>
          </cell>
          <cell r="O1157" t="str">
            <v>Процентные доходы по долгосрочным ссудам. предоставленным ча</v>
          </cell>
        </row>
        <row r="1158">
          <cell r="A1158">
            <v>9</v>
          </cell>
          <cell r="B1158">
            <v>214</v>
          </cell>
          <cell r="C1158">
            <v>8002</v>
          </cell>
          <cell r="D1158">
            <v>960.19</v>
          </cell>
          <cell r="E1158">
            <v>24</v>
          </cell>
          <cell r="F1158">
            <v>44301</v>
          </cell>
          <cell r="H1158">
            <v>4</v>
          </cell>
          <cell r="I1158">
            <v>0</v>
          </cell>
          <cell r="J1158">
            <v>0</v>
          </cell>
          <cell r="K1158">
            <v>0</v>
          </cell>
          <cell r="L1158">
            <v>55983</v>
          </cell>
          <cell r="M1158">
            <v>0</v>
          </cell>
          <cell r="N1158">
            <v>55983</v>
          </cell>
          <cell r="O1158" t="str">
            <v>Процентные доходы по долгосрочным ссудам. предоставленным ча</v>
          </cell>
        </row>
        <row r="1159">
          <cell r="A1159">
            <v>9</v>
          </cell>
          <cell r="B1159">
            <v>214</v>
          </cell>
          <cell r="C1159">
            <v>8104</v>
          </cell>
          <cell r="D1159">
            <v>960.19</v>
          </cell>
          <cell r="E1159">
            <v>24</v>
          </cell>
          <cell r="F1159">
            <v>44301</v>
          </cell>
          <cell r="H1159">
            <v>4</v>
          </cell>
          <cell r="I1159">
            <v>0</v>
          </cell>
          <cell r="J1159">
            <v>0</v>
          </cell>
          <cell r="K1159">
            <v>0</v>
          </cell>
          <cell r="L1159">
            <v>48332.5</v>
          </cell>
          <cell r="M1159">
            <v>0</v>
          </cell>
          <cell r="N1159">
            <v>48332.5</v>
          </cell>
          <cell r="O1159" t="str">
            <v>Процентные доходы по долгосрочным ссудам. предоставленным ча</v>
          </cell>
        </row>
        <row r="1160">
          <cell r="A1160">
            <v>9</v>
          </cell>
          <cell r="B1160">
            <v>214</v>
          </cell>
          <cell r="C1160">
            <v>8137</v>
          </cell>
          <cell r="D1160">
            <v>960.19</v>
          </cell>
          <cell r="E1160">
            <v>24</v>
          </cell>
          <cell r="F1160">
            <v>44301</v>
          </cell>
          <cell r="H1160">
            <v>4</v>
          </cell>
          <cell r="I1160">
            <v>0</v>
          </cell>
          <cell r="J1160">
            <v>0</v>
          </cell>
          <cell r="K1160">
            <v>0</v>
          </cell>
          <cell r="L1160">
            <v>79637.600000000006</v>
          </cell>
          <cell r="M1160">
            <v>0</v>
          </cell>
          <cell r="N1160">
            <v>79637.600000000006</v>
          </cell>
          <cell r="O1160" t="str">
            <v>Процентные доходы по долгосрочным ссудам. предоставленным ча</v>
          </cell>
        </row>
        <row r="1161">
          <cell r="A1161">
            <v>9</v>
          </cell>
          <cell r="B1161">
            <v>214</v>
          </cell>
          <cell r="C1161">
            <v>8298</v>
          </cell>
          <cell r="D1161">
            <v>960.19</v>
          </cell>
          <cell r="E1161">
            <v>24</v>
          </cell>
          <cell r="F1161">
            <v>44301</v>
          </cell>
          <cell r="H1161">
            <v>4</v>
          </cell>
          <cell r="I1161">
            <v>0</v>
          </cell>
          <cell r="J1161">
            <v>0</v>
          </cell>
          <cell r="K1161">
            <v>0</v>
          </cell>
          <cell r="L1161">
            <v>82898</v>
          </cell>
          <cell r="M1161">
            <v>0</v>
          </cell>
          <cell r="N1161">
            <v>82898</v>
          </cell>
          <cell r="O1161" t="str">
            <v>Процентные доходы по долгосрочным ссудам. предоставленным ча</v>
          </cell>
        </row>
        <row r="1162">
          <cell r="A1162">
            <v>9</v>
          </cell>
          <cell r="B1162">
            <v>214</v>
          </cell>
          <cell r="C1162">
            <v>8533</v>
          </cell>
          <cell r="D1162">
            <v>960.19</v>
          </cell>
          <cell r="E1162">
            <v>24</v>
          </cell>
          <cell r="F1162">
            <v>44301</v>
          </cell>
          <cell r="H1162">
            <v>4</v>
          </cell>
          <cell r="I1162">
            <v>0</v>
          </cell>
          <cell r="J1162">
            <v>0</v>
          </cell>
          <cell r="K1162">
            <v>0</v>
          </cell>
          <cell r="L1162">
            <v>31583</v>
          </cell>
          <cell r="M1162">
            <v>0</v>
          </cell>
          <cell r="N1162">
            <v>31583</v>
          </cell>
          <cell r="O1162" t="str">
            <v>Процентные доходы по долгосрочным ссудам. предоставленным ча</v>
          </cell>
        </row>
        <row r="1163">
          <cell r="A1163">
            <v>9</v>
          </cell>
          <cell r="B1163">
            <v>214</v>
          </cell>
          <cell r="C1163">
            <v>8659</v>
          </cell>
          <cell r="D1163">
            <v>960.19</v>
          </cell>
          <cell r="E1163">
            <v>24</v>
          </cell>
          <cell r="F1163">
            <v>44301</v>
          </cell>
          <cell r="H1163">
            <v>4</v>
          </cell>
          <cell r="I1163">
            <v>0</v>
          </cell>
          <cell r="J1163">
            <v>0</v>
          </cell>
          <cell r="K1163">
            <v>0</v>
          </cell>
          <cell r="L1163">
            <v>98593</v>
          </cell>
          <cell r="M1163">
            <v>0</v>
          </cell>
          <cell r="N1163">
            <v>98593</v>
          </cell>
          <cell r="O1163" t="str">
            <v>Процентные доходы по долгосрочным ссудам. предоставленным ча</v>
          </cell>
        </row>
        <row r="1164">
          <cell r="A1164">
            <v>9</v>
          </cell>
          <cell r="B1164">
            <v>214</v>
          </cell>
          <cell r="C1164">
            <v>3563</v>
          </cell>
          <cell r="D1164">
            <v>960.24</v>
          </cell>
          <cell r="E1164">
            <v>24</v>
          </cell>
          <cell r="F1164">
            <v>45209</v>
          </cell>
          <cell r="H1164">
            <v>4</v>
          </cell>
          <cell r="I1164">
            <v>0</v>
          </cell>
          <cell r="J1164">
            <v>0</v>
          </cell>
          <cell r="K1164">
            <v>0</v>
          </cell>
          <cell r="L1164">
            <v>1000</v>
          </cell>
          <cell r="M1164">
            <v>0</v>
          </cell>
          <cell r="N1164">
            <v>1000</v>
          </cell>
          <cell r="O1164" t="str">
            <v>Доходы от комиссии и платы за услуги-Счета купли/продажи цен</v>
          </cell>
        </row>
        <row r="1165">
          <cell r="A1165">
            <v>9</v>
          </cell>
          <cell r="B1165">
            <v>214</v>
          </cell>
          <cell r="C1165">
            <v>3563</v>
          </cell>
          <cell r="D1165">
            <v>960.27</v>
          </cell>
          <cell r="E1165">
            <v>24</v>
          </cell>
          <cell r="F1165">
            <v>45249.01</v>
          </cell>
          <cell r="H1165">
            <v>4</v>
          </cell>
          <cell r="I1165">
            <v>0</v>
          </cell>
          <cell r="J1165">
            <v>0</v>
          </cell>
          <cell r="K1165">
            <v>0</v>
          </cell>
          <cell r="L1165">
            <v>1536103.29</v>
          </cell>
          <cell r="M1165">
            <v>0</v>
          </cell>
          <cell r="N1165">
            <v>1536103.29</v>
          </cell>
          <cell r="O1165" t="str">
            <v>Комиссионные и местные платежи от населения</v>
          </cell>
        </row>
        <row r="1166">
          <cell r="A1166">
            <v>9</v>
          </cell>
          <cell r="B1166">
            <v>214</v>
          </cell>
          <cell r="C1166">
            <v>7783</v>
          </cell>
          <cell r="D1166">
            <v>960.27</v>
          </cell>
          <cell r="E1166">
            <v>24</v>
          </cell>
          <cell r="F1166">
            <v>45249.01</v>
          </cell>
          <cell r="H1166">
            <v>4</v>
          </cell>
          <cell r="I1166">
            <v>0</v>
          </cell>
          <cell r="J1166">
            <v>0</v>
          </cell>
          <cell r="K1166">
            <v>0</v>
          </cell>
          <cell r="L1166">
            <v>591291.89</v>
          </cell>
          <cell r="M1166">
            <v>0</v>
          </cell>
          <cell r="N1166">
            <v>591291.89</v>
          </cell>
          <cell r="O1166" t="str">
            <v>Комиссионные и местные платежи от населения</v>
          </cell>
        </row>
        <row r="1167">
          <cell r="A1167">
            <v>9</v>
          </cell>
          <cell r="B1167">
            <v>214</v>
          </cell>
          <cell r="C1167">
            <v>7845</v>
          </cell>
          <cell r="D1167">
            <v>960.27</v>
          </cell>
          <cell r="E1167">
            <v>24</v>
          </cell>
          <cell r="F1167">
            <v>45249.01</v>
          </cell>
          <cell r="H1167">
            <v>4</v>
          </cell>
          <cell r="I1167">
            <v>0</v>
          </cell>
          <cell r="J1167">
            <v>0</v>
          </cell>
          <cell r="K1167">
            <v>0</v>
          </cell>
          <cell r="L1167">
            <v>95077.36</v>
          </cell>
          <cell r="M1167">
            <v>0</v>
          </cell>
          <cell r="N1167">
            <v>95077.36</v>
          </cell>
          <cell r="O1167" t="str">
            <v>Комиссионные и местные платежи от населения</v>
          </cell>
        </row>
        <row r="1168">
          <cell r="A1168">
            <v>9</v>
          </cell>
          <cell r="B1168">
            <v>214</v>
          </cell>
          <cell r="C1168">
            <v>7948</v>
          </cell>
          <cell r="D1168">
            <v>960.27</v>
          </cell>
          <cell r="E1168">
            <v>24</v>
          </cell>
          <cell r="F1168">
            <v>45249.01</v>
          </cell>
          <cell r="H1168">
            <v>4</v>
          </cell>
          <cell r="I1168">
            <v>0</v>
          </cell>
          <cell r="J1168">
            <v>0</v>
          </cell>
          <cell r="K1168">
            <v>0</v>
          </cell>
          <cell r="L1168">
            <v>189352.97</v>
          </cell>
          <cell r="M1168">
            <v>0</v>
          </cell>
          <cell r="N1168">
            <v>189352.97</v>
          </cell>
          <cell r="O1168" t="str">
            <v>Комиссионные и местные платежи от населения</v>
          </cell>
        </row>
        <row r="1169">
          <cell r="A1169">
            <v>9</v>
          </cell>
          <cell r="B1169">
            <v>214</v>
          </cell>
          <cell r="C1169">
            <v>8298</v>
          </cell>
          <cell r="D1169">
            <v>960.27</v>
          </cell>
          <cell r="E1169">
            <v>24</v>
          </cell>
          <cell r="F1169">
            <v>45249.01</v>
          </cell>
          <cell r="H1169">
            <v>4</v>
          </cell>
          <cell r="I1169">
            <v>0</v>
          </cell>
          <cell r="J1169">
            <v>0</v>
          </cell>
          <cell r="K1169">
            <v>0</v>
          </cell>
          <cell r="L1169">
            <v>353022.43</v>
          </cell>
          <cell r="M1169">
            <v>0</v>
          </cell>
          <cell r="N1169">
            <v>353022.43</v>
          </cell>
          <cell r="O1169" t="str">
            <v>Комиссионные и местные платежи от населения</v>
          </cell>
        </row>
        <row r="1170">
          <cell r="A1170">
            <v>9</v>
          </cell>
          <cell r="B1170">
            <v>214</v>
          </cell>
          <cell r="C1170">
            <v>8533</v>
          </cell>
          <cell r="D1170">
            <v>960.27</v>
          </cell>
          <cell r="E1170">
            <v>24</v>
          </cell>
          <cell r="F1170">
            <v>45249.01</v>
          </cell>
          <cell r="H1170">
            <v>4</v>
          </cell>
          <cell r="I1170">
            <v>0</v>
          </cell>
          <cell r="J1170">
            <v>0</v>
          </cell>
          <cell r="K1170">
            <v>0</v>
          </cell>
          <cell r="L1170">
            <v>522872</v>
          </cell>
          <cell r="M1170">
            <v>0</v>
          </cell>
          <cell r="N1170">
            <v>522872</v>
          </cell>
          <cell r="O1170" t="str">
            <v>Комиссионные и местные платежи от населения</v>
          </cell>
        </row>
        <row r="1171">
          <cell r="A1171">
            <v>9</v>
          </cell>
          <cell r="B1171">
            <v>214</v>
          </cell>
          <cell r="C1171">
            <v>8659</v>
          </cell>
          <cell r="D1171">
            <v>960.27</v>
          </cell>
          <cell r="E1171">
            <v>24</v>
          </cell>
          <cell r="F1171">
            <v>45249.01</v>
          </cell>
          <cell r="H1171">
            <v>4</v>
          </cell>
          <cell r="I1171">
            <v>0</v>
          </cell>
          <cell r="J1171">
            <v>0</v>
          </cell>
          <cell r="K1171">
            <v>0</v>
          </cell>
          <cell r="L1171">
            <v>163327</v>
          </cell>
          <cell r="M1171">
            <v>0</v>
          </cell>
          <cell r="N1171">
            <v>163327</v>
          </cell>
          <cell r="O1171" t="str">
            <v>Комиссионные и местные платежи от населения</v>
          </cell>
        </row>
        <row r="1172">
          <cell r="A1172">
            <v>9</v>
          </cell>
          <cell r="B1172">
            <v>214</v>
          </cell>
          <cell r="C1172">
            <v>5996</v>
          </cell>
          <cell r="D1172">
            <v>960.29</v>
          </cell>
          <cell r="E1172">
            <v>24</v>
          </cell>
          <cell r="F1172">
            <v>45257</v>
          </cell>
          <cell r="H1172">
            <v>4</v>
          </cell>
          <cell r="I1172">
            <v>0</v>
          </cell>
          <cell r="J1172">
            <v>0</v>
          </cell>
          <cell r="K1172">
            <v>0</v>
          </cell>
          <cell r="L1172">
            <v>822762.08</v>
          </cell>
          <cell r="M1172">
            <v>0</v>
          </cell>
          <cell r="N1172">
            <v>822762.08</v>
          </cell>
          <cell r="O1172" t="str">
            <v>Комиссионные доход и доход от услуг по инкассовым операциям</v>
          </cell>
        </row>
        <row r="1173">
          <cell r="A1173">
            <v>9</v>
          </cell>
          <cell r="B1173">
            <v>214</v>
          </cell>
          <cell r="C1173">
            <v>7845</v>
          </cell>
          <cell r="D1173">
            <v>960.29</v>
          </cell>
          <cell r="E1173">
            <v>24</v>
          </cell>
          <cell r="F1173">
            <v>45257</v>
          </cell>
          <cell r="H1173">
            <v>4</v>
          </cell>
          <cell r="I1173">
            <v>0</v>
          </cell>
          <cell r="J1173">
            <v>0</v>
          </cell>
          <cell r="K1173">
            <v>0</v>
          </cell>
          <cell r="L1173">
            <v>143896.99</v>
          </cell>
          <cell r="M1173">
            <v>0</v>
          </cell>
          <cell r="N1173">
            <v>143896.99</v>
          </cell>
          <cell r="O1173" t="str">
            <v>Комиссионные доход и доход от услуг по инкассовым операциям</v>
          </cell>
        </row>
        <row r="1174">
          <cell r="A1174">
            <v>9</v>
          </cell>
          <cell r="B1174">
            <v>214</v>
          </cell>
          <cell r="C1174">
            <v>8002</v>
          </cell>
          <cell r="D1174">
            <v>960.29</v>
          </cell>
          <cell r="E1174">
            <v>24</v>
          </cell>
          <cell r="F1174">
            <v>45257</v>
          </cell>
          <cell r="H1174">
            <v>4</v>
          </cell>
          <cell r="I1174">
            <v>0</v>
          </cell>
          <cell r="J1174">
            <v>0</v>
          </cell>
          <cell r="K1174">
            <v>0</v>
          </cell>
          <cell r="L1174">
            <v>222745</v>
          </cell>
          <cell r="M1174">
            <v>0</v>
          </cell>
          <cell r="N1174">
            <v>222745</v>
          </cell>
          <cell r="O1174" t="str">
            <v>Комиссионные доход и доход от услуг по инкассовым операциям</v>
          </cell>
        </row>
        <row r="1175">
          <cell r="A1175">
            <v>9</v>
          </cell>
          <cell r="B1175">
            <v>214</v>
          </cell>
          <cell r="C1175">
            <v>8104</v>
          </cell>
          <cell r="D1175">
            <v>960.29</v>
          </cell>
          <cell r="E1175">
            <v>24</v>
          </cell>
          <cell r="F1175">
            <v>45257</v>
          </cell>
          <cell r="H1175">
            <v>4</v>
          </cell>
          <cell r="I1175">
            <v>0</v>
          </cell>
          <cell r="J1175">
            <v>0</v>
          </cell>
          <cell r="K1175">
            <v>0</v>
          </cell>
          <cell r="L1175">
            <v>60620</v>
          </cell>
          <cell r="M1175">
            <v>0</v>
          </cell>
          <cell r="N1175">
            <v>60620</v>
          </cell>
          <cell r="O1175" t="str">
            <v>Комиссионные доход и доход от услуг по инкассовым операциям</v>
          </cell>
        </row>
        <row r="1176">
          <cell r="A1176">
            <v>9</v>
          </cell>
          <cell r="B1176">
            <v>214</v>
          </cell>
          <cell r="C1176">
            <v>8533</v>
          </cell>
          <cell r="D1176">
            <v>960.29</v>
          </cell>
          <cell r="E1176">
            <v>24</v>
          </cell>
          <cell r="F1176">
            <v>45257</v>
          </cell>
          <cell r="H1176">
            <v>4</v>
          </cell>
          <cell r="I1176">
            <v>0</v>
          </cell>
          <cell r="J1176">
            <v>0</v>
          </cell>
          <cell r="K1176">
            <v>0</v>
          </cell>
          <cell r="L1176">
            <v>53396.94</v>
          </cell>
          <cell r="M1176">
            <v>0</v>
          </cell>
          <cell r="N1176">
            <v>53396.94</v>
          </cell>
          <cell r="O1176" t="str">
            <v>Комиссионные доход и доход от услуг по инкассовым операциям</v>
          </cell>
        </row>
        <row r="1177">
          <cell r="A1177">
            <v>9</v>
          </cell>
          <cell r="B1177">
            <v>214</v>
          </cell>
          <cell r="C1177">
            <v>8659</v>
          </cell>
          <cell r="D1177">
            <v>960.29</v>
          </cell>
          <cell r="E1177">
            <v>24</v>
          </cell>
          <cell r="F1177">
            <v>45257</v>
          </cell>
          <cell r="H1177">
            <v>4</v>
          </cell>
          <cell r="I1177">
            <v>0</v>
          </cell>
          <cell r="J1177">
            <v>0</v>
          </cell>
          <cell r="K1177">
            <v>0</v>
          </cell>
          <cell r="L1177">
            <v>60278.5</v>
          </cell>
          <cell r="M1177">
            <v>0</v>
          </cell>
          <cell r="N1177">
            <v>60278.5</v>
          </cell>
          <cell r="O1177" t="str">
            <v>Комиссионные доход и доход от услуг по инкассовым операциям</v>
          </cell>
        </row>
        <row r="1178">
          <cell r="A1178">
            <v>9</v>
          </cell>
          <cell r="B1178">
            <v>214</v>
          </cell>
          <cell r="C1178">
            <v>3563</v>
          </cell>
          <cell r="D1178">
            <v>960.3</v>
          </cell>
          <cell r="E1178">
            <v>24</v>
          </cell>
          <cell r="F1178">
            <v>45294.01</v>
          </cell>
          <cell r="H1178">
            <v>4</v>
          </cell>
          <cell r="I1178">
            <v>0</v>
          </cell>
          <cell r="J1178">
            <v>0</v>
          </cell>
          <cell r="K1178">
            <v>0</v>
          </cell>
          <cell r="L1178">
            <v>2310164</v>
          </cell>
          <cell r="M1178">
            <v>0</v>
          </cell>
          <cell r="N1178">
            <v>2310164</v>
          </cell>
          <cell r="O1178" t="str">
            <v>Другие доходы от комиссии и услуг- от продаже лотерейным бил</v>
          </cell>
        </row>
        <row r="1179">
          <cell r="A1179">
            <v>9</v>
          </cell>
          <cell r="B1179">
            <v>214</v>
          </cell>
          <cell r="C1179">
            <v>5996</v>
          </cell>
          <cell r="D1179">
            <v>960.3</v>
          </cell>
          <cell r="E1179">
            <v>24</v>
          </cell>
          <cell r="F1179">
            <v>45294.01</v>
          </cell>
          <cell r="H1179">
            <v>4</v>
          </cell>
          <cell r="I1179">
            <v>0</v>
          </cell>
          <cell r="J1179">
            <v>0</v>
          </cell>
          <cell r="K1179">
            <v>0</v>
          </cell>
          <cell r="L1179">
            <v>2110741</v>
          </cell>
          <cell r="M1179">
            <v>0</v>
          </cell>
          <cell r="N1179">
            <v>2110741</v>
          </cell>
          <cell r="O1179" t="str">
            <v>Другие доходы от комиссии и услуг- от продаже лотерейным бил</v>
          </cell>
        </row>
        <row r="1180">
          <cell r="A1180">
            <v>9</v>
          </cell>
          <cell r="B1180">
            <v>214</v>
          </cell>
          <cell r="C1180">
            <v>7783</v>
          </cell>
          <cell r="D1180">
            <v>960.3</v>
          </cell>
          <cell r="E1180">
            <v>24</v>
          </cell>
          <cell r="F1180">
            <v>45294.01</v>
          </cell>
          <cell r="H1180">
            <v>4</v>
          </cell>
          <cell r="I1180">
            <v>0</v>
          </cell>
          <cell r="J1180">
            <v>0</v>
          </cell>
          <cell r="K1180">
            <v>0</v>
          </cell>
          <cell r="L1180">
            <v>1864969</v>
          </cell>
          <cell r="M1180">
            <v>0</v>
          </cell>
          <cell r="N1180">
            <v>1864969</v>
          </cell>
          <cell r="O1180" t="str">
            <v>Другие доходы от комиссии и услуг- от продаже лотерейным бил</v>
          </cell>
        </row>
        <row r="1181">
          <cell r="A1181">
            <v>9</v>
          </cell>
          <cell r="B1181">
            <v>214</v>
          </cell>
          <cell r="C1181">
            <v>7845</v>
          </cell>
          <cell r="D1181">
            <v>960.3</v>
          </cell>
          <cell r="E1181">
            <v>24</v>
          </cell>
          <cell r="F1181">
            <v>45294.01</v>
          </cell>
          <cell r="H1181">
            <v>4</v>
          </cell>
          <cell r="I1181">
            <v>0</v>
          </cell>
          <cell r="J1181">
            <v>0</v>
          </cell>
          <cell r="K1181">
            <v>0</v>
          </cell>
          <cell r="L1181">
            <v>2627415</v>
          </cell>
          <cell r="M1181">
            <v>0</v>
          </cell>
          <cell r="N1181">
            <v>2627415</v>
          </cell>
          <cell r="O1181" t="str">
            <v>Другие доходы от комиссии и услуг- от продаже лотерейным бил</v>
          </cell>
        </row>
        <row r="1182">
          <cell r="A1182">
            <v>9</v>
          </cell>
          <cell r="B1182">
            <v>214</v>
          </cell>
          <cell r="C1182">
            <v>7948</v>
          </cell>
          <cell r="D1182">
            <v>960.3</v>
          </cell>
          <cell r="E1182">
            <v>24</v>
          </cell>
          <cell r="F1182">
            <v>45294.01</v>
          </cell>
          <cell r="H1182">
            <v>4</v>
          </cell>
          <cell r="I1182">
            <v>0</v>
          </cell>
          <cell r="J1182">
            <v>0</v>
          </cell>
          <cell r="K1182">
            <v>0</v>
          </cell>
          <cell r="L1182">
            <v>2554082</v>
          </cell>
          <cell r="M1182">
            <v>0</v>
          </cell>
          <cell r="N1182">
            <v>2554082</v>
          </cell>
          <cell r="O1182" t="str">
            <v>Другие доходы от комиссии и услуг- от продаже лотерейным бил</v>
          </cell>
        </row>
        <row r="1183">
          <cell r="A1183">
            <v>9</v>
          </cell>
          <cell r="B1183">
            <v>214</v>
          </cell>
          <cell r="C1183">
            <v>8002</v>
          </cell>
          <cell r="D1183">
            <v>960.3</v>
          </cell>
          <cell r="E1183">
            <v>24</v>
          </cell>
          <cell r="F1183">
            <v>45294.01</v>
          </cell>
          <cell r="H1183">
            <v>4</v>
          </cell>
          <cell r="I1183">
            <v>0</v>
          </cell>
          <cell r="J1183">
            <v>0</v>
          </cell>
          <cell r="K1183">
            <v>0</v>
          </cell>
          <cell r="L1183">
            <v>2147566.9</v>
          </cell>
          <cell r="M1183">
            <v>0</v>
          </cell>
          <cell r="N1183">
            <v>2147566.9</v>
          </cell>
          <cell r="O1183" t="str">
            <v>Другие доходы от комиссии и услуг- от продаже лотерейным бил</v>
          </cell>
        </row>
        <row r="1184">
          <cell r="A1184">
            <v>9</v>
          </cell>
          <cell r="B1184">
            <v>214</v>
          </cell>
          <cell r="C1184">
            <v>8104</v>
          </cell>
          <cell r="D1184">
            <v>960.3</v>
          </cell>
          <cell r="E1184">
            <v>24</v>
          </cell>
          <cell r="F1184">
            <v>45294.01</v>
          </cell>
          <cell r="H1184">
            <v>4</v>
          </cell>
          <cell r="I1184">
            <v>0</v>
          </cell>
          <cell r="J1184">
            <v>0</v>
          </cell>
          <cell r="K1184">
            <v>0</v>
          </cell>
          <cell r="L1184">
            <v>2470246</v>
          </cell>
          <cell r="M1184">
            <v>0</v>
          </cell>
          <cell r="N1184">
            <v>2470246</v>
          </cell>
          <cell r="O1184" t="str">
            <v>Другие доходы от комиссии и услуг- от продаже лотерейным бил</v>
          </cell>
        </row>
        <row r="1185">
          <cell r="A1185">
            <v>9</v>
          </cell>
          <cell r="B1185">
            <v>214</v>
          </cell>
          <cell r="C1185">
            <v>8137</v>
          </cell>
          <cell r="D1185">
            <v>960.3</v>
          </cell>
          <cell r="E1185">
            <v>24</v>
          </cell>
          <cell r="F1185">
            <v>45294.01</v>
          </cell>
          <cell r="H1185">
            <v>4</v>
          </cell>
          <cell r="I1185">
            <v>0</v>
          </cell>
          <cell r="J1185">
            <v>0</v>
          </cell>
          <cell r="K1185">
            <v>0</v>
          </cell>
          <cell r="L1185">
            <v>1983014.05</v>
          </cell>
          <cell r="M1185">
            <v>0</v>
          </cell>
          <cell r="N1185">
            <v>1983014.05</v>
          </cell>
          <cell r="O1185" t="str">
            <v>Другие доходы от комиссии и услуг- от продаже лотерейным бил</v>
          </cell>
        </row>
        <row r="1186">
          <cell r="A1186">
            <v>9</v>
          </cell>
          <cell r="B1186">
            <v>214</v>
          </cell>
          <cell r="C1186">
            <v>8298</v>
          </cell>
          <cell r="D1186">
            <v>960.3</v>
          </cell>
          <cell r="E1186">
            <v>24</v>
          </cell>
          <cell r="F1186">
            <v>45294.01</v>
          </cell>
          <cell r="H1186">
            <v>4</v>
          </cell>
          <cell r="I1186">
            <v>0</v>
          </cell>
          <cell r="J1186">
            <v>0</v>
          </cell>
          <cell r="K1186">
            <v>0</v>
          </cell>
          <cell r="L1186">
            <v>2382956</v>
          </cell>
          <cell r="M1186">
            <v>0</v>
          </cell>
          <cell r="N1186">
            <v>2382956</v>
          </cell>
          <cell r="O1186" t="str">
            <v>Другие доходы от комиссии и услуг- от продаже лотерейным бил</v>
          </cell>
        </row>
        <row r="1187">
          <cell r="A1187">
            <v>9</v>
          </cell>
          <cell r="B1187">
            <v>214</v>
          </cell>
          <cell r="C1187">
            <v>8533</v>
          </cell>
          <cell r="D1187">
            <v>960.3</v>
          </cell>
          <cell r="E1187">
            <v>24</v>
          </cell>
          <cell r="F1187">
            <v>45294.01</v>
          </cell>
          <cell r="H1187">
            <v>4</v>
          </cell>
          <cell r="I1187">
            <v>0</v>
          </cell>
          <cell r="J1187">
            <v>0</v>
          </cell>
          <cell r="K1187">
            <v>0</v>
          </cell>
          <cell r="L1187">
            <v>318622.25</v>
          </cell>
          <cell r="M1187">
            <v>0</v>
          </cell>
          <cell r="N1187">
            <v>318622.25</v>
          </cell>
          <cell r="O1187" t="str">
            <v>Другие доходы от комиссии и услуг- от продаже лотерейным бил</v>
          </cell>
        </row>
        <row r="1188">
          <cell r="A1188">
            <v>9</v>
          </cell>
          <cell r="B1188">
            <v>214</v>
          </cell>
          <cell r="C1188">
            <v>8659</v>
          </cell>
          <cell r="D1188">
            <v>960.3</v>
          </cell>
          <cell r="E1188">
            <v>24</v>
          </cell>
          <cell r="F1188">
            <v>45294.01</v>
          </cell>
          <cell r="H1188">
            <v>4</v>
          </cell>
          <cell r="I1188">
            <v>0</v>
          </cell>
          <cell r="J1188">
            <v>0</v>
          </cell>
          <cell r="K1188">
            <v>0</v>
          </cell>
          <cell r="L1188">
            <v>2205794</v>
          </cell>
          <cell r="M1188">
            <v>0</v>
          </cell>
          <cell r="N1188">
            <v>2205794</v>
          </cell>
          <cell r="O1188" t="str">
            <v>Другие доходы от комиссии и услуг- от продаже лотерейным бил</v>
          </cell>
        </row>
        <row r="1189">
          <cell r="A1189">
            <v>9</v>
          </cell>
          <cell r="B1189">
            <v>214</v>
          </cell>
          <cell r="C1189">
            <v>3563</v>
          </cell>
          <cell r="D1189">
            <v>960.31</v>
          </cell>
          <cell r="E1189">
            <v>24</v>
          </cell>
          <cell r="F1189">
            <v>45401</v>
          </cell>
          <cell r="H1189">
            <v>4</v>
          </cell>
          <cell r="I1189">
            <v>0</v>
          </cell>
          <cell r="J1189">
            <v>0</v>
          </cell>
          <cell r="K1189">
            <v>0</v>
          </cell>
          <cell r="L1189">
            <v>3000</v>
          </cell>
          <cell r="M1189">
            <v>0</v>
          </cell>
          <cell r="N1189">
            <v>3000</v>
          </cell>
          <cell r="O1189" t="str">
            <v>Прибыль в инвалюте по сделкам СПОТ</v>
          </cell>
        </row>
        <row r="1190">
          <cell r="A1190">
            <v>9</v>
          </cell>
          <cell r="B1190">
            <v>214</v>
          </cell>
          <cell r="C1190">
            <v>214</v>
          </cell>
          <cell r="D1190">
            <v>960.35</v>
          </cell>
          <cell r="E1190">
            <v>24</v>
          </cell>
          <cell r="F1190">
            <v>45901</v>
          </cell>
          <cell r="H1190">
            <v>4</v>
          </cell>
          <cell r="I1190">
            <v>0</v>
          </cell>
          <cell r="J1190">
            <v>0</v>
          </cell>
          <cell r="K1190">
            <v>0</v>
          </cell>
          <cell r="L1190">
            <v>101939</v>
          </cell>
          <cell r="M1190">
            <v>0</v>
          </cell>
          <cell r="N1190">
            <v>101939</v>
          </cell>
          <cell r="O1190" t="str">
            <v>Доходы от аренды банковских помещений и оборудования</v>
          </cell>
        </row>
        <row r="1191">
          <cell r="A1191">
            <v>9</v>
          </cell>
          <cell r="B1191">
            <v>214</v>
          </cell>
          <cell r="C1191">
            <v>7783</v>
          </cell>
          <cell r="D1191">
            <v>960.35</v>
          </cell>
          <cell r="E1191">
            <v>24</v>
          </cell>
          <cell r="F1191">
            <v>45901</v>
          </cell>
          <cell r="H1191">
            <v>4</v>
          </cell>
          <cell r="I1191">
            <v>0</v>
          </cell>
          <cell r="J1191">
            <v>0</v>
          </cell>
          <cell r="K1191">
            <v>0</v>
          </cell>
          <cell r="L1191">
            <v>15000</v>
          </cell>
          <cell r="M1191">
            <v>0</v>
          </cell>
          <cell r="N1191">
            <v>15000</v>
          </cell>
          <cell r="O1191" t="str">
            <v>Доходы от аренды банковских помещений и оборудования</v>
          </cell>
        </row>
        <row r="1192">
          <cell r="A1192">
            <v>9</v>
          </cell>
          <cell r="B1192">
            <v>214</v>
          </cell>
          <cell r="C1192">
            <v>214</v>
          </cell>
          <cell r="D1192">
            <v>960.36</v>
          </cell>
          <cell r="E1192">
            <v>24</v>
          </cell>
          <cell r="F1192">
            <v>45909</v>
          </cell>
          <cell r="H1192">
            <v>4</v>
          </cell>
          <cell r="I1192">
            <v>0</v>
          </cell>
          <cell r="J1192">
            <v>0</v>
          </cell>
          <cell r="K1192">
            <v>0</v>
          </cell>
          <cell r="L1192">
            <v>309449</v>
          </cell>
          <cell r="M1192">
            <v>0</v>
          </cell>
          <cell r="N1192">
            <v>309449</v>
          </cell>
          <cell r="O1192" t="str">
            <v>Прибыль от продажи или диспозиции банковских помещений, мебе</v>
          </cell>
        </row>
        <row r="1193">
          <cell r="A1193">
            <v>9</v>
          </cell>
          <cell r="B1193">
            <v>214</v>
          </cell>
          <cell r="C1193">
            <v>3563</v>
          </cell>
          <cell r="D1193">
            <v>960.36</v>
          </cell>
          <cell r="E1193">
            <v>24</v>
          </cell>
          <cell r="F1193">
            <v>45909</v>
          </cell>
          <cell r="H1193">
            <v>4</v>
          </cell>
          <cell r="I1193">
            <v>0</v>
          </cell>
          <cell r="J1193">
            <v>0</v>
          </cell>
          <cell r="K1193">
            <v>0</v>
          </cell>
          <cell r="L1193">
            <v>84985</v>
          </cell>
          <cell r="M1193">
            <v>0</v>
          </cell>
          <cell r="N1193">
            <v>84985</v>
          </cell>
          <cell r="O1193" t="str">
            <v>Прибыль от продажи или диспозиции банковских помещений, мебе</v>
          </cell>
        </row>
        <row r="1194">
          <cell r="A1194">
            <v>9</v>
          </cell>
          <cell r="B1194">
            <v>214</v>
          </cell>
          <cell r="C1194">
            <v>5996</v>
          </cell>
          <cell r="D1194">
            <v>960.36</v>
          </cell>
          <cell r="E1194">
            <v>24</v>
          </cell>
          <cell r="F1194">
            <v>45909</v>
          </cell>
          <cell r="H1194">
            <v>4</v>
          </cell>
          <cell r="I1194">
            <v>0</v>
          </cell>
          <cell r="J1194">
            <v>0</v>
          </cell>
          <cell r="K1194">
            <v>0</v>
          </cell>
          <cell r="L1194">
            <v>141025</v>
          </cell>
          <cell r="M1194">
            <v>0</v>
          </cell>
          <cell r="N1194">
            <v>141025</v>
          </cell>
          <cell r="O1194" t="str">
            <v>Прибыль от продажи или диспозиции банковских помещений, мебе</v>
          </cell>
        </row>
        <row r="1195">
          <cell r="A1195">
            <v>9</v>
          </cell>
          <cell r="B1195">
            <v>214</v>
          </cell>
          <cell r="C1195">
            <v>7783</v>
          </cell>
          <cell r="D1195">
            <v>960.36</v>
          </cell>
          <cell r="E1195">
            <v>24</v>
          </cell>
          <cell r="F1195">
            <v>45909</v>
          </cell>
          <cell r="H1195">
            <v>4</v>
          </cell>
          <cell r="I1195">
            <v>0</v>
          </cell>
          <cell r="J1195">
            <v>0</v>
          </cell>
          <cell r="K1195">
            <v>0</v>
          </cell>
          <cell r="L1195">
            <v>79314</v>
          </cell>
          <cell r="M1195">
            <v>0</v>
          </cell>
          <cell r="N1195">
            <v>79314</v>
          </cell>
          <cell r="O1195" t="str">
            <v>Прибыль от продажи или диспозиции банковских помещений, мебе</v>
          </cell>
        </row>
        <row r="1196">
          <cell r="A1196">
            <v>9</v>
          </cell>
          <cell r="B1196">
            <v>214</v>
          </cell>
          <cell r="C1196">
            <v>8104</v>
          </cell>
          <cell r="D1196">
            <v>960.36</v>
          </cell>
          <cell r="E1196">
            <v>24</v>
          </cell>
          <cell r="F1196">
            <v>45909</v>
          </cell>
          <cell r="H1196">
            <v>4</v>
          </cell>
          <cell r="I1196">
            <v>0</v>
          </cell>
          <cell r="J1196">
            <v>0</v>
          </cell>
          <cell r="K1196">
            <v>0</v>
          </cell>
          <cell r="L1196">
            <v>3500</v>
          </cell>
          <cell r="M1196">
            <v>0</v>
          </cell>
          <cell r="N1196">
            <v>3500</v>
          </cell>
          <cell r="O1196" t="str">
            <v>Прибыль от продажи или диспозиции банковских помещений, мебе</v>
          </cell>
        </row>
        <row r="1197">
          <cell r="A1197">
            <v>9</v>
          </cell>
          <cell r="B1197">
            <v>214</v>
          </cell>
          <cell r="C1197">
            <v>8298</v>
          </cell>
          <cell r="D1197">
            <v>960.36</v>
          </cell>
          <cell r="E1197">
            <v>24</v>
          </cell>
          <cell r="F1197">
            <v>45909</v>
          </cell>
          <cell r="H1197">
            <v>4</v>
          </cell>
          <cell r="I1197">
            <v>0</v>
          </cell>
          <cell r="J1197">
            <v>0</v>
          </cell>
          <cell r="K1197">
            <v>0</v>
          </cell>
          <cell r="L1197">
            <v>256190</v>
          </cell>
          <cell r="M1197">
            <v>0</v>
          </cell>
          <cell r="N1197">
            <v>256190</v>
          </cell>
          <cell r="O1197" t="str">
            <v>Прибыль от продажи или диспозиции банковских помещений, мебе</v>
          </cell>
        </row>
        <row r="1198">
          <cell r="A1198">
            <v>9</v>
          </cell>
          <cell r="B1198">
            <v>214</v>
          </cell>
          <cell r="C1198">
            <v>8533</v>
          </cell>
          <cell r="D1198">
            <v>960.36</v>
          </cell>
          <cell r="E1198">
            <v>24</v>
          </cell>
          <cell r="F1198">
            <v>45909</v>
          </cell>
          <cell r="H1198">
            <v>4</v>
          </cell>
          <cell r="I1198">
            <v>0</v>
          </cell>
          <cell r="J1198">
            <v>0</v>
          </cell>
          <cell r="K1198">
            <v>0</v>
          </cell>
          <cell r="L1198">
            <v>127090</v>
          </cell>
          <cell r="M1198">
            <v>0</v>
          </cell>
          <cell r="N1198">
            <v>127090</v>
          </cell>
          <cell r="O1198" t="str">
            <v>Прибыль от продажи или диспозиции банковских помещений, мебе</v>
          </cell>
        </row>
        <row r="1199">
          <cell r="A1199">
            <v>9</v>
          </cell>
          <cell r="B1199">
            <v>214</v>
          </cell>
          <cell r="C1199">
            <v>8659</v>
          </cell>
          <cell r="D1199">
            <v>960.36</v>
          </cell>
          <cell r="E1199">
            <v>24</v>
          </cell>
          <cell r="F1199">
            <v>45909</v>
          </cell>
          <cell r="H1199">
            <v>4</v>
          </cell>
          <cell r="I1199">
            <v>0</v>
          </cell>
          <cell r="J1199">
            <v>0</v>
          </cell>
          <cell r="K1199">
            <v>0</v>
          </cell>
          <cell r="L1199">
            <v>15849.7</v>
          </cell>
          <cell r="M1199">
            <v>0</v>
          </cell>
          <cell r="N1199">
            <v>15849.7</v>
          </cell>
          <cell r="O1199" t="str">
            <v>Прибыль от продажи или диспозиции банковских помещений, мебе</v>
          </cell>
        </row>
        <row r="1200">
          <cell r="A1200">
            <v>9</v>
          </cell>
          <cell r="B1200">
            <v>214</v>
          </cell>
          <cell r="C1200">
            <v>3563</v>
          </cell>
          <cell r="D1200">
            <v>960.37</v>
          </cell>
          <cell r="E1200">
            <v>24</v>
          </cell>
          <cell r="F1200">
            <v>45994</v>
          </cell>
          <cell r="H1200">
            <v>4</v>
          </cell>
          <cell r="I1200">
            <v>0</v>
          </cell>
          <cell r="J1200">
            <v>0</v>
          </cell>
          <cell r="K1200">
            <v>0</v>
          </cell>
          <cell r="L1200">
            <v>60098.84</v>
          </cell>
          <cell r="M1200">
            <v>0</v>
          </cell>
          <cell r="N1200">
            <v>60098.84</v>
          </cell>
          <cell r="O1200" t="str">
            <v>Прочие беспроцентные доходы</v>
          </cell>
        </row>
        <row r="1201">
          <cell r="A1201">
            <v>9</v>
          </cell>
          <cell r="B1201">
            <v>214</v>
          </cell>
          <cell r="C1201">
            <v>5996</v>
          </cell>
          <cell r="D1201">
            <v>960.37</v>
          </cell>
          <cell r="E1201">
            <v>24</v>
          </cell>
          <cell r="F1201">
            <v>45994</v>
          </cell>
          <cell r="H1201">
            <v>4</v>
          </cell>
          <cell r="I1201">
            <v>0</v>
          </cell>
          <cell r="J1201">
            <v>0</v>
          </cell>
          <cell r="K1201">
            <v>0</v>
          </cell>
          <cell r="L1201">
            <v>153499.32</v>
          </cell>
          <cell r="M1201">
            <v>0</v>
          </cell>
          <cell r="N1201">
            <v>153499.32</v>
          </cell>
          <cell r="O1201" t="str">
            <v>Прочие беспроцентные доходы</v>
          </cell>
        </row>
        <row r="1202">
          <cell r="A1202">
            <v>9</v>
          </cell>
          <cell r="B1202">
            <v>214</v>
          </cell>
          <cell r="C1202">
            <v>7783</v>
          </cell>
          <cell r="D1202">
            <v>960.37</v>
          </cell>
          <cell r="E1202">
            <v>24</v>
          </cell>
          <cell r="F1202">
            <v>45994</v>
          </cell>
          <cell r="H1202">
            <v>4</v>
          </cell>
          <cell r="I1202">
            <v>0</v>
          </cell>
          <cell r="J1202">
            <v>0</v>
          </cell>
          <cell r="K1202">
            <v>0</v>
          </cell>
          <cell r="L1202">
            <v>41419.57</v>
          </cell>
          <cell r="M1202">
            <v>0</v>
          </cell>
          <cell r="N1202">
            <v>41419.57</v>
          </cell>
          <cell r="O1202" t="str">
            <v>Прочие беспроцентные доходы</v>
          </cell>
        </row>
        <row r="1203">
          <cell r="A1203">
            <v>9</v>
          </cell>
          <cell r="B1203">
            <v>214</v>
          </cell>
          <cell r="C1203">
            <v>7845</v>
          </cell>
          <cell r="D1203">
            <v>960.37</v>
          </cell>
          <cell r="E1203">
            <v>24</v>
          </cell>
          <cell r="F1203">
            <v>45994</v>
          </cell>
          <cell r="H1203">
            <v>4</v>
          </cell>
          <cell r="I1203">
            <v>0</v>
          </cell>
          <cell r="J1203">
            <v>0</v>
          </cell>
          <cell r="K1203">
            <v>0</v>
          </cell>
          <cell r="L1203">
            <v>15321.3</v>
          </cell>
          <cell r="M1203">
            <v>0</v>
          </cell>
          <cell r="N1203">
            <v>15321.3</v>
          </cell>
          <cell r="O1203" t="str">
            <v>Прочие беспроцентные доходы</v>
          </cell>
        </row>
        <row r="1204">
          <cell r="A1204">
            <v>9</v>
          </cell>
          <cell r="B1204">
            <v>214</v>
          </cell>
          <cell r="C1204">
            <v>7948</v>
          </cell>
          <cell r="D1204">
            <v>960.37</v>
          </cell>
          <cell r="E1204">
            <v>24</v>
          </cell>
          <cell r="F1204">
            <v>45994</v>
          </cell>
          <cell r="H1204">
            <v>4</v>
          </cell>
          <cell r="I1204">
            <v>0</v>
          </cell>
          <cell r="J1204">
            <v>0</v>
          </cell>
          <cell r="K1204">
            <v>0</v>
          </cell>
          <cell r="L1204">
            <v>34284.75</v>
          </cell>
          <cell r="M1204">
            <v>0</v>
          </cell>
          <cell r="N1204">
            <v>34284.75</v>
          </cell>
          <cell r="O1204" t="str">
            <v>Прочие беспроцентные доходы</v>
          </cell>
        </row>
        <row r="1205">
          <cell r="A1205">
            <v>9</v>
          </cell>
          <cell r="B1205">
            <v>214</v>
          </cell>
          <cell r="C1205">
            <v>8104</v>
          </cell>
          <cell r="D1205">
            <v>960.37</v>
          </cell>
          <cell r="E1205">
            <v>24</v>
          </cell>
          <cell r="F1205">
            <v>45994</v>
          </cell>
          <cell r="H1205">
            <v>4</v>
          </cell>
          <cell r="I1205">
            <v>0</v>
          </cell>
          <cell r="J1205">
            <v>0</v>
          </cell>
          <cell r="K1205">
            <v>0</v>
          </cell>
          <cell r="L1205">
            <v>1582</v>
          </cell>
          <cell r="M1205">
            <v>0</v>
          </cell>
          <cell r="N1205">
            <v>1582</v>
          </cell>
          <cell r="O1205" t="str">
            <v>Прочие беспроцентные доходы</v>
          </cell>
        </row>
        <row r="1206">
          <cell r="A1206">
            <v>9</v>
          </cell>
          <cell r="B1206">
            <v>214</v>
          </cell>
          <cell r="C1206">
            <v>8137</v>
          </cell>
          <cell r="D1206">
            <v>960.37</v>
          </cell>
          <cell r="E1206">
            <v>24</v>
          </cell>
          <cell r="F1206">
            <v>45994</v>
          </cell>
          <cell r="H1206">
            <v>4</v>
          </cell>
          <cell r="I1206">
            <v>0</v>
          </cell>
          <cell r="J1206">
            <v>0</v>
          </cell>
          <cell r="K1206">
            <v>0</v>
          </cell>
          <cell r="L1206">
            <v>4242</v>
          </cell>
          <cell r="M1206">
            <v>0</v>
          </cell>
          <cell r="N1206">
            <v>4242</v>
          </cell>
          <cell r="O1206" t="str">
            <v>Прочие беспроцентные доходы</v>
          </cell>
        </row>
        <row r="1207">
          <cell r="A1207">
            <v>9</v>
          </cell>
          <cell r="B1207">
            <v>214</v>
          </cell>
          <cell r="C1207">
            <v>8298</v>
          </cell>
          <cell r="D1207">
            <v>960.37</v>
          </cell>
          <cell r="E1207">
            <v>24</v>
          </cell>
          <cell r="F1207">
            <v>45994</v>
          </cell>
          <cell r="H1207">
            <v>4</v>
          </cell>
          <cell r="I1207">
            <v>0</v>
          </cell>
          <cell r="J1207">
            <v>0</v>
          </cell>
          <cell r="K1207">
            <v>0</v>
          </cell>
          <cell r="L1207">
            <v>1300</v>
          </cell>
          <cell r="M1207">
            <v>0</v>
          </cell>
          <cell r="N1207">
            <v>1300</v>
          </cell>
          <cell r="O1207" t="str">
            <v>Прочие беспроцентные доходы</v>
          </cell>
        </row>
        <row r="1208">
          <cell r="A1208">
            <v>9</v>
          </cell>
          <cell r="B1208">
            <v>214</v>
          </cell>
          <cell r="C1208">
            <v>8659</v>
          </cell>
          <cell r="D1208">
            <v>960.37</v>
          </cell>
          <cell r="E1208">
            <v>24</v>
          </cell>
          <cell r="F1208">
            <v>45994</v>
          </cell>
          <cell r="H1208">
            <v>4</v>
          </cell>
          <cell r="I1208">
            <v>0</v>
          </cell>
          <cell r="J1208">
            <v>0</v>
          </cell>
          <cell r="K1208">
            <v>0</v>
          </cell>
          <cell r="L1208">
            <v>1800</v>
          </cell>
          <cell r="M1208">
            <v>0</v>
          </cell>
          <cell r="N1208">
            <v>1800</v>
          </cell>
          <cell r="O1208" t="str">
            <v>Прочие беспроцентные доходы</v>
          </cell>
        </row>
        <row r="1209">
          <cell r="A1209">
            <v>9</v>
          </cell>
          <cell r="B1209">
            <v>214</v>
          </cell>
          <cell r="C1209">
            <v>7783</v>
          </cell>
          <cell r="D1209">
            <v>960.38</v>
          </cell>
          <cell r="E1209">
            <v>24</v>
          </cell>
          <cell r="F1209">
            <v>45249.02</v>
          </cell>
          <cell r="H1209">
            <v>4</v>
          </cell>
          <cell r="I1209">
            <v>0</v>
          </cell>
          <cell r="J1209">
            <v>0</v>
          </cell>
          <cell r="K1209">
            <v>0</v>
          </cell>
          <cell r="L1209">
            <v>36118.18</v>
          </cell>
          <cell r="M1209">
            <v>0</v>
          </cell>
          <cell r="N1209">
            <v>36118.18</v>
          </cell>
          <cell r="O1209" t="str">
            <v>Комисс-е платежи по р/кассовому обслуживанию юр. лиц и общ-х</v>
          </cell>
        </row>
        <row r="1210">
          <cell r="A1210">
            <v>9</v>
          </cell>
          <cell r="B1210">
            <v>214</v>
          </cell>
          <cell r="C1210">
            <v>7948</v>
          </cell>
          <cell r="D1210">
            <v>960.38</v>
          </cell>
          <cell r="E1210">
            <v>24</v>
          </cell>
          <cell r="F1210">
            <v>45249.02</v>
          </cell>
          <cell r="H1210">
            <v>4</v>
          </cell>
          <cell r="I1210">
            <v>0</v>
          </cell>
          <cell r="J1210">
            <v>0</v>
          </cell>
          <cell r="K1210">
            <v>0</v>
          </cell>
          <cell r="L1210">
            <v>222528.64000000001</v>
          </cell>
          <cell r="M1210">
            <v>0</v>
          </cell>
          <cell r="N1210">
            <v>222528.64000000001</v>
          </cell>
          <cell r="O1210" t="str">
            <v>Комисс-е платежи по р/кассовому обслуживанию юр. лиц и общ-х</v>
          </cell>
        </row>
        <row r="1211">
          <cell r="A1211">
            <v>9</v>
          </cell>
          <cell r="B1211">
            <v>214</v>
          </cell>
          <cell r="C1211">
            <v>8298</v>
          </cell>
          <cell r="D1211">
            <v>960.38</v>
          </cell>
          <cell r="E1211">
            <v>24</v>
          </cell>
          <cell r="F1211">
            <v>45249.02</v>
          </cell>
          <cell r="H1211">
            <v>4</v>
          </cell>
          <cell r="I1211">
            <v>0</v>
          </cell>
          <cell r="J1211">
            <v>0</v>
          </cell>
          <cell r="K1211">
            <v>0</v>
          </cell>
          <cell r="L1211">
            <v>88424.05</v>
          </cell>
          <cell r="M1211">
            <v>0</v>
          </cell>
          <cell r="N1211">
            <v>88424.05</v>
          </cell>
          <cell r="O1211" t="str">
            <v>Комисс-е платежи по р/кассовому обслуживанию юр. лиц и общ-х</v>
          </cell>
        </row>
        <row r="1212">
          <cell r="A1212">
            <v>9</v>
          </cell>
          <cell r="B1212">
            <v>214</v>
          </cell>
          <cell r="C1212">
            <v>8533</v>
          </cell>
          <cell r="D1212">
            <v>960.38</v>
          </cell>
          <cell r="E1212">
            <v>24</v>
          </cell>
          <cell r="F1212">
            <v>45249.02</v>
          </cell>
          <cell r="H1212">
            <v>4</v>
          </cell>
          <cell r="I1212">
            <v>0</v>
          </cell>
          <cell r="J1212">
            <v>0</v>
          </cell>
          <cell r="K1212">
            <v>0</v>
          </cell>
          <cell r="L1212">
            <v>73567</v>
          </cell>
          <cell r="M1212">
            <v>0</v>
          </cell>
          <cell r="N1212">
            <v>73567</v>
          </cell>
          <cell r="O1212" t="str">
            <v>Комисс-е платежи по р/кассовому обслуживанию юр. лиц и общ-х</v>
          </cell>
        </row>
        <row r="1213">
          <cell r="A1213">
            <v>9</v>
          </cell>
          <cell r="B1213">
            <v>214</v>
          </cell>
          <cell r="C1213">
            <v>8659</v>
          </cell>
          <cell r="D1213">
            <v>960.38</v>
          </cell>
          <cell r="E1213">
            <v>24</v>
          </cell>
          <cell r="F1213">
            <v>45249.02</v>
          </cell>
          <cell r="H1213">
            <v>4</v>
          </cell>
          <cell r="I1213">
            <v>0</v>
          </cell>
          <cell r="J1213">
            <v>0</v>
          </cell>
          <cell r="K1213">
            <v>0</v>
          </cell>
          <cell r="L1213">
            <v>12880</v>
          </cell>
          <cell r="M1213">
            <v>0</v>
          </cell>
          <cell r="N1213">
            <v>12880</v>
          </cell>
          <cell r="O1213" t="str">
            <v>Комисс-е платежи по р/кассовому обслуживанию юр. лиц и общ-х</v>
          </cell>
        </row>
        <row r="1214">
          <cell r="A1214">
            <v>9</v>
          </cell>
          <cell r="B1214">
            <v>214</v>
          </cell>
          <cell r="C1214">
            <v>3563</v>
          </cell>
          <cell r="D1214">
            <v>960.39</v>
          </cell>
          <cell r="E1214">
            <v>24</v>
          </cell>
          <cell r="F1214">
            <v>45294.02</v>
          </cell>
          <cell r="H1214">
            <v>4</v>
          </cell>
          <cell r="I1214">
            <v>0</v>
          </cell>
          <cell r="J1214">
            <v>0</v>
          </cell>
          <cell r="K1214">
            <v>0</v>
          </cell>
          <cell r="L1214">
            <v>533026</v>
          </cell>
          <cell r="M1214">
            <v>0</v>
          </cell>
          <cell r="N1214">
            <v>533026</v>
          </cell>
          <cell r="O1214" t="str">
            <v>Комисс.доходы от хозорг. за выдачу з/пл,пенсий,с/х прод. и д</v>
          </cell>
        </row>
        <row r="1215">
          <cell r="A1215">
            <v>9</v>
          </cell>
          <cell r="B1215">
            <v>214</v>
          </cell>
          <cell r="C1215">
            <v>5996</v>
          </cell>
          <cell r="D1215">
            <v>960.39</v>
          </cell>
          <cell r="E1215">
            <v>24</v>
          </cell>
          <cell r="F1215">
            <v>45294.02</v>
          </cell>
          <cell r="H1215">
            <v>4</v>
          </cell>
          <cell r="I1215">
            <v>0</v>
          </cell>
          <cell r="J1215">
            <v>0</v>
          </cell>
          <cell r="K1215">
            <v>0</v>
          </cell>
          <cell r="L1215">
            <v>631088</v>
          </cell>
          <cell r="M1215">
            <v>0</v>
          </cell>
          <cell r="N1215">
            <v>631088</v>
          </cell>
          <cell r="O1215" t="str">
            <v>Комисс.доходы от хозорг. за выдачу з/пл,пенсий,с/х прод. и д</v>
          </cell>
        </row>
        <row r="1216">
          <cell r="A1216">
            <v>9</v>
          </cell>
          <cell r="B1216">
            <v>214</v>
          </cell>
          <cell r="C1216">
            <v>7783</v>
          </cell>
          <cell r="D1216">
            <v>960.39</v>
          </cell>
          <cell r="E1216">
            <v>24</v>
          </cell>
          <cell r="F1216">
            <v>45294.02</v>
          </cell>
          <cell r="H1216">
            <v>4</v>
          </cell>
          <cell r="I1216">
            <v>0</v>
          </cell>
          <cell r="J1216">
            <v>0</v>
          </cell>
          <cell r="K1216">
            <v>0</v>
          </cell>
          <cell r="L1216">
            <v>287809</v>
          </cell>
          <cell r="M1216">
            <v>0</v>
          </cell>
          <cell r="N1216">
            <v>287809</v>
          </cell>
          <cell r="O1216" t="str">
            <v>Комисс.доходы от хозорг. за выдачу з/пл,пенсий,с/х прод. и д</v>
          </cell>
        </row>
        <row r="1217">
          <cell r="A1217">
            <v>9</v>
          </cell>
          <cell r="B1217">
            <v>214</v>
          </cell>
          <cell r="C1217">
            <v>7845</v>
          </cell>
          <cell r="D1217">
            <v>960.39</v>
          </cell>
          <cell r="E1217">
            <v>24</v>
          </cell>
          <cell r="F1217">
            <v>45294.02</v>
          </cell>
          <cell r="H1217">
            <v>4</v>
          </cell>
          <cell r="I1217">
            <v>0</v>
          </cell>
          <cell r="J1217">
            <v>0</v>
          </cell>
          <cell r="K1217">
            <v>0</v>
          </cell>
          <cell r="L1217">
            <v>62169</v>
          </cell>
          <cell r="M1217">
            <v>0</v>
          </cell>
          <cell r="N1217">
            <v>62169</v>
          </cell>
          <cell r="O1217" t="str">
            <v>Комисс.доходы от хозорг. за выдачу з/пл,пенсий,с/х прод. и д</v>
          </cell>
        </row>
        <row r="1218">
          <cell r="A1218">
            <v>9</v>
          </cell>
          <cell r="B1218">
            <v>214</v>
          </cell>
          <cell r="C1218">
            <v>7948</v>
          </cell>
          <cell r="D1218">
            <v>960.39</v>
          </cell>
          <cell r="E1218">
            <v>24</v>
          </cell>
          <cell r="F1218">
            <v>45294.02</v>
          </cell>
          <cell r="H1218">
            <v>4</v>
          </cell>
          <cell r="I1218">
            <v>0</v>
          </cell>
          <cell r="J1218">
            <v>0</v>
          </cell>
          <cell r="K1218">
            <v>0</v>
          </cell>
          <cell r="L1218">
            <v>97722.83</v>
          </cell>
          <cell r="M1218">
            <v>0</v>
          </cell>
          <cell r="N1218">
            <v>97722.83</v>
          </cell>
          <cell r="O1218" t="str">
            <v>Комисс.доходы от хозорг. за выдачу з/пл,пенсий,с/х прод. и д</v>
          </cell>
        </row>
        <row r="1219">
          <cell r="A1219">
            <v>9</v>
          </cell>
          <cell r="B1219">
            <v>214</v>
          </cell>
          <cell r="C1219">
            <v>8002</v>
          </cell>
          <cell r="D1219">
            <v>960.39</v>
          </cell>
          <cell r="E1219">
            <v>24</v>
          </cell>
          <cell r="F1219">
            <v>45294.02</v>
          </cell>
          <cell r="H1219">
            <v>4</v>
          </cell>
          <cell r="I1219">
            <v>0</v>
          </cell>
          <cell r="J1219">
            <v>0</v>
          </cell>
          <cell r="K1219">
            <v>0</v>
          </cell>
          <cell r="L1219">
            <v>91445</v>
          </cell>
          <cell r="M1219">
            <v>0</v>
          </cell>
          <cell r="N1219">
            <v>91445</v>
          </cell>
          <cell r="O1219" t="str">
            <v>Комисс.доходы от хозорг. за выдачу з/пл,пенсий,с/х прод. и д</v>
          </cell>
        </row>
        <row r="1220">
          <cell r="A1220">
            <v>9</v>
          </cell>
          <cell r="B1220">
            <v>214</v>
          </cell>
          <cell r="C1220">
            <v>8104</v>
          </cell>
          <cell r="D1220">
            <v>960.39</v>
          </cell>
          <cell r="E1220">
            <v>24</v>
          </cell>
          <cell r="F1220">
            <v>45294.02</v>
          </cell>
          <cell r="H1220">
            <v>4</v>
          </cell>
          <cell r="I1220">
            <v>0</v>
          </cell>
          <cell r="J1220">
            <v>0</v>
          </cell>
          <cell r="K1220">
            <v>0</v>
          </cell>
          <cell r="L1220">
            <v>63093</v>
          </cell>
          <cell r="M1220">
            <v>0</v>
          </cell>
          <cell r="N1220">
            <v>63093</v>
          </cell>
          <cell r="O1220" t="str">
            <v>Комисс.доходы от хозорг. за выдачу з/пл,пенсий,с/х прод. и д</v>
          </cell>
        </row>
        <row r="1221">
          <cell r="A1221">
            <v>9</v>
          </cell>
          <cell r="B1221">
            <v>214</v>
          </cell>
          <cell r="C1221">
            <v>8137</v>
          </cell>
          <cell r="D1221">
            <v>960.39</v>
          </cell>
          <cell r="E1221">
            <v>24</v>
          </cell>
          <cell r="F1221">
            <v>45294.02</v>
          </cell>
          <cell r="H1221">
            <v>4</v>
          </cell>
          <cell r="I1221">
            <v>0</v>
          </cell>
          <cell r="J1221">
            <v>0</v>
          </cell>
          <cell r="K1221">
            <v>0</v>
          </cell>
          <cell r="L1221">
            <v>424907.5</v>
          </cell>
          <cell r="M1221">
            <v>0</v>
          </cell>
          <cell r="N1221">
            <v>424907.5</v>
          </cell>
          <cell r="O1221" t="str">
            <v>Комисс.доходы от хозорг. за выдачу з/пл,пенсий,с/х прод. и д</v>
          </cell>
        </row>
        <row r="1222">
          <cell r="A1222">
            <v>9</v>
          </cell>
          <cell r="B1222">
            <v>214</v>
          </cell>
          <cell r="C1222">
            <v>8298</v>
          </cell>
          <cell r="D1222">
            <v>960.39</v>
          </cell>
          <cell r="E1222">
            <v>24</v>
          </cell>
          <cell r="F1222">
            <v>45294.02</v>
          </cell>
          <cell r="H1222">
            <v>4</v>
          </cell>
          <cell r="I1222">
            <v>0</v>
          </cell>
          <cell r="J1222">
            <v>0</v>
          </cell>
          <cell r="K1222">
            <v>0</v>
          </cell>
          <cell r="L1222">
            <v>54187</v>
          </cell>
          <cell r="M1222">
            <v>0</v>
          </cell>
          <cell r="N1222">
            <v>54187</v>
          </cell>
          <cell r="O1222" t="str">
            <v>Комисс.доходы от хозорг. за выдачу з/пл,пенсий,с/х прод. и д</v>
          </cell>
        </row>
        <row r="1223">
          <cell r="A1223">
            <v>9</v>
          </cell>
          <cell r="B1223">
            <v>214</v>
          </cell>
          <cell r="C1223">
            <v>8533</v>
          </cell>
          <cell r="D1223">
            <v>960.39</v>
          </cell>
          <cell r="E1223">
            <v>24</v>
          </cell>
          <cell r="F1223">
            <v>45294.02</v>
          </cell>
          <cell r="H1223">
            <v>4</v>
          </cell>
          <cell r="I1223">
            <v>0</v>
          </cell>
          <cell r="J1223">
            <v>0</v>
          </cell>
          <cell r="K1223">
            <v>0</v>
          </cell>
          <cell r="L1223">
            <v>31422</v>
          </cell>
          <cell r="M1223">
            <v>0</v>
          </cell>
          <cell r="N1223">
            <v>31422</v>
          </cell>
          <cell r="O1223" t="str">
            <v>Комисс.доходы от хозорг. за выдачу з/пл,пенсий,с/х прод. и д</v>
          </cell>
        </row>
        <row r="1224">
          <cell r="A1224">
            <v>9</v>
          </cell>
          <cell r="B1224">
            <v>214</v>
          </cell>
          <cell r="C1224">
            <v>8659</v>
          </cell>
          <cell r="D1224">
            <v>960.39</v>
          </cell>
          <cell r="E1224">
            <v>24</v>
          </cell>
          <cell r="F1224">
            <v>45294.02</v>
          </cell>
          <cell r="H1224">
            <v>4</v>
          </cell>
          <cell r="I1224">
            <v>0</v>
          </cell>
          <cell r="J1224">
            <v>0</v>
          </cell>
          <cell r="K1224">
            <v>0</v>
          </cell>
          <cell r="L1224">
            <v>84337</v>
          </cell>
          <cell r="M1224">
            <v>0</v>
          </cell>
          <cell r="N1224">
            <v>84337</v>
          </cell>
          <cell r="O1224" t="str">
            <v>Комисс.доходы от хозорг. за выдачу з/пл,пенсий,с/х прод. и д</v>
          </cell>
        </row>
        <row r="1225">
          <cell r="A1225">
            <v>9</v>
          </cell>
          <cell r="B1225">
            <v>214</v>
          </cell>
          <cell r="C1225">
            <v>3563</v>
          </cell>
          <cell r="D1225">
            <v>960.4</v>
          </cell>
          <cell r="E1225">
            <v>24</v>
          </cell>
          <cell r="F1225">
            <v>45294.03</v>
          </cell>
          <cell r="H1225">
            <v>4</v>
          </cell>
          <cell r="I1225">
            <v>0</v>
          </cell>
          <cell r="J1225">
            <v>0</v>
          </cell>
          <cell r="K1225">
            <v>0</v>
          </cell>
          <cell r="L1225">
            <v>940536.05</v>
          </cell>
          <cell r="M1225">
            <v>0</v>
          </cell>
          <cell r="N1225">
            <v>940536.05</v>
          </cell>
          <cell r="O1225" t="str">
            <v>Комиссионный доход по оказанию услуг населению</v>
          </cell>
        </row>
        <row r="1226">
          <cell r="A1226">
            <v>9</v>
          </cell>
          <cell r="B1226">
            <v>214</v>
          </cell>
          <cell r="C1226">
            <v>5996</v>
          </cell>
          <cell r="D1226">
            <v>960.4</v>
          </cell>
          <cell r="E1226">
            <v>24</v>
          </cell>
          <cell r="F1226">
            <v>45294.03</v>
          </cell>
          <cell r="H1226">
            <v>4</v>
          </cell>
          <cell r="I1226">
            <v>0</v>
          </cell>
          <cell r="J1226">
            <v>0</v>
          </cell>
          <cell r="K1226">
            <v>0</v>
          </cell>
          <cell r="L1226">
            <v>1393630.79</v>
          </cell>
          <cell r="M1226">
            <v>0</v>
          </cell>
          <cell r="N1226">
            <v>1393630.79</v>
          </cell>
          <cell r="O1226" t="str">
            <v>Комиссионный доход по оказанию услуг населению</v>
          </cell>
        </row>
        <row r="1227">
          <cell r="A1227">
            <v>9</v>
          </cell>
          <cell r="B1227">
            <v>214</v>
          </cell>
          <cell r="C1227">
            <v>7783</v>
          </cell>
          <cell r="D1227">
            <v>960.4</v>
          </cell>
          <cell r="E1227">
            <v>24</v>
          </cell>
          <cell r="F1227">
            <v>45294.03</v>
          </cell>
          <cell r="H1227">
            <v>4</v>
          </cell>
          <cell r="I1227">
            <v>0</v>
          </cell>
          <cell r="J1227">
            <v>0</v>
          </cell>
          <cell r="K1227">
            <v>0</v>
          </cell>
          <cell r="L1227">
            <v>805485</v>
          </cell>
          <cell r="M1227">
            <v>0</v>
          </cell>
          <cell r="N1227">
            <v>805485</v>
          </cell>
          <cell r="O1227" t="str">
            <v>Комиссионный доход по оказанию услуг населению</v>
          </cell>
        </row>
        <row r="1228">
          <cell r="A1228">
            <v>9</v>
          </cell>
          <cell r="B1228">
            <v>214</v>
          </cell>
          <cell r="C1228">
            <v>7845</v>
          </cell>
          <cell r="D1228">
            <v>960.4</v>
          </cell>
          <cell r="E1228">
            <v>24</v>
          </cell>
          <cell r="F1228">
            <v>45294.03</v>
          </cell>
          <cell r="H1228">
            <v>4</v>
          </cell>
          <cell r="I1228">
            <v>0</v>
          </cell>
          <cell r="J1228">
            <v>0</v>
          </cell>
          <cell r="K1228">
            <v>0</v>
          </cell>
          <cell r="L1228">
            <v>715537.96</v>
          </cell>
          <cell r="M1228">
            <v>0</v>
          </cell>
          <cell r="N1228">
            <v>715537.96</v>
          </cell>
          <cell r="O1228" t="str">
            <v>Комиссионный доход по оказанию услуг населению</v>
          </cell>
        </row>
        <row r="1229">
          <cell r="A1229">
            <v>9</v>
          </cell>
          <cell r="B1229">
            <v>214</v>
          </cell>
          <cell r="C1229">
            <v>7948</v>
          </cell>
          <cell r="D1229">
            <v>960.4</v>
          </cell>
          <cell r="E1229">
            <v>24</v>
          </cell>
          <cell r="F1229">
            <v>45294.03</v>
          </cell>
          <cell r="H1229">
            <v>4</v>
          </cell>
          <cell r="I1229">
            <v>0</v>
          </cell>
          <cell r="J1229">
            <v>0</v>
          </cell>
          <cell r="K1229">
            <v>0</v>
          </cell>
          <cell r="L1229">
            <v>587516.46</v>
          </cell>
          <cell r="M1229">
            <v>0</v>
          </cell>
          <cell r="N1229">
            <v>587516.46</v>
          </cell>
          <cell r="O1229" t="str">
            <v>Комиссионный доход по оказанию услуг населению</v>
          </cell>
        </row>
        <row r="1230">
          <cell r="A1230">
            <v>9</v>
          </cell>
          <cell r="B1230">
            <v>214</v>
          </cell>
          <cell r="C1230">
            <v>8002</v>
          </cell>
          <cell r="D1230">
            <v>960.4</v>
          </cell>
          <cell r="E1230">
            <v>24</v>
          </cell>
          <cell r="F1230">
            <v>45294.03</v>
          </cell>
          <cell r="H1230">
            <v>4</v>
          </cell>
          <cell r="I1230">
            <v>0</v>
          </cell>
          <cell r="J1230">
            <v>0</v>
          </cell>
          <cell r="K1230">
            <v>0</v>
          </cell>
          <cell r="L1230">
            <v>693939.02</v>
          </cell>
          <cell r="M1230">
            <v>0</v>
          </cell>
          <cell r="N1230">
            <v>693939.02</v>
          </cell>
          <cell r="O1230" t="str">
            <v>Комиссионный доход по оказанию услуг населению</v>
          </cell>
        </row>
        <row r="1231">
          <cell r="A1231">
            <v>9</v>
          </cell>
          <cell r="B1231">
            <v>214</v>
          </cell>
          <cell r="C1231">
            <v>8104</v>
          </cell>
          <cell r="D1231">
            <v>960.4</v>
          </cell>
          <cell r="E1231">
            <v>24</v>
          </cell>
          <cell r="F1231">
            <v>45294.03</v>
          </cell>
          <cell r="H1231">
            <v>4</v>
          </cell>
          <cell r="I1231">
            <v>0</v>
          </cell>
          <cell r="J1231">
            <v>0</v>
          </cell>
          <cell r="K1231">
            <v>0</v>
          </cell>
          <cell r="L1231">
            <v>491701.97</v>
          </cell>
          <cell r="M1231">
            <v>0</v>
          </cell>
          <cell r="N1231">
            <v>491701.97</v>
          </cell>
          <cell r="O1231" t="str">
            <v>Комиссионный доход по оказанию услуг населению</v>
          </cell>
        </row>
        <row r="1232">
          <cell r="A1232">
            <v>9</v>
          </cell>
          <cell r="B1232">
            <v>214</v>
          </cell>
          <cell r="C1232">
            <v>8137</v>
          </cell>
          <cell r="D1232">
            <v>960.4</v>
          </cell>
          <cell r="E1232">
            <v>24</v>
          </cell>
          <cell r="F1232">
            <v>45294.03</v>
          </cell>
          <cell r="H1232">
            <v>4</v>
          </cell>
          <cell r="I1232">
            <v>0</v>
          </cell>
          <cell r="J1232">
            <v>0</v>
          </cell>
          <cell r="K1232">
            <v>0</v>
          </cell>
          <cell r="L1232">
            <v>451912.9</v>
          </cell>
          <cell r="M1232">
            <v>0</v>
          </cell>
          <cell r="N1232">
            <v>451912.9</v>
          </cell>
          <cell r="O1232" t="str">
            <v>Комиссионный доход по оказанию услуг населению</v>
          </cell>
        </row>
        <row r="1233">
          <cell r="A1233">
            <v>9</v>
          </cell>
          <cell r="B1233">
            <v>214</v>
          </cell>
          <cell r="C1233">
            <v>8298</v>
          </cell>
          <cell r="D1233">
            <v>960.4</v>
          </cell>
          <cell r="E1233">
            <v>24</v>
          </cell>
          <cell r="F1233">
            <v>45294.03</v>
          </cell>
          <cell r="H1233">
            <v>4</v>
          </cell>
          <cell r="I1233">
            <v>0</v>
          </cell>
          <cell r="J1233">
            <v>0</v>
          </cell>
          <cell r="K1233">
            <v>0</v>
          </cell>
          <cell r="L1233">
            <v>502779.26</v>
          </cell>
          <cell r="M1233">
            <v>0</v>
          </cell>
          <cell r="N1233">
            <v>502779.26</v>
          </cell>
          <cell r="O1233" t="str">
            <v>Комиссионный доход по оказанию услуг населению</v>
          </cell>
        </row>
        <row r="1234">
          <cell r="A1234">
            <v>9</v>
          </cell>
          <cell r="B1234">
            <v>214</v>
          </cell>
          <cell r="C1234">
            <v>8533</v>
          </cell>
          <cell r="D1234">
            <v>960.4</v>
          </cell>
          <cell r="E1234">
            <v>24</v>
          </cell>
          <cell r="F1234">
            <v>45294.03</v>
          </cell>
          <cell r="H1234">
            <v>4</v>
          </cell>
          <cell r="I1234">
            <v>0</v>
          </cell>
          <cell r="J1234">
            <v>0</v>
          </cell>
          <cell r="K1234">
            <v>0</v>
          </cell>
          <cell r="L1234">
            <v>128531</v>
          </cell>
          <cell r="M1234">
            <v>0</v>
          </cell>
          <cell r="N1234">
            <v>128531</v>
          </cell>
          <cell r="O1234" t="str">
            <v>Комиссионный доход по оказанию услуг населению</v>
          </cell>
        </row>
        <row r="1235">
          <cell r="A1235">
            <v>9</v>
          </cell>
          <cell r="B1235">
            <v>214</v>
          </cell>
          <cell r="C1235">
            <v>8659</v>
          </cell>
          <cell r="D1235">
            <v>960.4</v>
          </cell>
          <cell r="E1235">
            <v>24</v>
          </cell>
          <cell r="F1235">
            <v>45294.03</v>
          </cell>
          <cell r="H1235">
            <v>4</v>
          </cell>
          <cell r="I1235">
            <v>0</v>
          </cell>
          <cell r="J1235">
            <v>0</v>
          </cell>
          <cell r="K1235">
            <v>0</v>
          </cell>
          <cell r="L1235">
            <v>51065.27</v>
          </cell>
          <cell r="M1235">
            <v>0</v>
          </cell>
          <cell r="N1235">
            <v>51065.27</v>
          </cell>
          <cell r="O1235" t="str">
            <v>Комиссионный доход по оказанию услуг населению</v>
          </cell>
        </row>
        <row r="1236">
          <cell r="A1236">
            <v>9</v>
          </cell>
          <cell r="B1236">
            <v>214</v>
          </cell>
          <cell r="C1236">
            <v>214</v>
          </cell>
          <cell r="D1236">
            <v>960.41</v>
          </cell>
          <cell r="E1236">
            <v>24</v>
          </cell>
          <cell r="F1236">
            <v>45994.01</v>
          </cell>
          <cell r="H1236">
            <v>4</v>
          </cell>
          <cell r="I1236">
            <v>0</v>
          </cell>
          <cell r="J1236">
            <v>0</v>
          </cell>
          <cell r="K1236">
            <v>0</v>
          </cell>
          <cell r="L1236">
            <v>11438</v>
          </cell>
          <cell r="M1236">
            <v>0</v>
          </cell>
          <cell r="N1236">
            <v>11438</v>
          </cell>
          <cell r="O1236" t="str">
            <v>Доходы от полученных безвозмездно Осн. Ср-в</v>
          </cell>
        </row>
        <row r="1237">
          <cell r="A1237">
            <v>9</v>
          </cell>
          <cell r="B1237">
            <v>214</v>
          </cell>
          <cell r="C1237">
            <v>8659</v>
          </cell>
          <cell r="D1237">
            <v>960.41</v>
          </cell>
          <cell r="E1237">
            <v>24</v>
          </cell>
          <cell r="F1237">
            <v>45994.01</v>
          </cell>
          <cell r="H1237">
            <v>4</v>
          </cell>
          <cell r="I1237">
            <v>0</v>
          </cell>
          <cell r="J1237">
            <v>0</v>
          </cell>
          <cell r="K1237">
            <v>0</v>
          </cell>
          <cell r="L1237">
            <v>20704</v>
          </cell>
          <cell r="M1237">
            <v>0</v>
          </cell>
          <cell r="N1237">
            <v>20704</v>
          </cell>
          <cell r="O1237" t="str">
            <v>Доходы от полученных безвозмездно Осн. Ср-в</v>
          </cell>
        </row>
        <row r="1238">
          <cell r="A1238">
            <v>9</v>
          </cell>
          <cell r="B1238">
            <v>214</v>
          </cell>
          <cell r="C1238">
            <v>214</v>
          </cell>
          <cell r="D1238">
            <v>960.42</v>
          </cell>
          <cell r="E1238">
            <v>0</v>
          </cell>
          <cell r="F1238">
            <v>45994.02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16147.58</v>
          </cell>
          <cell r="M1238">
            <v>0</v>
          </cell>
          <cell r="N1238">
            <v>16147.58</v>
          </cell>
          <cell r="O1238" t="str">
            <v>Прочие беспроцентные доходы (к хозрасчету)</v>
          </cell>
        </row>
        <row r="1239">
          <cell r="A1239">
            <v>9</v>
          </cell>
          <cell r="B1239">
            <v>214</v>
          </cell>
          <cell r="C1239">
            <v>3563</v>
          </cell>
          <cell r="D1239">
            <v>970.01</v>
          </cell>
          <cell r="E1239">
            <v>24</v>
          </cell>
          <cell r="F1239">
            <v>50106</v>
          </cell>
          <cell r="H1239">
            <v>5</v>
          </cell>
          <cell r="I1239">
            <v>0</v>
          </cell>
          <cell r="J1239">
            <v>0</v>
          </cell>
          <cell r="K1239">
            <v>129617.7</v>
          </cell>
          <cell r="L1239">
            <v>0</v>
          </cell>
          <cell r="M1239">
            <v>129617.7</v>
          </cell>
          <cell r="N1239">
            <v>0</v>
          </cell>
          <cell r="O1239" t="str">
            <v>Процентные расходы по депозитам до востребования физических</v>
          </cell>
        </row>
        <row r="1240">
          <cell r="A1240">
            <v>9</v>
          </cell>
          <cell r="B1240">
            <v>214</v>
          </cell>
          <cell r="C1240">
            <v>5996</v>
          </cell>
          <cell r="D1240">
            <v>970.01</v>
          </cell>
          <cell r="E1240">
            <v>24</v>
          </cell>
          <cell r="F1240">
            <v>50106</v>
          </cell>
          <cell r="H1240">
            <v>5</v>
          </cell>
          <cell r="I1240">
            <v>0</v>
          </cell>
          <cell r="J1240">
            <v>0</v>
          </cell>
          <cell r="K1240">
            <v>465885.12</v>
          </cell>
          <cell r="L1240">
            <v>0</v>
          </cell>
          <cell r="M1240">
            <v>465885.12</v>
          </cell>
          <cell r="N1240">
            <v>0</v>
          </cell>
          <cell r="O1240" t="str">
            <v>Процентные расходы по депозитам до востребования физических</v>
          </cell>
        </row>
        <row r="1241">
          <cell r="A1241">
            <v>9</v>
          </cell>
          <cell r="B1241">
            <v>214</v>
          </cell>
          <cell r="C1241">
            <v>7783</v>
          </cell>
          <cell r="D1241">
            <v>970.01</v>
          </cell>
          <cell r="E1241">
            <v>24</v>
          </cell>
          <cell r="F1241">
            <v>50106</v>
          </cell>
          <cell r="H1241">
            <v>5</v>
          </cell>
          <cell r="I1241">
            <v>0</v>
          </cell>
          <cell r="J1241">
            <v>0</v>
          </cell>
          <cell r="K1241">
            <v>30034.11</v>
          </cell>
          <cell r="L1241">
            <v>0</v>
          </cell>
          <cell r="M1241">
            <v>30034.11</v>
          </cell>
          <cell r="N1241">
            <v>0</v>
          </cell>
          <cell r="O1241" t="str">
            <v>Процентные расходы по депозитам до востребования физических</v>
          </cell>
        </row>
        <row r="1242">
          <cell r="A1242">
            <v>9</v>
          </cell>
          <cell r="B1242">
            <v>214</v>
          </cell>
          <cell r="C1242">
            <v>7845</v>
          </cell>
          <cell r="D1242">
            <v>970.01</v>
          </cell>
          <cell r="E1242">
            <v>24</v>
          </cell>
          <cell r="F1242">
            <v>50106</v>
          </cell>
          <cell r="H1242">
            <v>5</v>
          </cell>
          <cell r="I1242">
            <v>0</v>
          </cell>
          <cell r="J1242">
            <v>0</v>
          </cell>
          <cell r="K1242">
            <v>33310.21</v>
          </cell>
          <cell r="L1242">
            <v>0</v>
          </cell>
          <cell r="M1242">
            <v>33310.21</v>
          </cell>
          <cell r="N1242">
            <v>0</v>
          </cell>
          <cell r="O1242" t="str">
            <v>Процентные расходы по депозитам до востребования физических</v>
          </cell>
        </row>
        <row r="1243">
          <cell r="A1243">
            <v>9</v>
          </cell>
          <cell r="B1243">
            <v>214</v>
          </cell>
          <cell r="C1243">
            <v>7948</v>
          </cell>
          <cell r="D1243">
            <v>970.01</v>
          </cell>
          <cell r="E1243">
            <v>24</v>
          </cell>
          <cell r="F1243">
            <v>50106</v>
          </cell>
          <cell r="H1243">
            <v>5</v>
          </cell>
          <cell r="I1243">
            <v>0</v>
          </cell>
          <cell r="J1243">
            <v>0</v>
          </cell>
          <cell r="K1243">
            <v>12251.12</v>
          </cell>
          <cell r="L1243">
            <v>0</v>
          </cell>
          <cell r="M1243">
            <v>12251.12</v>
          </cell>
          <cell r="N1243">
            <v>0</v>
          </cell>
          <cell r="O1243" t="str">
            <v>Процентные расходы по депозитам до востребования физических</v>
          </cell>
        </row>
        <row r="1244">
          <cell r="A1244">
            <v>9</v>
          </cell>
          <cell r="B1244">
            <v>214</v>
          </cell>
          <cell r="C1244">
            <v>8002</v>
          </cell>
          <cell r="D1244">
            <v>970.01</v>
          </cell>
          <cell r="E1244">
            <v>24</v>
          </cell>
          <cell r="F1244">
            <v>50106</v>
          </cell>
          <cell r="H1244">
            <v>5</v>
          </cell>
          <cell r="I1244">
            <v>0</v>
          </cell>
          <cell r="J1244">
            <v>0</v>
          </cell>
          <cell r="K1244">
            <v>53896.34</v>
          </cell>
          <cell r="L1244">
            <v>0</v>
          </cell>
          <cell r="M1244">
            <v>53896.34</v>
          </cell>
          <cell r="N1244">
            <v>0</v>
          </cell>
          <cell r="O1244" t="str">
            <v>Процентные расходы по депозитам до востребования физических</v>
          </cell>
        </row>
        <row r="1245">
          <cell r="A1245">
            <v>9</v>
          </cell>
          <cell r="B1245">
            <v>214</v>
          </cell>
          <cell r="C1245">
            <v>8104</v>
          </cell>
          <cell r="D1245">
            <v>970.01</v>
          </cell>
          <cell r="E1245">
            <v>24</v>
          </cell>
          <cell r="F1245">
            <v>50106</v>
          </cell>
          <cell r="H1245">
            <v>5</v>
          </cell>
          <cell r="I1245">
            <v>0</v>
          </cell>
          <cell r="J1245">
            <v>0</v>
          </cell>
          <cell r="K1245">
            <v>163481.51</v>
          </cell>
          <cell r="L1245">
            <v>0</v>
          </cell>
          <cell r="M1245">
            <v>163481.51</v>
          </cell>
          <cell r="N1245">
            <v>0</v>
          </cell>
          <cell r="O1245" t="str">
            <v>Процентные расходы по депозитам до востребования физических</v>
          </cell>
        </row>
        <row r="1246">
          <cell r="A1246">
            <v>9</v>
          </cell>
          <cell r="B1246">
            <v>214</v>
          </cell>
          <cell r="C1246">
            <v>8137</v>
          </cell>
          <cell r="D1246">
            <v>970.01</v>
          </cell>
          <cell r="E1246">
            <v>24</v>
          </cell>
          <cell r="F1246">
            <v>50106</v>
          </cell>
          <cell r="H1246">
            <v>5</v>
          </cell>
          <cell r="I1246">
            <v>0</v>
          </cell>
          <cell r="J1246">
            <v>0</v>
          </cell>
          <cell r="K1246">
            <v>127170.8</v>
          </cell>
          <cell r="L1246">
            <v>0</v>
          </cell>
          <cell r="M1246">
            <v>127170.8</v>
          </cell>
          <cell r="N1246">
            <v>0</v>
          </cell>
          <cell r="O1246" t="str">
            <v>Процентные расходы по депозитам до востребования физических</v>
          </cell>
        </row>
        <row r="1247">
          <cell r="A1247">
            <v>9</v>
          </cell>
          <cell r="B1247">
            <v>214</v>
          </cell>
          <cell r="C1247">
            <v>8298</v>
          </cell>
          <cell r="D1247">
            <v>970.01</v>
          </cell>
          <cell r="E1247">
            <v>24</v>
          </cell>
          <cell r="F1247">
            <v>50106</v>
          </cell>
          <cell r="H1247">
            <v>5</v>
          </cell>
          <cell r="I1247">
            <v>0</v>
          </cell>
          <cell r="J1247">
            <v>0</v>
          </cell>
          <cell r="K1247">
            <v>60250</v>
          </cell>
          <cell r="L1247">
            <v>0</v>
          </cell>
          <cell r="M1247">
            <v>60250</v>
          </cell>
          <cell r="N1247">
            <v>0</v>
          </cell>
          <cell r="O1247" t="str">
            <v>Процентные расходы по депозитам до востребования физических</v>
          </cell>
        </row>
        <row r="1248">
          <cell r="A1248">
            <v>9</v>
          </cell>
          <cell r="B1248">
            <v>214</v>
          </cell>
          <cell r="C1248">
            <v>8533</v>
          </cell>
          <cell r="D1248">
            <v>970.01</v>
          </cell>
          <cell r="E1248">
            <v>24</v>
          </cell>
          <cell r="F1248">
            <v>50106</v>
          </cell>
          <cell r="H1248">
            <v>5</v>
          </cell>
          <cell r="I1248">
            <v>0</v>
          </cell>
          <cell r="J1248">
            <v>0</v>
          </cell>
          <cell r="K1248">
            <v>136.37</v>
          </cell>
          <cell r="L1248">
            <v>0</v>
          </cell>
          <cell r="M1248">
            <v>136.37</v>
          </cell>
          <cell r="N1248">
            <v>0</v>
          </cell>
          <cell r="O1248" t="str">
            <v>Процентные расходы по депозитам до востребования физических</v>
          </cell>
        </row>
        <row r="1249">
          <cell r="A1249">
            <v>9</v>
          </cell>
          <cell r="B1249">
            <v>214</v>
          </cell>
          <cell r="C1249">
            <v>8659</v>
          </cell>
          <cell r="D1249">
            <v>970.01</v>
          </cell>
          <cell r="E1249">
            <v>24</v>
          </cell>
          <cell r="F1249">
            <v>50106</v>
          </cell>
          <cell r="H1249">
            <v>5</v>
          </cell>
          <cell r="I1249">
            <v>0</v>
          </cell>
          <cell r="J1249">
            <v>0</v>
          </cell>
          <cell r="K1249">
            <v>26390.400000000001</v>
          </cell>
          <cell r="L1249">
            <v>0</v>
          </cell>
          <cell r="M1249">
            <v>26390.400000000001</v>
          </cell>
          <cell r="N1249">
            <v>0</v>
          </cell>
          <cell r="O1249" t="str">
            <v>Процентные расходы по депозитам до востребования физических</v>
          </cell>
        </row>
        <row r="1250">
          <cell r="A1250">
            <v>9</v>
          </cell>
          <cell r="B1250">
            <v>214</v>
          </cell>
          <cell r="C1250">
            <v>5996</v>
          </cell>
          <cell r="D1250">
            <v>970.08</v>
          </cell>
          <cell r="E1250">
            <v>24</v>
          </cell>
          <cell r="F1250">
            <v>50606</v>
          </cell>
          <cell r="H1250">
            <v>5</v>
          </cell>
          <cell r="I1250">
            <v>0</v>
          </cell>
          <cell r="J1250">
            <v>0</v>
          </cell>
          <cell r="K1250">
            <v>2402330.79</v>
          </cell>
          <cell r="L1250">
            <v>0</v>
          </cell>
          <cell r="M1250">
            <v>2402330.79</v>
          </cell>
          <cell r="N1250">
            <v>0</v>
          </cell>
          <cell r="O1250" t="str">
            <v>Процентные расходы по сберегательным депозитам физических ли</v>
          </cell>
        </row>
        <row r="1251">
          <cell r="A1251">
            <v>9</v>
          </cell>
          <cell r="B1251">
            <v>214</v>
          </cell>
          <cell r="C1251">
            <v>7783</v>
          </cell>
          <cell r="D1251">
            <v>970.08</v>
          </cell>
          <cell r="E1251">
            <v>24</v>
          </cell>
          <cell r="F1251">
            <v>50606</v>
          </cell>
          <cell r="H1251">
            <v>5</v>
          </cell>
          <cell r="I1251">
            <v>0</v>
          </cell>
          <cell r="J1251">
            <v>0</v>
          </cell>
          <cell r="K1251">
            <v>174060.41</v>
          </cell>
          <cell r="L1251">
            <v>0</v>
          </cell>
          <cell r="M1251">
            <v>174060.41</v>
          </cell>
          <cell r="N1251">
            <v>0</v>
          </cell>
          <cell r="O1251" t="str">
            <v>Процентные расходы по сберегательным депозитам физических ли</v>
          </cell>
        </row>
        <row r="1252">
          <cell r="A1252">
            <v>9</v>
          </cell>
          <cell r="B1252">
            <v>214</v>
          </cell>
          <cell r="C1252">
            <v>7845</v>
          </cell>
          <cell r="D1252">
            <v>970.08</v>
          </cell>
          <cell r="E1252">
            <v>24</v>
          </cell>
          <cell r="F1252">
            <v>50606</v>
          </cell>
          <cell r="H1252">
            <v>5</v>
          </cell>
          <cell r="I1252">
            <v>0</v>
          </cell>
          <cell r="J1252">
            <v>0</v>
          </cell>
          <cell r="K1252">
            <v>2764.71</v>
          </cell>
          <cell r="L1252">
            <v>0</v>
          </cell>
          <cell r="M1252">
            <v>2764.71</v>
          </cell>
          <cell r="N1252">
            <v>0</v>
          </cell>
          <cell r="O1252" t="str">
            <v>Процентные расходы по сберегательным депозитам физических ли</v>
          </cell>
        </row>
        <row r="1253">
          <cell r="A1253">
            <v>9</v>
          </cell>
          <cell r="B1253">
            <v>214</v>
          </cell>
          <cell r="C1253">
            <v>7948</v>
          </cell>
          <cell r="D1253">
            <v>970.08</v>
          </cell>
          <cell r="E1253">
            <v>24</v>
          </cell>
          <cell r="F1253">
            <v>50606</v>
          </cell>
          <cell r="H1253">
            <v>5</v>
          </cell>
          <cell r="I1253">
            <v>0</v>
          </cell>
          <cell r="J1253">
            <v>0</v>
          </cell>
          <cell r="K1253">
            <v>4522.3900000000003</v>
          </cell>
          <cell r="L1253">
            <v>0</v>
          </cell>
          <cell r="M1253">
            <v>4522.3900000000003</v>
          </cell>
          <cell r="N1253">
            <v>0</v>
          </cell>
          <cell r="O1253" t="str">
            <v>Процентные расходы по сберегательным депозитам физических ли</v>
          </cell>
        </row>
        <row r="1254">
          <cell r="A1254">
            <v>9</v>
          </cell>
          <cell r="B1254">
            <v>214</v>
          </cell>
          <cell r="C1254">
            <v>8298</v>
          </cell>
          <cell r="D1254">
            <v>970.08</v>
          </cell>
          <cell r="E1254">
            <v>24</v>
          </cell>
          <cell r="F1254">
            <v>50606</v>
          </cell>
          <cell r="H1254">
            <v>5</v>
          </cell>
          <cell r="I1254">
            <v>0</v>
          </cell>
          <cell r="J1254">
            <v>0</v>
          </cell>
          <cell r="K1254">
            <v>387320.03</v>
          </cell>
          <cell r="L1254">
            <v>0</v>
          </cell>
          <cell r="M1254">
            <v>387320.03</v>
          </cell>
          <cell r="N1254">
            <v>0</v>
          </cell>
          <cell r="O1254" t="str">
            <v>Процентные расходы по сберегательным депозитам физических ли</v>
          </cell>
        </row>
        <row r="1255">
          <cell r="A1255">
            <v>9</v>
          </cell>
          <cell r="B1255">
            <v>214</v>
          </cell>
          <cell r="C1255">
            <v>8659</v>
          </cell>
          <cell r="D1255">
            <v>970.08</v>
          </cell>
          <cell r="E1255">
            <v>24</v>
          </cell>
          <cell r="F1255">
            <v>50606</v>
          </cell>
          <cell r="H1255">
            <v>5</v>
          </cell>
          <cell r="I1255">
            <v>0</v>
          </cell>
          <cell r="J1255">
            <v>0</v>
          </cell>
          <cell r="K1255">
            <v>4.12</v>
          </cell>
          <cell r="L1255">
            <v>0</v>
          </cell>
          <cell r="M1255">
            <v>4.12</v>
          </cell>
          <cell r="N1255">
            <v>0</v>
          </cell>
          <cell r="O1255" t="str">
            <v>Процентные расходы по сберегательным депозитам физических ли</v>
          </cell>
        </row>
        <row r="1256">
          <cell r="A1256">
            <v>9</v>
          </cell>
          <cell r="B1256">
            <v>214</v>
          </cell>
          <cell r="C1256">
            <v>3563</v>
          </cell>
          <cell r="D1256">
            <v>970.13</v>
          </cell>
          <cell r="E1256">
            <v>24</v>
          </cell>
          <cell r="F1256">
            <v>51106</v>
          </cell>
          <cell r="H1256">
            <v>5</v>
          </cell>
          <cell r="I1256">
            <v>0</v>
          </cell>
          <cell r="J1256">
            <v>0</v>
          </cell>
          <cell r="K1256">
            <v>631183.78</v>
          </cell>
          <cell r="L1256">
            <v>0</v>
          </cell>
          <cell r="M1256">
            <v>631183.78</v>
          </cell>
          <cell r="N1256">
            <v>0</v>
          </cell>
          <cell r="O1256" t="str">
            <v>Процентные расходы по срочным депозитам частных лиц</v>
          </cell>
        </row>
        <row r="1257">
          <cell r="A1257">
            <v>9</v>
          </cell>
          <cell r="B1257">
            <v>214</v>
          </cell>
          <cell r="C1257">
            <v>7783</v>
          </cell>
          <cell r="D1257">
            <v>970.13</v>
          </cell>
          <cell r="E1257">
            <v>24</v>
          </cell>
          <cell r="F1257">
            <v>51106</v>
          </cell>
          <cell r="H1257">
            <v>5</v>
          </cell>
          <cell r="I1257">
            <v>0</v>
          </cell>
          <cell r="J1257">
            <v>0</v>
          </cell>
          <cell r="K1257">
            <v>224154.92</v>
          </cell>
          <cell r="L1257">
            <v>0</v>
          </cell>
          <cell r="M1257">
            <v>224154.92</v>
          </cell>
          <cell r="N1257">
            <v>0</v>
          </cell>
          <cell r="O1257" t="str">
            <v>Процентные расходы по срочным депозитам частных лиц</v>
          </cell>
        </row>
        <row r="1258">
          <cell r="A1258">
            <v>9</v>
          </cell>
          <cell r="B1258">
            <v>214</v>
          </cell>
          <cell r="C1258">
            <v>7845</v>
          </cell>
          <cell r="D1258">
            <v>970.13</v>
          </cell>
          <cell r="E1258">
            <v>24</v>
          </cell>
          <cell r="F1258">
            <v>51106</v>
          </cell>
          <cell r="H1258">
            <v>5</v>
          </cell>
          <cell r="I1258">
            <v>0</v>
          </cell>
          <cell r="J1258">
            <v>0</v>
          </cell>
          <cell r="K1258">
            <v>158724.60999999999</v>
          </cell>
          <cell r="L1258">
            <v>0</v>
          </cell>
          <cell r="M1258">
            <v>158724.60999999999</v>
          </cell>
          <cell r="N1258">
            <v>0</v>
          </cell>
          <cell r="O1258" t="str">
            <v>Процентные расходы по срочным депозитам частных лиц</v>
          </cell>
        </row>
        <row r="1259">
          <cell r="A1259">
            <v>9</v>
          </cell>
          <cell r="B1259">
            <v>214</v>
          </cell>
          <cell r="C1259">
            <v>7948</v>
          </cell>
          <cell r="D1259">
            <v>970.13</v>
          </cell>
          <cell r="E1259">
            <v>24</v>
          </cell>
          <cell r="F1259">
            <v>51106</v>
          </cell>
          <cell r="H1259">
            <v>5</v>
          </cell>
          <cell r="I1259">
            <v>0</v>
          </cell>
          <cell r="J1259">
            <v>0</v>
          </cell>
          <cell r="K1259">
            <v>116081.95</v>
          </cell>
          <cell r="L1259">
            <v>0</v>
          </cell>
          <cell r="M1259">
            <v>116081.95</v>
          </cell>
          <cell r="N1259">
            <v>0</v>
          </cell>
          <cell r="O1259" t="str">
            <v>Процентные расходы по срочным депозитам частных лиц</v>
          </cell>
        </row>
        <row r="1260">
          <cell r="A1260">
            <v>9</v>
          </cell>
          <cell r="B1260">
            <v>214</v>
          </cell>
          <cell r="C1260">
            <v>8298</v>
          </cell>
          <cell r="D1260">
            <v>970.13</v>
          </cell>
          <cell r="E1260">
            <v>24</v>
          </cell>
          <cell r="F1260">
            <v>51106</v>
          </cell>
          <cell r="H1260">
            <v>5</v>
          </cell>
          <cell r="I1260">
            <v>0</v>
          </cell>
          <cell r="J1260">
            <v>0</v>
          </cell>
          <cell r="K1260">
            <v>12845.06</v>
          </cell>
          <cell r="L1260">
            <v>0</v>
          </cell>
          <cell r="M1260">
            <v>12845.06</v>
          </cell>
          <cell r="N1260">
            <v>0</v>
          </cell>
          <cell r="O1260" t="str">
            <v>Процентные расходы по срочным депозитам частных лиц</v>
          </cell>
        </row>
        <row r="1261">
          <cell r="A1261">
            <v>9</v>
          </cell>
          <cell r="B1261">
            <v>214</v>
          </cell>
          <cell r="C1261">
            <v>8533</v>
          </cell>
          <cell r="D1261">
            <v>970.13</v>
          </cell>
          <cell r="E1261">
            <v>24</v>
          </cell>
          <cell r="F1261">
            <v>51106</v>
          </cell>
          <cell r="H1261">
            <v>5</v>
          </cell>
          <cell r="I1261">
            <v>0</v>
          </cell>
          <cell r="J1261">
            <v>0</v>
          </cell>
          <cell r="K1261">
            <v>65224.08</v>
          </cell>
          <cell r="L1261">
            <v>0</v>
          </cell>
          <cell r="M1261">
            <v>65224.08</v>
          </cell>
          <cell r="N1261">
            <v>0</v>
          </cell>
          <cell r="O1261" t="str">
            <v>Процентные расходы по срочным депозитам частных лиц</v>
          </cell>
        </row>
        <row r="1262">
          <cell r="A1262">
            <v>9</v>
          </cell>
          <cell r="B1262">
            <v>214</v>
          </cell>
          <cell r="C1262">
            <v>8659</v>
          </cell>
          <cell r="D1262">
            <v>970.13</v>
          </cell>
          <cell r="E1262">
            <v>24</v>
          </cell>
          <cell r="F1262">
            <v>51106</v>
          </cell>
          <cell r="H1262">
            <v>5</v>
          </cell>
          <cell r="I1262">
            <v>0</v>
          </cell>
          <cell r="J1262">
            <v>0</v>
          </cell>
          <cell r="K1262">
            <v>43341.15</v>
          </cell>
          <cell r="L1262">
            <v>0</v>
          </cell>
          <cell r="M1262">
            <v>43341.15</v>
          </cell>
          <cell r="N1262">
            <v>0</v>
          </cell>
          <cell r="O1262" t="str">
            <v>Процентные расходы по срочным депозитам частных лиц</v>
          </cell>
        </row>
        <row r="1263">
          <cell r="A1263">
            <v>9</v>
          </cell>
          <cell r="B1263">
            <v>214</v>
          </cell>
          <cell r="C1263">
            <v>5996</v>
          </cell>
          <cell r="D1263">
            <v>970.19</v>
          </cell>
          <cell r="E1263">
            <v>24</v>
          </cell>
          <cell r="F1263">
            <v>55102</v>
          </cell>
          <cell r="H1263">
            <v>5</v>
          </cell>
          <cell r="I1263">
            <v>0</v>
          </cell>
          <cell r="J1263">
            <v>0</v>
          </cell>
          <cell r="K1263">
            <v>84908.88</v>
          </cell>
          <cell r="L1263">
            <v>0</v>
          </cell>
          <cell r="M1263">
            <v>84908.88</v>
          </cell>
          <cell r="N1263">
            <v>0</v>
          </cell>
          <cell r="O1263" t="str">
            <v>Комиссионные расходы и расходы за услуги -ЦБРУз</v>
          </cell>
        </row>
        <row r="1264">
          <cell r="A1264">
            <v>9</v>
          </cell>
          <cell r="B1264">
            <v>214</v>
          </cell>
          <cell r="C1264">
            <v>7783</v>
          </cell>
          <cell r="D1264">
            <v>970.19</v>
          </cell>
          <cell r="E1264">
            <v>24</v>
          </cell>
          <cell r="F1264">
            <v>55102</v>
          </cell>
          <cell r="H1264">
            <v>5</v>
          </cell>
          <cell r="I1264">
            <v>0</v>
          </cell>
          <cell r="J1264">
            <v>0</v>
          </cell>
          <cell r="K1264">
            <v>99738.84</v>
          </cell>
          <cell r="L1264">
            <v>0</v>
          </cell>
          <cell r="M1264">
            <v>99738.84</v>
          </cell>
          <cell r="N1264">
            <v>0</v>
          </cell>
          <cell r="O1264" t="str">
            <v>Комиссионные расходы и расходы за услуги -ЦБРУз</v>
          </cell>
        </row>
        <row r="1265">
          <cell r="A1265">
            <v>9</v>
          </cell>
          <cell r="B1265">
            <v>214</v>
          </cell>
          <cell r="C1265">
            <v>7845</v>
          </cell>
          <cell r="D1265">
            <v>970.19</v>
          </cell>
          <cell r="E1265">
            <v>24</v>
          </cell>
          <cell r="F1265">
            <v>55102</v>
          </cell>
          <cell r="H1265">
            <v>5</v>
          </cell>
          <cell r="I1265">
            <v>0</v>
          </cell>
          <cell r="J1265">
            <v>0</v>
          </cell>
          <cell r="K1265">
            <v>137343.67999999999</v>
          </cell>
          <cell r="L1265">
            <v>0</v>
          </cell>
          <cell r="M1265">
            <v>137343.67999999999</v>
          </cell>
          <cell r="N1265">
            <v>0</v>
          </cell>
          <cell r="O1265" t="str">
            <v>Комиссионные расходы и расходы за услуги -ЦБРУз</v>
          </cell>
        </row>
        <row r="1266">
          <cell r="A1266">
            <v>9</v>
          </cell>
          <cell r="B1266">
            <v>214</v>
          </cell>
          <cell r="C1266">
            <v>7948</v>
          </cell>
          <cell r="D1266">
            <v>970.19</v>
          </cell>
          <cell r="E1266">
            <v>24</v>
          </cell>
          <cell r="F1266">
            <v>55102</v>
          </cell>
          <cell r="H1266">
            <v>5</v>
          </cell>
          <cell r="I1266">
            <v>0</v>
          </cell>
          <cell r="J1266">
            <v>0</v>
          </cell>
          <cell r="K1266">
            <v>26313.24</v>
          </cell>
          <cell r="L1266">
            <v>0</v>
          </cell>
          <cell r="M1266">
            <v>26313.24</v>
          </cell>
          <cell r="N1266">
            <v>0</v>
          </cell>
          <cell r="O1266" t="str">
            <v>Комиссионные расходы и расходы за услуги -ЦБРУз</v>
          </cell>
        </row>
        <row r="1267">
          <cell r="A1267">
            <v>9</v>
          </cell>
          <cell r="B1267">
            <v>214</v>
          </cell>
          <cell r="C1267">
            <v>8002</v>
          </cell>
          <cell r="D1267">
            <v>970.19</v>
          </cell>
          <cell r="E1267">
            <v>24</v>
          </cell>
          <cell r="F1267">
            <v>55102</v>
          </cell>
          <cell r="H1267">
            <v>5</v>
          </cell>
          <cell r="I1267">
            <v>0</v>
          </cell>
          <cell r="J1267">
            <v>0</v>
          </cell>
          <cell r="K1267">
            <v>99812.06</v>
          </cell>
          <cell r="L1267">
            <v>0</v>
          </cell>
          <cell r="M1267">
            <v>99812.06</v>
          </cell>
          <cell r="N1267">
            <v>0</v>
          </cell>
          <cell r="O1267" t="str">
            <v>Комиссионные расходы и расходы за услуги -ЦБРУз</v>
          </cell>
        </row>
        <row r="1268">
          <cell r="A1268">
            <v>9</v>
          </cell>
          <cell r="B1268">
            <v>214</v>
          </cell>
          <cell r="C1268">
            <v>8104</v>
          </cell>
          <cell r="D1268">
            <v>970.19</v>
          </cell>
          <cell r="E1268">
            <v>24</v>
          </cell>
          <cell r="F1268">
            <v>55102</v>
          </cell>
          <cell r="H1268">
            <v>5</v>
          </cell>
          <cell r="I1268">
            <v>0</v>
          </cell>
          <cell r="J1268">
            <v>0</v>
          </cell>
          <cell r="K1268">
            <v>151118.07999999999</v>
          </cell>
          <cell r="L1268">
            <v>0</v>
          </cell>
          <cell r="M1268">
            <v>151118.07999999999</v>
          </cell>
          <cell r="N1268">
            <v>0</v>
          </cell>
          <cell r="O1268" t="str">
            <v>Комиссионные расходы и расходы за услуги -ЦБРУз</v>
          </cell>
        </row>
        <row r="1269">
          <cell r="A1269">
            <v>9</v>
          </cell>
          <cell r="B1269">
            <v>214</v>
          </cell>
          <cell r="C1269">
            <v>8137</v>
          </cell>
          <cell r="D1269">
            <v>970.19</v>
          </cell>
          <cell r="E1269">
            <v>24</v>
          </cell>
          <cell r="F1269">
            <v>55102</v>
          </cell>
          <cell r="H1269">
            <v>5</v>
          </cell>
          <cell r="I1269">
            <v>0</v>
          </cell>
          <cell r="J1269">
            <v>0</v>
          </cell>
          <cell r="K1269">
            <v>96376.86</v>
          </cell>
          <cell r="L1269">
            <v>0</v>
          </cell>
          <cell r="M1269">
            <v>96376.86</v>
          </cell>
          <cell r="N1269">
            <v>0</v>
          </cell>
          <cell r="O1269" t="str">
            <v>Комиссионные расходы и расходы за услуги -ЦБРУз</v>
          </cell>
        </row>
        <row r="1270">
          <cell r="A1270">
            <v>9</v>
          </cell>
          <cell r="B1270">
            <v>214</v>
          </cell>
          <cell r="C1270">
            <v>8298</v>
          </cell>
          <cell r="D1270">
            <v>970.19</v>
          </cell>
          <cell r="E1270">
            <v>24</v>
          </cell>
          <cell r="F1270">
            <v>55102</v>
          </cell>
          <cell r="H1270">
            <v>5</v>
          </cell>
          <cell r="I1270">
            <v>0</v>
          </cell>
          <cell r="J1270">
            <v>0</v>
          </cell>
          <cell r="K1270">
            <v>56779.32</v>
          </cell>
          <cell r="L1270">
            <v>297.72000000000003</v>
          </cell>
          <cell r="M1270">
            <v>56481.599999999999</v>
          </cell>
          <cell r="N1270">
            <v>0</v>
          </cell>
          <cell r="O1270" t="str">
            <v>Комиссионные расходы и расходы за услуги -ЦБРУз</v>
          </cell>
        </row>
        <row r="1271">
          <cell r="A1271">
            <v>9</v>
          </cell>
          <cell r="B1271">
            <v>214</v>
          </cell>
          <cell r="C1271">
            <v>8533</v>
          </cell>
          <cell r="D1271">
            <v>970.19</v>
          </cell>
          <cell r="E1271">
            <v>24</v>
          </cell>
          <cell r="F1271">
            <v>55102</v>
          </cell>
          <cell r="H1271">
            <v>5</v>
          </cell>
          <cell r="I1271">
            <v>0</v>
          </cell>
          <cell r="J1271">
            <v>0</v>
          </cell>
          <cell r="K1271">
            <v>24030.84</v>
          </cell>
          <cell r="L1271">
            <v>0</v>
          </cell>
          <cell r="M1271">
            <v>24030.84</v>
          </cell>
          <cell r="N1271">
            <v>0</v>
          </cell>
          <cell r="O1271" t="str">
            <v>Комиссионные расходы и расходы за услуги -ЦБРУз</v>
          </cell>
        </row>
        <row r="1272">
          <cell r="A1272">
            <v>9</v>
          </cell>
          <cell r="B1272">
            <v>214</v>
          </cell>
          <cell r="C1272">
            <v>8659</v>
          </cell>
          <cell r="D1272">
            <v>970.19</v>
          </cell>
          <cell r="E1272">
            <v>24</v>
          </cell>
          <cell r="F1272">
            <v>55102</v>
          </cell>
          <cell r="H1272">
            <v>5</v>
          </cell>
          <cell r="I1272">
            <v>0</v>
          </cell>
          <cell r="J1272">
            <v>0</v>
          </cell>
          <cell r="K1272">
            <v>133323.38</v>
          </cell>
          <cell r="L1272">
            <v>0</v>
          </cell>
          <cell r="M1272">
            <v>133323.38</v>
          </cell>
          <cell r="N1272">
            <v>0</v>
          </cell>
          <cell r="O1272" t="str">
            <v>Комиссионные расходы и расходы за услуги -ЦБРУз</v>
          </cell>
        </row>
        <row r="1273">
          <cell r="A1273">
            <v>9</v>
          </cell>
          <cell r="B1273">
            <v>214</v>
          </cell>
          <cell r="C1273">
            <v>3563</v>
          </cell>
          <cell r="D1273">
            <v>970.2</v>
          </cell>
          <cell r="E1273">
            <v>24</v>
          </cell>
          <cell r="F1273">
            <v>55106</v>
          </cell>
          <cell r="H1273">
            <v>5</v>
          </cell>
          <cell r="I1273">
            <v>0</v>
          </cell>
          <cell r="J1273">
            <v>0</v>
          </cell>
          <cell r="K1273">
            <v>182324.6</v>
          </cell>
          <cell r="L1273">
            <v>0</v>
          </cell>
          <cell r="M1273">
            <v>182324.6</v>
          </cell>
          <cell r="N1273">
            <v>0</v>
          </cell>
          <cell r="O1273" t="str">
            <v>Комиссионные расходы и расходы за услуги - Другие банки</v>
          </cell>
        </row>
        <row r="1274">
          <cell r="A1274">
            <v>9</v>
          </cell>
          <cell r="B1274">
            <v>214</v>
          </cell>
          <cell r="C1274">
            <v>5996</v>
          </cell>
          <cell r="D1274">
            <v>970.24</v>
          </cell>
          <cell r="E1274">
            <v>24</v>
          </cell>
          <cell r="F1274">
            <v>55158</v>
          </cell>
          <cell r="H1274">
            <v>5</v>
          </cell>
          <cell r="I1274">
            <v>0</v>
          </cell>
          <cell r="J1274">
            <v>0</v>
          </cell>
          <cell r="K1274">
            <v>81325</v>
          </cell>
          <cell r="L1274">
            <v>0</v>
          </cell>
          <cell r="M1274">
            <v>81325</v>
          </cell>
          <cell r="N1274">
            <v>0</v>
          </cell>
          <cell r="O1274" t="str">
            <v>Комиссионные расходы и расходы на проведение инкассовых опер</v>
          </cell>
        </row>
        <row r="1275">
          <cell r="A1275">
            <v>9</v>
          </cell>
          <cell r="B1275">
            <v>214</v>
          </cell>
          <cell r="C1275">
            <v>7783</v>
          </cell>
          <cell r="D1275">
            <v>970.24</v>
          </cell>
          <cell r="E1275">
            <v>24</v>
          </cell>
          <cell r="F1275">
            <v>55158</v>
          </cell>
          <cell r="H1275">
            <v>5</v>
          </cell>
          <cell r="I1275">
            <v>0</v>
          </cell>
          <cell r="J1275">
            <v>0</v>
          </cell>
          <cell r="K1275">
            <v>33175</v>
          </cell>
          <cell r="L1275">
            <v>0</v>
          </cell>
          <cell r="M1275">
            <v>33175</v>
          </cell>
          <cell r="N1275">
            <v>0</v>
          </cell>
          <cell r="O1275" t="str">
            <v>Комиссионные расходы и расходы на проведение инкассовых опер</v>
          </cell>
        </row>
        <row r="1276">
          <cell r="A1276">
            <v>9</v>
          </cell>
          <cell r="B1276">
            <v>214</v>
          </cell>
          <cell r="C1276">
            <v>7845</v>
          </cell>
          <cell r="D1276">
            <v>970.24</v>
          </cell>
          <cell r="E1276">
            <v>24</v>
          </cell>
          <cell r="F1276">
            <v>55158</v>
          </cell>
          <cell r="H1276">
            <v>5</v>
          </cell>
          <cell r="I1276">
            <v>0</v>
          </cell>
          <cell r="J1276">
            <v>0</v>
          </cell>
          <cell r="K1276">
            <v>55200</v>
          </cell>
          <cell r="L1276">
            <v>0</v>
          </cell>
          <cell r="M1276">
            <v>55200</v>
          </cell>
          <cell r="N1276">
            <v>0</v>
          </cell>
          <cell r="O1276" t="str">
            <v>Комиссионные расходы и расходы на проведение инкассовых опер</v>
          </cell>
        </row>
        <row r="1277">
          <cell r="A1277">
            <v>9</v>
          </cell>
          <cell r="B1277">
            <v>214</v>
          </cell>
          <cell r="C1277">
            <v>7948</v>
          </cell>
          <cell r="D1277">
            <v>970.24</v>
          </cell>
          <cell r="E1277">
            <v>24</v>
          </cell>
          <cell r="F1277">
            <v>55158</v>
          </cell>
          <cell r="H1277">
            <v>5</v>
          </cell>
          <cell r="I1277">
            <v>0</v>
          </cell>
          <cell r="J1277">
            <v>0</v>
          </cell>
          <cell r="K1277">
            <v>64333</v>
          </cell>
          <cell r="L1277">
            <v>0</v>
          </cell>
          <cell r="M1277">
            <v>64333</v>
          </cell>
          <cell r="N1277">
            <v>0</v>
          </cell>
          <cell r="O1277" t="str">
            <v>Комиссионные расходы и расходы на проведение инкассовых опер</v>
          </cell>
        </row>
        <row r="1278">
          <cell r="A1278">
            <v>9</v>
          </cell>
          <cell r="B1278">
            <v>214</v>
          </cell>
          <cell r="C1278">
            <v>8298</v>
          </cell>
          <cell r="D1278">
            <v>970.24</v>
          </cell>
          <cell r="E1278">
            <v>24</v>
          </cell>
          <cell r="F1278">
            <v>55158</v>
          </cell>
          <cell r="H1278">
            <v>5</v>
          </cell>
          <cell r="I1278">
            <v>0</v>
          </cell>
          <cell r="J1278">
            <v>0</v>
          </cell>
          <cell r="K1278">
            <v>71891</v>
          </cell>
          <cell r="L1278">
            <v>0</v>
          </cell>
          <cell r="M1278">
            <v>71891</v>
          </cell>
          <cell r="N1278">
            <v>0</v>
          </cell>
          <cell r="O1278" t="str">
            <v>Комиссионные расходы и расходы на проведение инкассовых опер</v>
          </cell>
        </row>
        <row r="1279">
          <cell r="A1279">
            <v>9</v>
          </cell>
          <cell r="B1279">
            <v>214</v>
          </cell>
          <cell r="C1279">
            <v>8533</v>
          </cell>
          <cell r="D1279">
            <v>970.24</v>
          </cell>
          <cell r="E1279">
            <v>24</v>
          </cell>
          <cell r="F1279">
            <v>55158</v>
          </cell>
          <cell r="H1279">
            <v>5</v>
          </cell>
          <cell r="I1279">
            <v>0</v>
          </cell>
          <cell r="J1279">
            <v>0</v>
          </cell>
          <cell r="K1279">
            <v>44200</v>
          </cell>
          <cell r="L1279">
            <v>0</v>
          </cell>
          <cell r="M1279">
            <v>44200</v>
          </cell>
          <cell r="N1279">
            <v>0</v>
          </cell>
          <cell r="O1279" t="str">
            <v>Комиссионные расходы и расходы на проведение инкассовых опер</v>
          </cell>
        </row>
        <row r="1280">
          <cell r="A1280">
            <v>9</v>
          </cell>
          <cell r="B1280">
            <v>214</v>
          </cell>
          <cell r="C1280">
            <v>8659</v>
          </cell>
          <cell r="D1280">
            <v>970.24</v>
          </cell>
          <cell r="E1280">
            <v>24</v>
          </cell>
          <cell r="F1280">
            <v>55158</v>
          </cell>
          <cell r="H1280">
            <v>5</v>
          </cell>
          <cell r="I1280">
            <v>0</v>
          </cell>
          <cell r="J1280">
            <v>0</v>
          </cell>
          <cell r="K1280">
            <v>113125</v>
          </cell>
          <cell r="L1280">
            <v>0</v>
          </cell>
          <cell r="M1280">
            <v>113125</v>
          </cell>
          <cell r="N1280">
            <v>0</v>
          </cell>
          <cell r="O1280" t="str">
            <v>Комиссионные расходы и расходы на проведение инкассовых опер</v>
          </cell>
        </row>
        <row r="1281">
          <cell r="A1281">
            <v>9</v>
          </cell>
          <cell r="B1281">
            <v>214</v>
          </cell>
          <cell r="C1281">
            <v>3563</v>
          </cell>
          <cell r="D1281">
            <v>970.27</v>
          </cell>
          <cell r="E1281">
            <v>24</v>
          </cell>
          <cell r="F1281">
            <v>55302</v>
          </cell>
          <cell r="H1281">
            <v>5</v>
          </cell>
          <cell r="I1281">
            <v>0</v>
          </cell>
          <cell r="J1281">
            <v>0</v>
          </cell>
          <cell r="K1281">
            <v>8711.82</v>
          </cell>
          <cell r="L1281">
            <v>0</v>
          </cell>
          <cell r="M1281">
            <v>8711.82</v>
          </cell>
          <cell r="N1281">
            <v>0</v>
          </cell>
          <cell r="O1281" t="str">
            <v>Убытки в иностранной валюте по сделкам СПОТ</v>
          </cell>
        </row>
        <row r="1282">
          <cell r="A1282">
            <v>9</v>
          </cell>
          <cell r="B1282">
            <v>214</v>
          </cell>
          <cell r="C1282">
            <v>3563</v>
          </cell>
          <cell r="D1282">
            <v>970.32</v>
          </cell>
          <cell r="E1282">
            <v>24</v>
          </cell>
          <cell r="F1282">
            <v>55995.01</v>
          </cell>
          <cell r="H1282">
            <v>5</v>
          </cell>
          <cell r="I1282">
            <v>0</v>
          </cell>
          <cell r="J1282">
            <v>0</v>
          </cell>
          <cell r="K1282">
            <v>210569</v>
          </cell>
          <cell r="L1282">
            <v>0</v>
          </cell>
          <cell r="M1282">
            <v>210569</v>
          </cell>
          <cell r="N1282">
            <v>0</v>
          </cell>
          <cell r="O1282" t="str">
            <v>Отчисления на содержание аппарата управления</v>
          </cell>
        </row>
        <row r="1283">
          <cell r="A1283">
            <v>9</v>
          </cell>
          <cell r="B1283">
            <v>214</v>
          </cell>
          <cell r="C1283">
            <v>5996</v>
          </cell>
          <cell r="D1283">
            <v>970.32</v>
          </cell>
          <cell r="E1283">
            <v>24</v>
          </cell>
          <cell r="F1283">
            <v>55995.01</v>
          </cell>
          <cell r="H1283">
            <v>5</v>
          </cell>
          <cell r="I1283">
            <v>0</v>
          </cell>
          <cell r="J1283">
            <v>0</v>
          </cell>
          <cell r="K1283">
            <v>179178</v>
          </cell>
          <cell r="L1283">
            <v>0</v>
          </cell>
          <cell r="M1283">
            <v>179178</v>
          </cell>
          <cell r="N1283">
            <v>0</v>
          </cell>
          <cell r="O1283" t="str">
            <v>Отчисления на содержание аппарата управления</v>
          </cell>
        </row>
        <row r="1284">
          <cell r="A1284">
            <v>9</v>
          </cell>
          <cell r="B1284">
            <v>214</v>
          </cell>
          <cell r="C1284">
            <v>7783</v>
          </cell>
          <cell r="D1284">
            <v>970.32</v>
          </cell>
          <cell r="E1284">
            <v>24</v>
          </cell>
          <cell r="F1284">
            <v>55995.01</v>
          </cell>
          <cell r="H1284">
            <v>5</v>
          </cell>
          <cell r="I1284">
            <v>0</v>
          </cell>
          <cell r="J1284">
            <v>0</v>
          </cell>
          <cell r="K1284">
            <v>160868.19</v>
          </cell>
          <cell r="L1284">
            <v>0</v>
          </cell>
          <cell r="M1284">
            <v>160868.19</v>
          </cell>
          <cell r="N1284">
            <v>0</v>
          </cell>
          <cell r="O1284" t="str">
            <v>Отчисления на содержание аппарата управления</v>
          </cell>
        </row>
        <row r="1285">
          <cell r="A1285">
            <v>9</v>
          </cell>
          <cell r="B1285">
            <v>214</v>
          </cell>
          <cell r="C1285">
            <v>7845</v>
          </cell>
          <cell r="D1285">
            <v>970.32</v>
          </cell>
          <cell r="E1285">
            <v>24</v>
          </cell>
          <cell r="F1285">
            <v>55995.01</v>
          </cell>
          <cell r="H1285">
            <v>5</v>
          </cell>
          <cell r="I1285">
            <v>0</v>
          </cell>
          <cell r="J1285">
            <v>0</v>
          </cell>
          <cell r="K1285">
            <v>147482.72</v>
          </cell>
          <cell r="L1285">
            <v>0</v>
          </cell>
          <cell r="M1285">
            <v>147482.72</v>
          </cell>
          <cell r="N1285">
            <v>0</v>
          </cell>
          <cell r="O1285" t="str">
            <v>Отчисления на содержание аппарата управления</v>
          </cell>
        </row>
        <row r="1286">
          <cell r="A1286">
            <v>9</v>
          </cell>
          <cell r="B1286">
            <v>214</v>
          </cell>
          <cell r="C1286">
            <v>7948</v>
          </cell>
          <cell r="D1286">
            <v>970.32</v>
          </cell>
          <cell r="E1286">
            <v>24</v>
          </cell>
          <cell r="F1286">
            <v>55995.01</v>
          </cell>
          <cell r="H1286">
            <v>5</v>
          </cell>
          <cell r="I1286">
            <v>0</v>
          </cell>
          <cell r="J1286">
            <v>0</v>
          </cell>
          <cell r="K1286">
            <v>142510.13</v>
          </cell>
          <cell r="L1286">
            <v>0</v>
          </cell>
          <cell r="M1286">
            <v>142510.13</v>
          </cell>
          <cell r="N1286">
            <v>0</v>
          </cell>
          <cell r="O1286" t="str">
            <v>Отчисления на содержание аппарата управления</v>
          </cell>
        </row>
        <row r="1287">
          <cell r="A1287">
            <v>9</v>
          </cell>
          <cell r="B1287">
            <v>214</v>
          </cell>
          <cell r="C1287">
            <v>8002</v>
          </cell>
          <cell r="D1287">
            <v>970.32</v>
          </cell>
          <cell r="E1287">
            <v>24</v>
          </cell>
          <cell r="F1287">
            <v>55995.01</v>
          </cell>
          <cell r="H1287">
            <v>5</v>
          </cell>
          <cell r="I1287">
            <v>0</v>
          </cell>
          <cell r="J1287">
            <v>0</v>
          </cell>
          <cell r="K1287">
            <v>110231.77</v>
          </cell>
          <cell r="L1287">
            <v>0</v>
          </cell>
          <cell r="M1287">
            <v>110231.77</v>
          </cell>
          <cell r="N1287">
            <v>0</v>
          </cell>
          <cell r="O1287" t="str">
            <v>Отчисления на содержание аппарата управления</v>
          </cell>
        </row>
        <row r="1288">
          <cell r="A1288">
            <v>9</v>
          </cell>
          <cell r="B1288">
            <v>214</v>
          </cell>
          <cell r="C1288">
            <v>8104</v>
          </cell>
          <cell r="D1288">
            <v>970.32</v>
          </cell>
          <cell r="E1288">
            <v>24</v>
          </cell>
          <cell r="F1288">
            <v>55995.01</v>
          </cell>
          <cell r="H1288">
            <v>5</v>
          </cell>
          <cell r="I1288">
            <v>0</v>
          </cell>
          <cell r="J1288">
            <v>0</v>
          </cell>
          <cell r="K1288">
            <v>120273.25</v>
          </cell>
          <cell r="L1288">
            <v>0</v>
          </cell>
          <cell r="M1288">
            <v>120273.25</v>
          </cell>
          <cell r="N1288">
            <v>0</v>
          </cell>
          <cell r="O1288" t="str">
            <v>Отчисления на содержание аппарата управления</v>
          </cell>
        </row>
        <row r="1289">
          <cell r="A1289">
            <v>9</v>
          </cell>
          <cell r="B1289">
            <v>214</v>
          </cell>
          <cell r="C1289">
            <v>8137</v>
          </cell>
          <cell r="D1289">
            <v>970.32</v>
          </cell>
          <cell r="E1289">
            <v>24</v>
          </cell>
          <cell r="F1289">
            <v>55995.01</v>
          </cell>
          <cell r="H1289">
            <v>5</v>
          </cell>
          <cell r="I1289">
            <v>0</v>
          </cell>
          <cell r="J1289">
            <v>0</v>
          </cell>
          <cell r="K1289">
            <v>109074</v>
          </cell>
          <cell r="L1289">
            <v>0</v>
          </cell>
          <cell r="M1289">
            <v>109074</v>
          </cell>
          <cell r="N1289">
            <v>0</v>
          </cell>
          <cell r="O1289" t="str">
            <v>Отчисления на содержание аппарата управления</v>
          </cell>
        </row>
        <row r="1290">
          <cell r="A1290">
            <v>9</v>
          </cell>
          <cell r="B1290">
            <v>214</v>
          </cell>
          <cell r="C1290">
            <v>8298</v>
          </cell>
          <cell r="D1290">
            <v>970.32</v>
          </cell>
          <cell r="E1290">
            <v>24</v>
          </cell>
          <cell r="F1290">
            <v>55995.01</v>
          </cell>
          <cell r="H1290">
            <v>5</v>
          </cell>
          <cell r="I1290">
            <v>0</v>
          </cell>
          <cell r="J1290">
            <v>0</v>
          </cell>
          <cell r="K1290">
            <v>134727.95000000001</v>
          </cell>
          <cell r="L1290">
            <v>0</v>
          </cell>
          <cell r="M1290">
            <v>134727.95000000001</v>
          </cell>
          <cell r="N1290">
            <v>0</v>
          </cell>
          <cell r="O1290" t="str">
            <v>Отчисления на содержание аппарата управления</v>
          </cell>
        </row>
        <row r="1291">
          <cell r="A1291">
            <v>9</v>
          </cell>
          <cell r="B1291">
            <v>214</v>
          </cell>
          <cell r="C1291">
            <v>8533</v>
          </cell>
          <cell r="D1291">
            <v>970.32</v>
          </cell>
          <cell r="E1291">
            <v>24</v>
          </cell>
          <cell r="F1291">
            <v>55995.01</v>
          </cell>
          <cell r="H1291">
            <v>5</v>
          </cell>
          <cell r="I1291">
            <v>0</v>
          </cell>
          <cell r="J1291">
            <v>0</v>
          </cell>
          <cell r="K1291">
            <v>40783.800000000003</v>
          </cell>
          <cell r="L1291">
            <v>0</v>
          </cell>
          <cell r="M1291">
            <v>40783.800000000003</v>
          </cell>
          <cell r="N1291">
            <v>0</v>
          </cell>
          <cell r="O1291" t="str">
            <v>Отчисления на содержание аппарата управления</v>
          </cell>
        </row>
        <row r="1292">
          <cell r="A1292">
            <v>9</v>
          </cell>
          <cell r="B1292">
            <v>214</v>
          </cell>
          <cell r="C1292">
            <v>8659</v>
          </cell>
          <cell r="D1292">
            <v>970.32</v>
          </cell>
          <cell r="E1292">
            <v>24</v>
          </cell>
          <cell r="F1292">
            <v>55995.01</v>
          </cell>
          <cell r="H1292">
            <v>5</v>
          </cell>
          <cell r="I1292">
            <v>0</v>
          </cell>
          <cell r="J1292">
            <v>0</v>
          </cell>
          <cell r="K1292">
            <v>81835</v>
          </cell>
          <cell r="L1292">
            <v>0</v>
          </cell>
          <cell r="M1292">
            <v>81835</v>
          </cell>
          <cell r="N1292">
            <v>0</v>
          </cell>
          <cell r="O1292" t="str">
            <v>Отчисления на содержание аппарата управления</v>
          </cell>
        </row>
        <row r="1293">
          <cell r="A1293">
            <v>9</v>
          </cell>
          <cell r="B1293">
            <v>214</v>
          </cell>
          <cell r="C1293">
            <v>214</v>
          </cell>
          <cell r="D1293">
            <v>970.33</v>
          </cell>
          <cell r="E1293">
            <v>24</v>
          </cell>
          <cell r="F1293">
            <v>56102</v>
          </cell>
          <cell r="H1293">
            <v>5</v>
          </cell>
          <cell r="I1293">
            <v>0</v>
          </cell>
          <cell r="J1293">
            <v>0</v>
          </cell>
          <cell r="K1293">
            <v>823944</v>
          </cell>
          <cell r="L1293">
            <v>0</v>
          </cell>
          <cell r="M1293">
            <v>823944</v>
          </cell>
          <cell r="N1293">
            <v>0</v>
          </cell>
          <cell r="O1293" t="str">
            <v>Заработная плата</v>
          </cell>
        </row>
        <row r="1294">
          <cell r="A1294">
            <v>9</v>
          </cell>
          <cell r="B1294">
            <v>214</v>
          </cell>
          <cell r="C1294">
            <v>3563</v>
          </cell>
          <cell r="D1294">
            <v>970.33</v>
          </cell>
          <cell r="E1294">
            <v>24</v>
          </cell>
          <cell r="F1294">
            <v>56102</v>
          </cell>
          <cell r="H1294">
            <v>5</v>
          </cell>
          <cell r="I1294">
            <v>0</v>
          </cell>
          <cell r="J1294">
            <v>0</v>
          </cell>
          <cell r="K1294">
            <v>1581749.49</v>
          </cell>
          <cell r="L1294">
            <v>0</v>
          </cell>
          <cell r="M1294">
            <v>1581749.49</v>
          </cell>
          <cell r="N1294">
            <v>0</v>
          </cell>
          <cell r="O1294" t="str">
            <v>Заработная плата</v>
          </cell>
        </row>
        <row r="1295">
          <cell r="A1295">
            <v>9</v>
          </cell>
          <cell r="B1295">
            <v>214</v>
          </cell>
          <cell r="C1295">
            <v>5996</v>
          </cell>
          <cell r="D1295">
            <v>970.33</v>
          </cell>
          <cell r="E1295">
            <v>24</v>
          </cell>
          <cell r="F1295">
            <v>56102</v>
          </cell>
          <cell r="H1295">
            <v>5</v>
          </cell>
          <cell r="I1295">
            <v>0</v>
          </cell>
          <cell r="J1295">
            <v>0</v>
          </cell>
          <cell r="K1295">
            <v>1511389.8</v>
          </cell>
          <cell r="L1295">
            <v>0</v>
          </cell>
          <cell r="M1295">
            <v>1511389.8</v>
          </cell>
          <cell r="N1295">
            <v>0</v>
          </cell>
          <cell r="O1295" t="str">
            <v>Заработная плата</v>
          </cell>
        </row>
        <row r="1296">
          <cell r="A1296">
            <v>9</v>
          </cell>
          <cell r="B1296">
            <v>214</v>
          </cell>
          <cell r="C1296">
            <v>7783</v>
          </cell>
          <cell r="D1296">
            <v>970.33</v>
          </cell>
          <cell r="E1296">
            <v>24</v>
          </cell>
          <cell r="F1296">
            <v>56102</v>
          </cell>
          <cell r="H1296">
            <v>5</v>
          </cell>
          <cell r="I1296">
            <v>0</v>
          </cell>
          <cell r="J1296">
            <v>0</v>
          </cell>
          <cell r="K1296">
            <v>1278380.18</v>
          </cell>
          <cell r="L1296">
            <v>0</v>
          </cell>
          <cell r="M1296">
            <v>1278380.18</v>
          </cell>
          <cell r="N1296">
            <v>0</v>
          </cell>
          <cell r="O1296" t="str">
            <v>Заработная плата</v>
          </cell>
        </row>
        <row r="1297">
          <cell r="A1297">
            <v>9</v>
          </cell>
          <cell r="B1297">
            <v>214</v>
          </cell>
          <cell r="C1297">
            <v>7845</v>
          </cell>
          <cell r="D1297">
            <v>970.33</v>
          </cell>
          <cell r="E1297">
            <v>24</v>
          </cell>
          <cell r="F1297">
            <v>56102</v>
          </cell>
          <cell r="H1297">
            <v>5</v>
          </cell>
          <cell r="I1297">
            <v>0</v>
          </cell>
          <cell r="J1297">
            <v>0</v>
          </cell>
          <cell r="K1297">
            <v>946825.78</v>
          </cell>
          <cell r="L1297">
            <v>0</v>
          </cell>
          <cell r="M1297">
            <v>946825.78</v>
          </cell>
          <cell r="N1297">
            <v>0</v>
          </cell>
          <cell r="O1297" t="str">
            <v>Заработная плата</v>
          </cell>
        </row>
        <row r="1298">
          <cell r="A1298">
            <v>9</v>
          </cell>
          <cell r="B1298">
            <v>214</v>
          </cell>
          <cell r="C1298">
            <v>7948</v>
          </cell>
          <cell r="D1298">
            <v>970.33</v>
          </cell>
          <cell r="E1298">
            <v>24</v>
          </cell>
          <cell r="F1298">
            <v>56102</v>
          </cell>
          <cell r="H1298">
            <v>5</v>
          </cell>
          <cell r="I1298">
            <v>0</v>
          </cell>
          <cell r="J1298">
            <v>0</v>
          </cell>
          <cell r="K1298">
            <v>796463.51</v>
          </cell>
          <cell r="L1298">
            <v>0</v>
          </cell>
          <cell r="M1298">
            <v>796463.51</v>
          </cell>
          <cell r="N1298">
            <v>0</v>
          </cell>
          <cell r="O1298" t="str">
            <v>Заработная плата</v>
          </cell>
        </row>
        <row r="1299">
          <cell r="A1299">
            <v>9</v>
          </cell>
          <cell r="B1299">
            <v>214</v>
          </cell>
          <cell r="C1299">
            <v>8002</v>
          </cell>
          <cell r="D1299">
            <v>970.33</v>
          </cell>
          <cell r="E1299">
            <v>24</v>
          </cell>
          <cell r="F1299">
            <v>56102</v>
          </cell>
          <cell r="H1299">
            <v>5</v>
          </cell>
          <cell r="I1299">
            <v>0</v>
          </cell>
          <cell r="J1299">
            <v>0</v>
          </cell>
          <cell r="K1299">
            <v>918271.93</v>
          </cell>
          <cell r="L1299">
            <v>0</v>
          </cell>
          <cell r="M1299">
            <v>918271.93</v>
          </cell>
          <cell r="N1299">
            <v>0</v>
          </cell>
          <cell r="O1299" t="str">
            <v>Заработная плата</v>
          </cell>
        </row>
        <row r="1300">
          <cell r="A1300">
            <v>9</v>
          </cell>
          <cell r="B1300">
            <v>214</v>
          </cell>
          <cell r="C1300">
            <v>8104</v>
          </cell>
          <cell r="D1300">
            <v>970.33</v>
          </cell>
          <cell r="E1300">
            <v>24</v>
          </cell>
          <cell r="F1300">
            <v>56102</v>
          </cell>
          <cell r="H1300">
            <v>5</v>
          </cell>
          <cell r="I1300">
            <v>0</v>
          </cell>
          <cell r="J1300">
            <v>0</v>
          </cell>
          <cell r="K1300">
            <v>936805</v>
          </cell>
          <cell r="L1300">
            <v>0</v>
          </cell>
          <cell r="M1300">
            <v>936805</v>
          </cell>
          <cell r="N1300">
            <v>0</v>
          </cell>
          <cell r="O1300" t="str">
            <v>Заработная плата</v>
          </cell>
        </row>
        <row r="1301">
          <cell r="A1301">
            <v>9</v>
          </cell>
          <cell r="B1301">
            <v>214</v>
          </cell>
          <cell r="C1301">
            <v>8137</v>
          </cell>
          <cell r="D1301">
            <v>970.33</v>
          </cell>
          <cell r="E1301">
            <v>24</v>
          </cell>
          <cell r="F1301">
            <v>56102</v>
          </cell>
          <cell r="H1301">
            <v>5</v>
          </cell>
          <cell r="I1301">
            <v>0</v>
          </cell>
          <cell r="J1301">
            <v>0</v>
          </cell>
          <cell r="K1301">
            <v>701617</v>
          </cell>
          <cell r="L1301">
            <v>0</v>
          </cell>
          <cell r="M1301">
            <v>701617</v>
          </cell>
          <cell r="N1301">
            <v>0</v>
          </cell>
          <cell r="O1301" t="str">
            <v>Заработная плата</v>
          </cell>
        </row>
        <row r="1302">
          <cell r="A1302">
            <v>9</v>
          </cell>
          <cell r="B1302">
            <v>214</v>
          </cell>
          <cell r="C1302">
            <v>8298</v>
          </cell>
          <cell r="D1302">
            <v>970.33</v>
          </cell>
          <cell r="E1302">
            <v>24</v>
          </cell>
          <cell r="F1302">
            <v>56102</v>
          </cell>
          <cell r="H1302">
            <v>5</v>
          </cell>
          <cell r="I1302">
            <v>0</v>
          </cell>
          <cell r="J1302">
            <v>0</v>
          </cell>
          <cell r="K1302">
            <v>958247.77</v>
          </cell>
          <cell r="L1302">
            <v>0</v>
          </cell>
          <cell r="M1302">
            <v>958247.77</v>
          </cell>
          <cell r="N1302">
            <v>0</v>
          </cell>
          <cell r="O1302" t="str">
            <v>Заработная плата</v>
          </cell>
        </row>
        <row r="1303">
          <cell r="A1303">
            <v>9</v>
          </cell>
          <cell r="B1303">
            <v>214</v>
          </cell>
          <cell r="C1303">
            <v>8533</v>
          </cell>
          <cell r="D1303">
            <v>970.33</v>
          </cell>
          <cell r="E1303">
            <v>24</v>
          </cell>
          <cell r="F1303">
            <v>56102</v>
          </cell>
          <cell r="H1303">
            <v>5</v>
          </cell>
          <cell r="I1303">
            <v>0</v>
          </cell>
          <cell r="J1303">
            <v>0</v>
          </cell>
          <cell r="K1303">
            <v>417896</v>
          </cell>
          <cell r="L1303">
            <v>0</v>
          </cell>
          <cell r="M1303">
            <v>417896</v>
          </cell>
          <cell r="N1303">
            <v>0</v>
          </cell>
          <cell r="O1303" t="str">
            <v>Заработная плата</v>
          </cell>
        </row>
        <row r="1304">
          <cell r="A1304">
            <v>9</v>
          </cell>
          <cell r="B1304">
            <v>214</v>
          </cell>
          <cell r="C1304">
            <v>8659</v>
          </cell>
          <cell r="D1304">
            <v>970.33</v>
          </cell>
          <cell r="E1304">
            <v>24</v>
          </cell>
          <cell r="F1304">
            <v>56102</v>
          </cell>
          <cell r="H1304">
            <v>5</v>
          </cell>
          <cell r="I1304">
            <v>0</v>
          </cell>
          <cell r="J1304">
            <v>0</v>
          </cell>
          <cell r="K1304">
            <v>763933.44</v>
          </cell>
          <cell r="L1304">
            <v>0</v>
          </cell>
          <cell r="M1304">
            <v>763933.44</v>
          </cell>
          <cell r="N1304">
            <v>0</v>
          </cell>
          <cell r="O1304" t="str">
            <v>Заработная плата</v>
          </cell>
        </row>
        <row r="1305">
          <cell r="A1305">
            <v>9</v>
          </cell>
          <cell r="B1305">
            <v>214</v>
          </cell>
          <cell r="C1305">
            <v>214</v>
          </cell>
          <cell r="D1305">
            <v>970.36</v>
          </cell>
          <cell r="E1305">
            <v>24</v>
          </cell>
          <cell r="F1305">
            <v>56114</v>
          </cell>
          <cell r="H1305">
            <v>5</v>
          </cell>
          <cell r="I1305">
            <v>0</v>
          </cell>
          <cell r="J1305">
            <v>0</v>
          </cell>
          <cell r="K1305">
            <v>273127</v>
          </cell>
          <cell r="L1305">
            <v>0</v>
          </cell>
          <cell r="M1305">
            <v>273127</v>
          </cell>
          <cell r="N1305">
            <v>0</v>
          </cell>
          <cell r="O1305" t="str">
            <v>Взносы на социальное страхование</v>
          </cell>
        </row>
        <row r="1306">
          <cell r="A1306">
            <v>9</v>
          </cell>
          <cell r="B1306">
            <v>214</v>
          </cell>
          <cell r="C1306">
            <v>3563</v>
          </cell>
          <cell r="D1306">
            <v>970.36</v>
          </cell>
          <cell r="E1306">
            <v>24</v>
          </cell>
          <cell r="F1306">
            <v>56114</v>
          </cell>
          <cell r="H1306">
            <v>5</v>
          </cell>
          <cell r="I1306">
            <v>0</v>
          </cell>
          <cell r="J1306">
            <v>0</v>
          </cell>
          <cell r="K1306">
            <v>287557.64</v>
          </cell>
          <cell r="L1306">
            <v>0</v>
          </cell>
          <cell r="M1306">
            <v>287557.64</v>
          </cell>
          <cell r="N1306">
            <v>0</v>
          </cell>
          <cell r="O1306" t="str">
            <v>Взносы на социальное страхование</v>
          </cell>
        </row>
        <row r="1307">
          <cell r="A1307">
            <v>9</v>
          </cell>
          <cell r="B1307">
            <v>214</v>
          </cell>
          <cell r="C1307">
            <v>5996</v>
          </cell>
          <cell r="D1307">
            <v>970.36</v>
          </cell>
          <cell r="E1307">
            <v>24</v>
          </cell>
          <cell r="F1307">
            <v>56114</v>
          </cell>
          <cell r="H1307">
            <v>5</v>
          </cell>
          <cell r="I1307">
            <v>0</v>
          </cell>
          <cell r="J1307">
            <v>0</v>
          </cell>
          <cell r="K1307">
            <v>442010.92</v>
          </cell>
          <cell r="L1307">
            <v>0</v>
          </cell>
          <cell r="M1307">
            <v>442010.92</v>
          </cell>
          <cell r="N1307">
            <v>0</v>
          </cell>
          <cell r="O1307" t="str">
            <v>Взносы на социальное страхование</v>
          </cell>
        </row>
        <row r="1308">
          <cell r="A1308">
            <v>9</v>
          </cell>
          <cell r="B1308">
            <v>214</v>
          </cell>
          <cell r="C1308">
            <v>7783</v>
          </cell>
          <cell r="D1308">
            <v>970.36</v>
          </cell>
          <cell r="E1308">
            <v>24</v>
          </cell>
          <cell r="F1308">
            <v>56114</v>
          </cell>
          <cell r="H1308">
            <v>5</v>
          </cell>
          <cell r="I1308">
            <v>0</v>
          </cell>
          <cell r="J1308">
            <v>0</v>
          </cell>
          <cell r="K1308">
            <v>381116.67</v>
          </cell>
          <cell r="L1308">
            <v>0</v>
          </cell>
          <cell r="M1308">
            <v>381116.67</v>
          </cell>
          <cell r="N1308">
            <v>0</v>
          </cell>
          <cell r="O1308" t="str">
            <v>Взносы на социальное страхование</v>
          </cell>
        </row>
        <row r="1309">
          <cell r="A1309">
            <v>9</v>
          </cell>
          <cell r="B1309">
            <v>214</v>
          </cell>
          <cell r="C1309">
            <v>7845</v>
          </cell>
          <cell r="D1309">
            <v>970.36</v>
          </cell>
          <cell r="E1309">
            <v>24</v>
          </cell>
          <cell r="F1309">
            <v>56114</v>
          </cell>
          <cell r="H1309">
            <v>5</v>
          </cell>
          <cell r="I1309">
            <v>0</v>
          </cell>
          <cell r="J1309">
            <v>0</v>
          </cell>
          <cell r="K1309">
            <v>345309.68</v>
          </cell>
          <cell r="L1309">
            <v>0</v>
          </cell>
          <cell r="M1309">
            <v>345309.68</v>
          </cell>
          <cell r="N1309">
            <v>0</v>
          </cell>
          <cell r="O1309" t="str">
            <v>Взносы на социальное страхование</v>
          </cell>
        </row>
        <row r="1310">
          <cell r="A1310">
            <v>9</v>
          </cell>
          <cell r="B1310">
            <v>214</v>
          </cell>
          <cell r="C1310">
            <v>7948</v>
          </cell>
          <cell r="D1310">
            <v>970.36</v>
          </cell>
          <cell r="E1310">
            <v>24</v>
          </cell>
          <cell r="F1310">
            <v>56114</v>
          </cell>
          <cell r="H1310">
            <v>5</v>
          </cell>
          <cell r="I1310">
            <v>0</v>
          </cell>
          <cell r="J1310">
            <v>0</v>
          </cell>
          <cell r="K1310">
            <v>367948.72</v>
          </cell>
          <cell r="L1310">
            <v>0</v>
          </cell>
          <cell r="M1310">
            <v>367948.72</v>
          </cell>
          <cell r="N1310">
            <v>0</v>
          </cell>
          <cell r="O1310" t="str">
            <v>Взносы на социальное страхование</v>
          </cell>
        </row>
        <row r="1311">
          <cell r="A1311">
            <v>9</v>
          </cell>
          <cell r="B1311">
            <v>214</v>
          </cell>
          <cell r="C1311">
            <v>8002</v>
          </cell>
          <cell r="D1311">
            <v>970.36</v>
          </cell>
          <cell r="E1311">
            <v>24</v>
          </cell>
          <cell r="F1311">
            <v>56114</v>
          </cell>
          <cell r="H1311">
            <v>5</v>
          </cell>
          <cell r="I1311">
            <v>0</v>
          </cell>
          <cell r="J1311">
            <v>0</v>
          </cell>
          <cell r="K1311">
            <v>256633</v>
          </cell>
          <cell r="L1311">
            <v>0</v>
          </cell>
          <cell r="M1311">
            <v>256633</v>
          </cell>
          <cell r="N1311">
            <v>0</v>
          </cell>
          <cell r="O1311" t="str">
            <v>Взносы на социальное страхование</v>
          </cell>
        </row>
        <row r="1312">
          <cell r="A1312">
            <v>9</v>
          </cell>
          <cell r="B1312">
            <v>214</v>
          </cell>
          <cell r="C1312">
            <v>8104</v>
          </cell>
          <cell r="D1312">
            <v>970.36</v>
          </cell>
          <cell r="E1312">
            <v>24</v>
          </cell>
          <cell r="F1312">
            <v>56114</v>
          </cell>
          <cell r="H1312">
            <v>5</v>
          </cell>
          <cell r="I1312">
            <v>0</v>
          </cell>
          <cell r="J1312">
            <v>0</v>
          </cell>
          <cell r="K1312">
            <v>244020.7</v>
          </cell>
          <cell r="L1312">
            <v>0</v>
          </cell>
          <cell r="M1312">
            <v>244020.7</v>
          </cell>
          <cell r="N1312">
            <v>0</v>
          </cell>
          <cell r="O1312" t="str">
            <v>Взносы на социальное страхование</v>
          </cell>
        </row>
        <row r="1313">
          <cell r="A1313">
            <v>9</v>
          </cell>
          <cell r="B1313">
            <v>214</v>
          </cell>
          <cell r="C1313">
            <v>8137</v>
          </cell>
          <cell r="D1313">
            <v>970.36</v>
          </cell>
          <cell r="E1313">
            <v>24</v>
          </cell>
          <cell r="F1313">
            <v>56114</v>
          </cell>
          <cell r="H1313">
            <v>5</v>
          </cell>
          <cell r="I1313">
            <v>0</v>
          </cell>
          <cell r="J1313">
            <v>0</v>
          </cell>
          <cell r="K1313">
            <v>254817</v>
          </cell>
          <cell r="L1313">
            <v>0</v>
          </cell>
          <cell r="M1313">
            <v>254817</v>
          </cell>
          <cell r="N1313">
            <v>0</v>
          </cell>
          <cell r="O1313" t="str">
            <v>Взносы на социальное страхование</v>
          </cell>
        </row>
        <row r="1314">
          <cell r="A1314">
            <v>9</v>
          </cell>
          <cell r="B1314">
            <v>214</v>
          </cell>
          <cell r="C1314">
            <v>8298</v>
          </cell>
          <cell r="D1314">
            <v>970.36</v>
          </cell>
          <cell r="E1314">
            <v>24</v>
          </cell>
          <cell r="F1314">
            <v>56114</v>
          </cell>
          <cell r="H1314">
            <v>5</v>
          </cell>
          <cell r="I1314">
            <v>0</v>
          </cell>
          <cell r="J1314">
            <v>0</v>
          </cell>
          <cell r="K1314">
            <v>361951.27</v>
          </cell>
          <cell r="L1314">
            <v>0</v>
          </cell>
          <cell r="M1314">
            <v>361951.27</v>
          </cell>
          <cell r="N1314">
            <v>0</v>
          </cell>
          <cell r="O1314" t="str">
            <v>Взносы на социальное страхование</v>
          </cell>
        </row>
        <row r="1315">
          <cell r="A1315">
            <v>9</v>
          </cell>
          <cell r="B1315">
            <v>214</v>
          </cell>
          <cell r="C1315">
            <v>8533</v>
          </cell>
          <cell r="D1315">
            <v>970.36</v>
          </cell>
          <cell r="E1315">
            <v>24</v>
          </cell>
          <cell r="F1315">
            <v>56114</v>
          </cell>
          <cell r="H1315">
            <v>5</v>
          </cell>
          <cell r="I1315">
            <v>0</v>
          </cell>
          <cell r="J1315">
            <v>0</v>
          </cell>
          <cell r="K1315">
            <v>114003</v>
          </cell>
          <cell r="L1315">
            <v>0</v>
          </cell>
          <cell r="M1315">
            <v>114003</v>
          </cell>
          <cell r="N1315">
            <v>0</v>
          </cell>
          <cell r="O1315" t="str">
            <v>Взносы на социальное страхование</v>
          </cell>
        </row>
        <row r="1316">
          <cell r="A1316">
            <v>9</v>
          </cell>
          <cell r="B1316">
            <v>214</v>
          </cell>
          <cell r="C1316">
            <v>8659</v>
          </cell>
          <cell r="D1316">
            <v>970.36</v>
          </cell>
          <cell r="E1316">
            <v>24</v>
          </cell>
          <cell r="F1316">
            <v>56114</v>
          </cell>
          <cell r="H1316">
            <v>5</v>
          </cell>
          <cell r="I1316">
            <v>0</v>
          </cell>
          <cell r="J1316">
            <v>0</v>
          </cell>
          <cell r="K1316">
            <v>276256.59999999998</v>
          </cell>
          <cell r="L1316">
            <v>0</v>
          </cell>
          <cell r="M1316">
            <v>276256.59999999998</v>
          </cell>
          <cell r="N1316">
            <v>0</v>
          </cell>
          <cell r="O1316" t="str">
            <v>Взносы на социальное страхование</v>
          </cell>
        </row>
        <row r="1317">
          <cell r="A1317">
            <v>9</v>
          </cell>
          <cell r="B1317">
            <v>214</v>
          </cell>
          <cell r="C1317">
            <v>214</v>
          </cell>
          <cell r="D1317">
            <v>970.37</v>
          </cell>
          <cell r="E1317">
            <v>24</v>
          </cell>
          <cell r="F1317">
            <v>56118</v>
          </cell>
          <cell r="H1317">
            <v>5</v>
          </cell>
          <cell r="I1317">
            <v>0</v>
          </cell>
          <cell r="J1317">
            <v>0</v>
          </cell>
          <cell r="K1317">
            <v>37575</v>
          </cell>
          <cell r="L1317">
            <v>0</v>
          </cell>
          <cell r="M1317">
            <v>37575</v>
          </cell>
          <cell r="N1317">
            <v>0</v>
          </cell>
          <cell r="O1317" t="str">
            <v>Социальная защита - участие банка в расходах по социальной з</v>
          </cell>
        </row>
        <row r="1318">
          <cell r="A1318">
            <v>9</v>
          </cell>
          <cell r="B1318">
            <v>214</v>
          </cell>
          <cell r="C1318">
            <v>5996</v>
          </cell>
          <cell r="D1318">
            <v>970.37</v>
          </cell>
          <cell r="E1318">
            <v>24</v>
          </cell>
          <cell r="F1318">
            <v>56118</v>
          </cell>
          <cell r="H1318">
            <v>5</v>
          </cell>
          <cell r="I1318">
            <v>0</v>
          </cell>
          <cell r="J1318">
            <v>0</v>
          </cell>
          <cell r="K1318">
            <v>116130</v>
          </cell>
          <cell r="L1318">
            <v>5280</v>
          </cell>
          <cell r="M1318">
            <v>110850</v>
          </cell>
          <cell r="N1318">
            <v>0</v>
          </cell>
          <cell r="O1318" t="str">
            <v>Социальная защита - участие банка в расходах по социальной з</v>
          </cell>
        </row>
        <row r="1319">
          <cell r="A1319">
            <v>9</v>
          </cell>
          <cell r="B1319">
            <v>214</v>
          </cell>
          <cell r="C1319">
            <v>7783</v>
          </cell>
          <cell r="D1319">
            <v>970.37</v>
          </cell>
          <cell r="E1319">
            <v>24</v>
          </cell>
          <cell r="F1319">
            <v>56118</v>
          </cell>
          <cell r="H1319">
            <v>5</v>
          </cell>
          <cell r="I1319">
            <v>0</v>
          </cell>
          <cell r="J1319">
            <v>0</v>
          </cell>
          <cell r="K1319">
            <v>110775</v>
          </cell>
          <cell r="L1319">
            <v>0</v>
          </cell>
          <cell r="M1319">
            <v>110775</v>
          </cell>
          <cell r="N1319">
            <v>0</v>
          </cell>
          <cell r="O1319" t="str">
            <v>Социальная защита - участие банка в расходах по социальной з</v>
          </cell>
        </row>
        <row r="1320">
          <cell r="A1320">
            <v>9</v>
          </cell>
          <cell r="B1320">
            <v>214</v>
          </cell>
          <cell r="C1320">
            <v>7845</v>
          </cell>
          <cell r="D1320">
            <v>970.37</v>
          </cell>
          <cell r="E1320">
            <v>24</v>
          </cell>
          <cell r="F1320">
            <v>56118</v>
          </cell>
          <cell r="H1320">
            <v>5</v>
          </cell>
          <cell r="I1320">
            <v>0</v>
          </cell>
          <cell r="J1320">
            <v>0</v>
          </cell>
          <cell r="K1320">
            <v>82675</v>
          </cell>
          <cell r="L1320">
            <v>0</v>
          </cell>
          <cell r="M1320">
            <v>82675</v>
          </cell>
          <cell r="N1320">
            <v>0</v>
          </cell>
          <cell r="O1320" t="str">
            <v>Социальная защита - участие банка в расходах по социальной з</v>
          </cell>
        </row>
        <row r="1321">
          <cell r="A1321">
            <v>9</v>
          </cell>
          <cell r="B1321">
            <v>214</v>
          </cell>
          <cell r="C1321">
            <v>7948</v>
          </cell>
          <cell r="D1321">
            <v>970.37</v>
          </cell>
          <cell r="E1321">
            <v>24</v>
          </cell>
          <cell r="F1321">
            <v>56118</v>
          </cell>
          <cell r="H1321">
            <v>5</v>
          </cell>
          <cell r="I1321">
            <v>0</v>
          </cell>
          <cell r="J1321">
            <v>0</v>
          </cell>
          <cell r="K1321">
            <v>113125</v>
          </cell>
          <cell r="L1321">
            <v>0</v>
          </cell>
          <cell r="M1321">
            <v>113125</v>
          </cell>
          <cell r="N1321">
            <v>0</v>
          </cell>
          <cell r="O1321" t="str">
            <v>Социальная защита - участие банка в расходах по социальной з</v>
          </cell>
        </row>
        <row r="1322">
          <cell r="A1322">
            <v>9</v>
          </cell>
          <cell r="B1322">
            <v>214</v>
          </cell>
          <cell r="C1322">
            <v>8002</v>
          </cell>
          <cell r="D1322">
            <v>970.37</v>
          </cell>
          <cell r="E1322">
            <v>24</v>
          </cell>
          <cell r="F1322">
            <v>56118</v>
          </cell>
          <cell r="H1322">
            <v>5</v>
          </cell>
          <cell r="I1322">
            <v>0</v>
          </cell>
          <cell r="J1322">
            <v>0</v>
          </cell>
          <cell r="K1322">
            <v>123606.21</v>
          </cell>
          <cell r="L1322">
            <v>0</v>
          </cell>
          <cell r="M1322">
            <v>123606.21</v>
          </cell>
          <cell r="N1322">
            <v>0</v>
          </cell>
          <cell r="O1322" t="str">
            <v>Социальная защита - участие банка в расходах по социальной з</v>
          </cell>
        </row>
        <row r="1323">
          <cell r="A1323">
            <v>9</v>
          </cell>
          <cell r="B1323">
            <v>214</v>
          </cell>
          <cell r="C1323">
            <v>8104</v>
          </cell>
          <cell r="D1323">
            <v>970.37</v>
          </cell>
          <cell r="E1323">
            <v>24</v>
          </cell>
          <cell r="F1323">
            <v>56118</v>
          </cell>
          <cell r="H1323">
            <v>5</v>
          </cell>
          <cell r="I1323">
            <v>0</v>
          </cell>
          <cell r="J1323">
            <v>0</v>
          </cell>
          <cell r="K1323">
            <v>86985</v>
          </cell>
          <cell r="L1323">
            <v>0</v>
          </cell>
          <cell r="M1323">
            <v>86985</v>
          </cell>
          <cell r="N1323">
            <v>0</v>
          </cell>
          <cell r="O1323" t="str">
            <v>Социальная защита - участие банка в расходах по социальной з</v>
          </cell>
        </row>
        <row r="1324">
          <cell r="A1324">
            <v>9</v>
          </cell>
          <cell r="B1324">
            <v>214</v>
          </cell>
          <cell r="C1324">
            <v>8137</v>
          </cell>
          <cell r="D1324">
            <v>970.37</v>
          </cell>
          <cell r="E1324">
            <v>24</v>
          </cell>
          <cell r="F1324">
            <v>56118</v>
          </cell>
          <cell r="H1324">
            <v>5</v>
          </cell>
          <cell r="I1324">
            <v>0</v>
          </cell>
          <cell r="J1324">
            <v>0</v>
          </cell>
          <cell r="K1324">
            <v>83160</v>
          </cell>
          <cell r="L1324">
            <v>0</v>
          </cell>
          <cell r="M1324">
            <v>83160</v>
          </cell>
          <cell r="N1324">
            <v>0</v>
          </cell>
          <cell r="O1324" t="str">
            <v>Социальная защита - участие банка в расходах по социальной з</v>
          </cell>
        </row>
        <row r="1325">
          <cell r="A1325">
            <v>9</v>
          </cell>
          <cell r="B1325">
            <v>214</v>
          </cell>
          <cell r="C1325">
            <v>8298</v>
          </cell>
          <cell r="D1325">
            <v>970.37</v>
          </cell>
          <cell r="E1325">
            <v>24</v>
          </cell>
          <cell r="F1325">
            <v>56118</v>
          </cell>
          <cell r="H1325">
            <v>5</v>
          </cell>
          <cell r="I1325">
            <v>0</v>
          </cell>
          <cell r="J1325">
            <v>0</v>
          </cell>
          <cell r="K1325">
            <v>38400</v>
          </cell>
          <cell r="L1325">
            <v>0</v>
          </cell>
          <cell r="M1325">
            <v>38400</v>
          </cell>
          <cell r="N1325">
            <v>0</v>
          </cell>
          <cell r="O1325" t="str">
            <v>Социальная защита - участие банка в расходах по социальной з</v>
          </cell>
        </row>
        <row r="1326">
          <cell r="A1326">
            <v>9</v>
          </cell>
          <cell r="B1326">
            <v>214</v>
          </cell>
          <cell r="C1326">
            <v>8533</v>
          </cell>
          <cell r="D1326">
            <v>970.37</v>
          </cell>
          <cell r="E1326">
            <v>24</v>
          </cell>
          <cell r="F1326">
            <v>56118</v>
          </cell>
          <cell r="H1326">
            <v>5</v>
          </cell>
          <cell r="I1326">
            <v>0</v>
          </cell>
          <cell r="J1326">
            <v>0</v>
          </cell>
          <cell r="K1326">
            <v>19110</v>
          </cell>
          <cell r="L1326">
            <v>0</v>
          </cell>
          <cell r="M1326">
            <v>19110</v>
          </cell>
          <cell r="N1326">
            <v>0</v>
          </cell>
          <cell r="O1326" t="str">
            <v>Социальная защита - участие банка в расходах по социальной з</v>
          </cell>
        </row>
        <row r="1327">
          <cell r="A1327">
            <v>9</v>
          </cell>
          <cell r="B1327">
            <v>214</v>
          </cell>
          <cell r="C1327">
            <v>8659</v>
          </cell>
          <cell r="D1327">
            <v>970.37</v>
          </cell>
          <cell r="E1327">
            <v>24</v>
          </cell>
          <cell r="F1327">
            <v>56118</v>
          </cell>
          <cell r="H1327">
            <v>5</v>
          </cell>
          <cell r="I1327">
            <v>0</v>
          </cell>
          <cell r="J1327">
            <v>0</v>
          </cell>
          <cell r="K1327">
            <v>23430</v>
          </cell>
          <cell r="L1327">
            <v>0</v>
          </cell>
          <cell r="M1327">
            <v>23430</v>
          </cell>
          <cell r="N1327">
            <v>0</v>
          </cell>
          <cell r="O1327" t="str">
            <v>Социальная защита - участие банка в расходах по социальной з</v>
          </cell>
        </row>
        <row r="1328">
          <cell r="A1328">
            <v>9</v>
          </cell>
          <cell r="B1328">
            <v>214</v>
          </cell>
          <cell r="C1328">
            <v>7948</v>
          </cell>
          <cell r="D1328">
            <v>970.38</v>
          </cell>
          <cell r="E1328">
            <v>24</v>
          </cell>
          <cell r="F1328">
            <v>56195</v>
          </cell>
          <cell r="H1328">
            <v>5</v>
          </cell>
          <cell r="I1328">
            <v>0</v>
          </cell>
          <cell r="J1328">
            <v>0</v>
          </cell>
          <cell r="K1328">
            <v>10000</v>
          </cell>
          <cell r="L1328">
            <v>0</v>
          </cell>
          <cell r="M1328">
            <v>10000</v>
          </cell>
          <cell r="N1328">
            <v>0</v>
          </cell>
          <cell r="O1328" t="str">
            <v>Другие расходы на сотрудников</v>
          </cell>
        </row>
        <row r="1329">
          <cell r="A1329">
            <v>9</v>
          </cell>
          <cell r="B1329">
            <v>214</v>
          </cell>
          <cell r="C1329">
            <v>8104</v>
          </cell>
          <cell r="D1329">
            <v>970.39</v>
          </cell>
          <cell r="E1329">
            <v>24</v>
          </cell>
          <cell r="F1329">
            <v>56202</v>
          </cell>
          <cell r="H1329">
            <v>5</v>
          </cell>
          <cell r="I1329">
            <v>0</v>
          </cell>
          <cell r="J1329">
            <v>0</v>
          </cell>
          <cell r="K1329">
            <v>20000</v>
          </cell>
          <cell r="L1329">
            <v>0</v>
          </cell>
          <cell r="M1329">
            <v>20000</v>
          </cell>
          <cell r="N1329">
            <v>0</v>
          </cell>
          <cell r="O1329" t="str">
            <v>Ijara</v>
          </cell>
        </row>
        <row r="1330">
          <cell r="A1330">
            <v>9</v>
          </cell>
          <cell r="B1330">
            <v>214</v>
          </cell>
          <cell r="C1330">
            <v>8533</v>
          </cell>
          <cell r="D1330">
            <v>970.39</v>
          </cell>
          <cell r="E1330">
            <v>24</v>
          </cell>
          <cell r="F1330">
            <v>56202</v>
          </cell>
          <cell r="H1330">
            <v>5</v>
          </cell>
          <cell r="I1330">
            <v>0</v>
          </cell>
          <cell r="J1330">
            <v>0</v>
          </cell>
          <cell r="K1330">
            <v>10276</v>
          </cell>
          <cell r="L1330">
            <v>0</v>
          </cell>
          <cell r="M1330">
            <v>10276</v>
          </cell>
          <cell r="N1330">
            <v>0</v>
          </cell>
          <cell r="O1330" t="str">
            <v>Ijara</v>
          </cell>
        </row>
        <row r="1331">
          <cell r="A1331">
            <v>9</v>
          </cell>
          <cell r="B1331">
            <v>214</v>
          </cell>
          <cell r="C1331">
            <v>5996</v>
          </cell>
          <cell r="D1331">
            <v>970.4</v>
          </cell>
          <cell r="E1331">
            <v>24</v>
          </cell>
          <cell r="F1331">
            <v>56206</v>
          </cell>
          <cell r="H1331">
            <v>5</v>
          </cell>
          <cell r="I1331">
            <v>0</v>
          </cell>
          <cell r="J1331">
            <v>0</v>
          </cell>
          <cell r="K1331">
            <v>17706</v>
          </cell>
          <cell r="L1331">
            <v>0</v>
          </cell>
          <cell r="M1331">
            <v>17706</v>
          </cell>
          <cell r="N1331">
            <v>0</v>
          </cell>
          <cell r="O1331" t="str">
            <v>Suv</v>
          </cell>
        </row>
        <row r="1332">
          <cell r="A1332">
            <v>9</v>
          </cell>
          <cell r="B1332">
            <v>214</v>
          </cell>
          <cell r="C1332">
            <v>7783</v>
          </cell>
          <cell r="D1332">
            <v>970.4</v>
          </cell>
          <cell r="E1332">
            <v>24</v>
          </cell>
          <cell r="F1332">
            <v>56206</v>
          </cell>
          <cell r="H1332">
            <v>5</v>
          </cell>
          <cell r="I1332">
            <v>0</v>
          </cell>
          <cell r="J1332">
            <v>0</v>
          </cell>
          <cell r="K1332">
            <v>30470</v>
          </cell>
          <cell r="L1332">
            <v>0</v>
          </cell>
          <cell r="M1332">
            <v>30470</v>
          </cell>
          <cell r="N1332">
            <v>0</v>
          </cell>
          <cell r="O1332" t="str">
            <v>Suv</v>
          </cell>
        </row>
        <row r="1333">
          <cell r="A1333">
            <v>9</v>
          </cell>
          <cell r="B1333">
            <v>214</v>
          </cell>
          <cell r="C1333">
            <v>8104</v>
          </cell>
          <cell r="D1333">
            <v>970.4</v>
          </cell>
          <cell r="E1333">
            <v>24</v>
          </cell>
          <cell r="F1333">
            <v>56206</v>
          </cell>
          <cell r="H1333">
            <v>5</v>
          </cell>
          <cell r="I1333">
            <v>0</v>
          </cell>
          <cell r="J1333">
            <v>0</v>
          </cell>
          <cell r="K1333">
            <v>85000</v>
          </cell>
          <cell r="L1333">
            <v>0</v>
          </cell>
          <cell r="M1333">
            <v>85000</v>
          </cell>
          <cell r="N1333">
            <v>0</v>
          </cell>
          <cell r="O1333" t="str">
            <v>Suv</v>
          </cell>
        </row>
        <row r="1334">
          <cell r="A1334">
            <v>9</v>
          </cell>
          <cell r="B1334">
            <v>214</v>
          </cell>
          <cell r="C1334">
            <v>8298</v>
          </cell>
          <cell r="D1334">
            <v>970.4</v>
          </cell>
          <cell r="E1334">
            <v>24</v>
          </cell>
          <cell r="F1334">
            <v>56206</v>
          </cell>
          <cell r="H1334">
            <v>5</v>
          </cell>
          <cell r="I1334">
            <v>0</v>
          </cell>
          <cell r="J1334">
            <v>0</v>
          </cell>
          <cell r="K1334">
            <v>71490</v>
          </cell>
          <cell r="L1334">
            <v>0</v>
          </cell>
          <cell r="M1334">
            <v>71490</v>
          </cell>
          <cell r="N1334">
            <v>0</v>
          </cell>
          <cell r="O1334" t="str">
            <v>Suv</v>
          </cell>
        </row>
        <row r="1335">
          <cell r="A1335">
            <v>9</v>
          </cell>
          <cell r="B1335">
            <v>214</v>
          </cell>
          <cell r="C1335">
            <v>214</v>
          </cell>
          <cell r="D1335">
            <v>970.41</v>
          </cell>
          <cell r="E1335">
            <v>24</v>
          </cell>
          <cell r="F1335">
            <v>56210</v>
          </cell>
          <cell r="H1335">
            <v>5</v>
          </cell>
          <cell r="I1335">
            <v>0</v>
          </cell>
          <cell r="J1335">
            <v>0</v>
          </cell>
          <cell r="K1335">
            <v>216000</v>
          </cell>
          <cell r="L1335">
            <v>0</v>
          </cell>
          <cell r="M1335">
            <v>216000</v>
          </cell>
          <cell r="N1335">
            <v>0</v>
          </cell>
          <cell r="O1335" t="str">
            <v>Электричество и отопление</v>
          </cell>
        </row>
        <row r="1336">
          <cell r="A1336">
            <v>9</v>
          </cell>
          <cell r="B1336">
            <v>214</v>
          </cell>
          <cell r="C1336">
            <v>3563</v>
          </cell>
          <cell r="D1336">
            <v>970.41</v>
          </cell>
          <cell r="E1336">
            <v>24</v>
          </cell>
          <cell r="F1336">
            <v>56210</v>
          </cell>
          <cell r="H1336">
            <v>5</v>
          </cell>
          <cell r="I1336">
            <v>0</v>
          </cell>
          <cell r="J1336">
            <v>0</v>
          </cell>
          <cell r="K1336">
            <v>265119</v>
          </cell>
          <cell r="L1336">
            <v>0</v>
          </cell>
          <cell r="M1336">
            <v>265119</v>
          </cell>
          <cell r="N1336">
            <v>0</v>
          </cell>
          <cell r="O1336" t="str">
            <v>Электричество и отопление</v>
          </cell>
        </row>
        <row r="1337">
          <cell r="A1337">
            <v>9</v>
          </cell>
          <cell r="B1337">
            <v>214</v>
          </cell>
          <cell r="C1337">
            <v>5996</v>
          </cell>
          <cell r="D1337">
            <v>970.41</v>
          </cell>
          <cell r="E1337">
            <v>24</v>
          </cell>
          <cell r="F1337">
            <v>56210</v>
          </cell>
          <cell r="H1337">
            <v>5</v>
          </cell>
          <cell r="I1337">
            <v>0</v>
          </cell>
          <cell r="J1337">
            <v>0</v>
          </cell>
          <cell r="K1337">
            <v>137479.25</v>
          </cell>
          <cell r="L1337">
            <v>0</v>
          </cell>
          <cell r="M1337">
            <v>137479.25</v>
          </cell>
          <cell r="N1337">
            <v>0</v>
          </cell>
          <cell r="O1337" t="str">
            <v>Электричество и отопление</v>
          </cell>
        </row>
        <row r="1338">
          <cell r="A1338">
            <v>9</v>
          </cell>
          <cell r="B1338">
            <v>214</v>
          </cell>
          <cell r="C1338">
            <v>7783</v>
          </cell>
          <cell r="D1338">
            <v>970.41</v>
          </cell>
          <cell r="E1338">
            <v>24</v>
          </cell>
          <cell r="F1338">
            <v>56210</v>
          </cell>
          <cell r="H1338">
            <v>5</v>
          </cell>
          <cell r="I1338">
            <v>0</v>
          </cell>
          <cell r="J1338">
            <v>0</v>
          </cell>
          <cell r="K1338">
            <v>165760</v>
          </cell>
          <cell r="L1338">
            <v>0</v>
          </cell>
          <cell r="M1338">
            <v>165760</v>
          </cell>
          <cell r="N1338">
            <v>0</v>
          </cell>
          <cell r="O1338" t="str">
            <v>Электричество и отопление</v>
          </cell>
        </row>
        <row r="1339">
          <cell r="A1339">
            <v>9</v>
          </cell>
          <cell r="B1339">
            <v>214</v>
          </cell>
          <cell r="C1339">
            <v>7845</v>
          </cell>
          <cell r="D1339">
            <v>970.41</v>
          </cell>
          <cell r="E1339">
            <v>24</v>
          </cell>
          <cell r="F1339">
            <v>56210</v>
          </cell>
          <cell r="H1339">
            <v>5</v>
          </cell>
          <cell r="I1339">
            <v>0</v>
          </cell>
          <cell r="J1339">
            <v>0</v>
          </cell>
          <cell r="K1339">
            <v>199400</v>
          </cell>
          <cell r="L1339">
            <v>0</v>
          </cell>
          <cell r="M1339">
            <v>199400</v>
          </cell>
          <cell r="N1339">
            <v>0</v>
          </cell>
          <cell r="O1339" t="str">
            <v>Электричество и отопление</v>
          </cell>
        </row>
        <row r="1340">
          <cell r="A1340">
            <v>9</v>
          </cell>
          <cell r="B1340">
            <v>214</v>
          </cell>
          <cell r="C1340">
            <v>7948</v>
          </cell>
          <cell r="D1340">
            <v>970.41</v>
          </cell>
          <cell r="E1340">
            <v>24</v>
          </cell>
          <cell r="F1340">
            <v>56210</v>
          </cell>
          <cell r="H1340">
            <v>5</v>
          </cell>
          <cell r="I1340">
            <v>0</v>
          </cell>
          <cell r="J1340">
            <v>0</v>
          </cell>
          <cell r="K1340">
            <v>251887</v>
          </cell>
          <cell r="L1340">
            <v>0</v>
          </cell>
          <cell r="M1340">
            <v>251887</v>
          </cell>
          <cell r="N1340">
            <v>0</v>
          </cell>
          <cell r="O1340" t="str">
            <v>Электричество и отопление</v>
          </cell>
        </row>
        <row r="1341">
          <cell r="A1341">
            <v>9</v>
          </cell>
          <cell r="B1341">
            <v>214</v>
          </cell>
          <cell r="C1341">
            <v>8002</v>
          </cell>
          <cell r="D1341">
            <v>970.41</v>
          </cell>
          <cell r="E1341">
            <v>24</v>
          </cell>
          <cell r="F1341">
            <v>56210</v>
          </cell>
          <cell r="H1341">
            <v>5</v>
          </cell>
          <cell r="I1341">
            <v>0</v>
          </cell>
          <cell r="J1341">
            <v>0</v>
          </cell>
          <cell r="K1341">
            <v>86568</v>
          </cell>
          <cell r="L1341">
            <v>0</v>
          </cell>
          <cell r="M1341">
            <v>86568</v>
          </cell>
          <cell r="N1341">
            <v>0</v>
          </cell>
          <cell r="O1341" t="str">
            <v>Электричество и отопление</v>
          </cell>
        </row>
        <row r="1342">
          <cell r="A1342">
            <v>9</v>
          </cell>
          <cell r="B1342">
            <v>214</v>
          </cell>
          <cell r="C1342">
            <v>8104</v>
          </cell>
          <cell r="D1342">
            <v>970.41</v>
          </cell>
          <cell r="E1342">
            <v>24</v>
          </cell>
          <cell r="F1342">
            <v>56210</v>
          </cell>
          <cell r="H1342">
            <v>5</v>
          </cell>
          <cell r="I1342">
            <v>0</v>
          </cell>
          <cell r="J1342">
            <v>0</v>
          </cell>
          <cell r="K1342">
            <v>270600</v>
          </cell>
          <cell r="L1342">
            <v>0</v>
          </cell>
          <cell r="M1342">
            <v>270600</v>
          </cell>
          <cell r="N1342">
            <v>0</v>
          </cell>
          <cell r="O1342" t="str">
            <v>Электричество и отопление</v>
          </cell>
        </row>
        <row r="1343">
          <cell r="A1343">
            <v>9</v>
          </cell>
          <cell r="B1343">
            <v>214</v>
          </cell>
          <cell r="C1343">
            <v>8137</v>
          </cell>
          <cell r="D1343">
            <v>970.41</v>
          </cell>
          <cell r="E1343">
            <v>24</v>
          </cell>
          <cell r="F1343">
            <v>56210</v>
          </cell>
          <cell r="H1343">
            <v>5</v>
          </cell>
          <cell r="I1343">
            <v>0</v>
          </cell>
          <cell r="J1343">
            <v>0</v>
          </cell>
          <cell r="K1343">
            <v>211510</v>
          </cell>
          <cell r="L1343">
            <v>0</v>
          </cell>
          <cell r="M1343">
            <v>211510</v>
          </cell>
          <cell r="N1343">
            <v>0</v>
          </cell>
          <cell r="O1343" t="str">
            <v>Электричество и отопление</v>
          </cell>
        </row>
        <row r="1344">
          <cell r="A1344">
            <v>9</v>
          </cell>
          <cell r="B1344">
            <v>214</v>
          </cell>
          <cell r="C1344">
            <v>8659</v>
          </cell>
          <cell r="D1344">
            <v>970.41</v>
          </cell>
          <cell r="E1344">
            <v>24</v>
          </cell>
          <cell r="F1344">
            <v>56210</v>
          </cell>
          <cell r="H1344">
            <v>5</v>
          </cell>
          <cell r="I1344">
            <v>0</v>
          </cell>
          <cell r="J1344">
            <v>0</v>
          </cell>
          <cell r="K1344">
            <v>209412.1</v>
          </cell>
          <cell r="L1344">
            <v>0</v>
          </cell>
          <cell r="M1344">
            <v>209412.1</v>
          </cell>
          <cell r="N1344">
            <v>0</v>
          </cell>
          <cell r="O1344" t="str">
            <v>Электричество и отопление</v>
          </cell>
        </row>
        <row r="1345">
          <cell r="A1345">
            <v>9</v>
          </cell>
          <cell r="B1345">
            <v>214</v>
          </cell>
          <cell r="C1345">
            <v>5996</v>
          </cell>
          <cell r="D1345">
            <v>970.42</v>
          </cell>
          <cell r="E1345">
            <v>24</v>
          </cell>
          <cell r="F1345">
            <v>56214</v>
          </cell>
          <cell r="H1345">
            <v>5</v>
          </cell>
          <cell r="I1345">
            <v>0</v>
          </cell>
          <cell r="J1345">
            <v>0</v>
          </cell>
          <cell r="K1345">
            <v>900</v>
          </cell>
          <cell r="L1345">
            <v>0</v>
          </cell>
          <cell r="M1345">
            <v>900</v>
          </cell>
          <cell r="N1345">
            <v>0</v>
          </cell>
          <cell r="O1345" t="str">
            <v>Ремонт и содержание</v>
          </cell>
        </row>
        <row r="1346">
          <cell r="A1346">
            <v>9</v>
          </cell>
          <cell r="B1346">
            <v>214</v>
          </cell>
          <cell r="C1346">
            <v>7948</v>
          </cell>
          <cell r="D1346">
            <v>970.42</v>
          </cell>
          <cell r="E1346">
            <v>24</v>
          </cell>
          <cell r="F1346">
            <v>56214</v>
          </cell>
          <cell r="H1346">
            <v>5</v>
          </cell>
          <cell r="I1346">
            <v>0</v>
          </cell>
          <cell r="J1346">
            <v>0</v>
          </cell>
          <cell r="K1346">
            <v>11500</v>
          </cell>
          <cell r="L1346">
            <v>0</v>
          </cell>
          <cell r="M1346">
            <v>11500</v>
          </cell>
          <cell r="N1346">
            <v>0</v>
          </cell>
          <cell r="O1346" t="str">
            <v>Ремонт и содержание</v>
          </cell>
        </row>
        <row r="1347">
          <cell r="A1347">
            <v>9</v>
          </cell>
          <cell r="B1347">
            <v>214</v>
          </cell>
          <cell r="C1347">
            <v>8298</v>
          </cell>
          <cell r="D1347">
            <v>970.42</v>
          </cell>
          <cell r="E1347">
            <v>24</v>
          </cell>
          <cell r="F1347">
            <v>56214</v>
          </cell>
          <cell r="H1347">
            <v>5</v>
          </cell>
          <cell r="I1347">
            <v>0</v>
          </cell>
          <cell r="J1347">
            <v>0</v>
          </cell>
          <cell r="K1347">
            <v>8000</v>
          </cell>
          <cell r="L1347">
            <v>0</v>
          </cell>
          <cell r="M1347">
            <v>8000</v>
          </cell>
          <cell r="N1347">
            <v>0</v>
          </cell>
          <cell r="O1347" t="str">
            <v>Ремонт и содержание</v>
          </cell>
        </row>
        <row r="1348">
          <cell r="A1348">
            <v>9</v>
          </cell>
          <cell r="B1348">
            <v>214</v>
          </cell>
          <cell r="C1348">
            <v>8533</v>
          </cell>
          <cell r="D1348">
            <v>970.42</v>
          </cell>
          <cell r="E1348">
            <v>24</v>
          </cell>
          <cell r="F1348">
            <v>56214</v>
          </cell>
          <cell r="H1348">
            <v>5</v>
          </cell>
          <cell r="I1348">
            <v>0</v>
          </cell>
          <cell r="J1348">
            <v>0</v>
          </cell>
          <cell r="K1348">
            <v>150</v>
          </cell>
          <cell r="L1348">
            <v>0</v>
          </cell>
          <cell r="M1348">
            <v>150</v>
          </cell>
          <cell r="N1348">
            <v>0</v>
          </cell>
          <cell r="O1348" t="str">
            <v>Ремонт и содержание</v>
          </cell>
        </row>
        <row r="1349">
          <cell r="A1349">
            <v>9</v>
          </cell>
          <cell r="B1349">
            <v>214</v>
          </cell>
          <cell r="C1349">
            <v>3563</v>
          </cell>
          <cell r="D1349">
            <v>970.43</v>
          </cell>
          <cell r="E1349">
            <v>24</v>
          </cell>
          <cell r="F1349">
            <v>56218</v>
          </cell>
          <cell r="H1349">
            <v>5</v>
          </cell>
          <cell r="I1349">
            <v>0</v>
          </cell>
          <cell r="J1349">
            <v>0</v>
          </cell>
          <cell r="K1349">
            <v>30000</v>
          </cell>
          <cell r="L1349">
            <v>0</v>
          </cell>
          <cell r="M1349">
            <v>30000</v>
          </cell>
          <cell r="N1349">
            <v>0</v>
          </cell>
          <cell r="O1349" t="str">
            <v>Охрана</v>
          </cell>
        </row>
        <row r="1350">
          <cell r="A1350">
            <v>9</v>
          </cell>
          <cell r="B1350">
            <v>214</v>
          </cell>
          <cell r="C1350">
            <v>5996</v>
          </cell>
          <cell r="D1350">
            <v>970.43</v>
          </cell>
          <cell r="E1350">
            <v>24</v>
          </cell>
          <cell r="F1350">
            <v>56218</v>
          </cell>
          <cell r="H1350">
            <v>5</v>
          </cell>
          <cell r="I1350">
            <v>0</v>
          </cell>
          <cell r="J1350">
            <v>0</v>
          </cell>
          <cell r="K1350">
            <v>387179</v>
          </cell>
          <cell r="L1350">
            <v>0</v>
          </cell>
          <cell r="M1350">
            <v>387179</v>
          </cell>
          <cell r="N1350">
            <v>0</v>
          </cell>
          <cell r="O1350" t="str">
            <v>Охрана</v>
          </cell>
        </row>
        <row r="1351">
          <cell r="A1351">
            <v>9</v>
          </cell>
          <cell r="B1351">
            <v>214</v>
          </cell>
          <cell r="C1351">
            <v>7783</v>
          </cell>
          <cell r="D1351">
            <v>970.43</v>
          </cell>
          <cell r="E1351">
            <v>24</v>
          </cell>
          <cell r="F1351">
            <v>56218</v>
          </cell>
          <cell r="H1351">
            <v>5</v>
          </cell>
          <cell r="I1351">
            <v>0</v>
          </cell>
          <cell r="J1351">
            <v>0</v>
          </cell>
          <cell r="K1351">
            <v>90000</v>
          </cell>
          <cell r="L1351">
            <v>0</v>
          </cell>
          <cell r="M1351">
            <v>90000</v>
          </cell>
          <cell r="N1351">
            <v>0</v>
          </cell>
          <cell r="O1351" t="str">
            <v>Охрана</v>
          </cell>
        </row>
        <row r="1352">
          <cell r="A1352">
            <v>9</v>
          </cell>
          <cell r="B1352">
            <v>214</v>
          </cell>
          <cell r="C1352">
            <v>7845</v>
          </cell>
          <cell r="D1352">
            <v>970.43</v>
          </cell>
          <cell r="E1352">
            <v>24</v>
          </cell>
          <cell r="F1352">
            <v>56218</v>
          </cell>
          <cell r="H1352">
            <v>5</v>
          </cell>
          <cell r="I1352">
            <v>0</v>
          </cell>
          <cell r="J1352">
            <v>0</v>
          </cell>
          <cell r="K1352">
            <v>240000</v>
          </cell>
          <cell r="L1352">
            <v>0</v>
          </cell>
          <cell r="M1352">
            <v>240000</v>
          </cell>
          <cell r="N1352">
            <v>0</v>
          </cell>
          <cell r="O1352" t="str">
            <v>Охрана</v>
          </cell>
        </row>
        <row r="1353">
          <cell r="A1353">
            <v>9</v>
          </cell>
          <cell r="B1353">
            <v>214</v>
          </cell>
          <cell r="C1353">
            <v>7948</v>
          </cell>
          <cell r="D1353">
            <v>970.43</v>
          </cell>
          <cell r="E1353">
            <v>24</v>
          </cell>
          <cell r="F1353">
            <v>56218</v>
          </cell>
          <cell r="H1353">
            <v>5</v>
          </cell>
          <cell r="I1353">
            <v>0</v>
          </cell>
          <cell r="J1353">
            <v>0</v>
          </cell>
          <cell r="K1353">
            <v>180000</v>
          </cell>
          <cell r="L1353">
            <v>0</v>
          </cell>
          <cell r="M1353">
            <v>180000</v>
          </cell>
          <cell r="N1353">
            <v>0</v>
          </cell>
          <cell r="O1353" t="str">
            <v>Охрана</v>
          </cell>
        </row>
        <row r="1354">
          <cell r="A1354">
            <v>9</v>
          </cell>
          <cell r="B1354">
            <v>214</v>
          </cell>
          <cell r="C1354">
            <v>8104</v>
          </cell>
          <cell r="D1354">
            <v>970.43</v>
          </cell>
          <cell r="E1354">
            <v>24</v>
          </cell>
          <cell r="F1354">
            <v>56218</v>
          </cell>
          <cell r="H1354">
            <v>5</v>
          </cell>
          <cell r="I1354">
            <v>0</v>
          </cell>
          <cell r="J1354">
            <v>0</v>
          </cell>
          <cell r="K1354">
            <v>30000</v>
          </cell>
          <cell r="L1354">
            <v>0</v>
          </cell>
          <cell r="M1354">
            <v>30000</v>
          </cell>
          <cell r="N1354">
            <v>0</v>
          </cell>
          <cell r="O1354" t="str">
            <v>Охрана</v>
          </cell>
        </row>
        <row r="1355">
          <cell r="A1355">
            <v>9</v>
          </cell>
          <cell r="B1355">
            <v>214</v>
          </cell>
          <cell r="C1355">
            <v>8137</v>
          </cell>
          <cell r="D1355">
            <v>970.43</v>
          </cell>
          <cell r="E1355">
            <v>24</v>
          </cell>
          <cell r="F1355">
            <v>56218</v>
          </cell>
          <cell r="H1355">
            <v>5</v>
          </cell>
          <cell r="I1355">
            <v>0</v>
          </cell>
          <cell r="J1355">
            <v>0</v>
          </cell>
          <cell r="K1355">
            <v>705000</v>
          </cell>
          <cell r="L1355">
            <v>0</v>
          </cell>
          <cell r="M1355">
            <v>705000</v>
          </cell>
          <cell r="N1355">
            <v>0</v>
          </cell>
          <cell r="O1355" t="str">
            <v>Охрана</v>
          </cell>
        </row>
        <row r="1356">
          <cell r="A1356">
            <v>9</v>
          </cell>
          <cell r="B1356">
            <v>214</v>
          </cell>
          <cell r="C1356">
            <v>8533</v>
          </cell>
          <cell r="D1356">
            <v>970.43</v>
          </cell>
          <cell r="E1356">
            <v>24</v>
          </cell>
          <cell r="F1356">
            <v>56218</v>
          </cell>
          <cell r="H1356">
            <v>5</v>
          </cell>
          <cell r="I1356">
            <v>0</v>
          </cell>
          <cell r="J1356">
            <v>0</v>
          </cell>
          <cell r="K1356">
            <v>33500</v>
          </cell>
          <cell r="L1356">
            <v>0</v>
          </cell>
          <cell r="M1356">
            <v>33500</v>
          </cell>
          <cell r="N1356">
            <v>0</v>
          </cell>
          <cell r="O1356" t="str">
            <v>Охрана</v>
          </cell>
        </row>
        <row r="1357">
          <cell r="A1357">
            <v>9</v>
          </cell>
          <cell r="B1357">
            <v>214</v>
          </cell>
          <cell r="C1357">
            <v>8659</v>
          </cell>
          <cell r="D1357">
            <v>970.43</v>
          </cell>
          <cell r="E1357">
            <v>24</v>
          </cell>
          <cell r="F1357">
            <v>56218</v>
          </cell>
          <cell r="H1357">
            <v>5</v>
          </cell>
          <cell r="I1357">
            <v>0</v>
          </cell>
          <cell r="J1357">
            <v>0</v>
          </cell>
          <cell r="K1357">
            <v>291144</v>
          </cell>
          <cell r="L1357">
            <v>0</v>
          </cell>
          <cell r="M1357">
            <v>291144</v>
          </cell>
          <cell r="N1357">
            <v>0</v>
          </cell>
          <cell r="O1357" t="str">
            <v>Охрана</v>
          </cell>
        </row>
        <row r="1358">
          <cell r="A1358">
            <v>9</v>
          </cell>
          <cell r="B1358">
            <v>214</v>
          </cell>
          <cell r="C1358">
            <v>214</v>
          </cell>
          <cell r="D1358">
            <v>970.44</v>
          </cell>
          <cell r="E1358">
            <v>24</v>
          </cell>
          <cell r="F1358">
            <v>56302</v>
          </cell>
          <cell r="H1358">
            <v>5</v>
          </cell>
          <cell r="I1358">
            <v>0</v>
          </cell>
          <cell r="J1358">
            <v>0</v>
          </cell>
          <cell r="K1358">
            <v>222210.4</v>
          </cell>
          <cell r="L1358">
            <v>0</v>
          </cell>
          <cell r="M1358">
            <v>222210.4</v>
          </cell>
          <cell r="N1358">
            <v>0</v>
          </cell>
          <cell r="O1358" t="str">
            <v>Командировочные расходы</v>
          </cell>
        </row>
        <row r="1359">
          <cell r="A1359">
            <v>9</v>
          </cell>
          <cell r="B1359">
            <v>214</v>
          </cell>
          <cell r="C1359">
            <v>5996</v>
          </cell>
          <cell r="D1359">
            <v>970.44</v>
          </cell>
          <cell r="E1359">
            <v>24</v>
          </cell>
          <cell r="F1359">
            <v>56302</v>
          </cell>
          <cell r="H1359">
            <v>5</v>
          </cell>
          <cell r="I1359">
            <v>0</v>
          </cell>
          <cell r="J1359">
            <v>0</v>
          </cell>
          <cell r="K1359">
            <v>39266</v>
          </cell>
          <cell r="L1359">
            <v>0</v>
          </cell>
          <cell r="M1359">
            <v>39266</v>
          </cell>
          <cell r="N1359">
            <v>0</v>
          </cell>
          <cell r="O1359" t="str">
            <v>Командировочные расходы</v>
          </cell>
        </row>
        <row r="1360">
          <cell r="A1360">
            <v>9</v>
          </cell>
          <cell r="B1360">
            <v>214</v>
          </cell>
          <cell r="C1360">
            <v>7783</v>
          </cell>
          <cell r="D1360">
            <v>970.44</v>
          </cell>
          <cell r="E1360">
            <v>24</v>
          </cell>
          <cell r="F1360">
            <v>56302</v>
          </cell>
          <cell r="H1360">
            <v>5</v>
          </cell>
          <cell r="I1360">
            <v>0</v>
          </cell>
          <cell r="J1360">
            <v>0</v>
          </cell>
          <cell r="K1360">
            <v>5822.4</v>
          </cell>
          <cell r="L1360">
            <v>0</v>
          </cell>
          <cell r="M1360">
            <v>5822.4</v>
          </cell>
          <cell r="N1360">
            <v>0</v>
          </cell>
          <cell r="O1360" t="str">
            <v>Командировочные расходы</v>
          </cell>
        </row>
        <row r="1361">
          <cell r="A1361">
            <v>9</v>
          </cell>
          <cell r="B1361">
            <v>214</v>
          </cell>
          <cell r="C1361">
            <v>7845</v>
          </cell>
          <cell r="D1361">
            <v>970.44</v>
          </cell>
          <cell r="E1361">
            <v>24</v>
          </cell>
          <cell r="F1361">
            <v>56302</v>
          </cell>
          <cell r="H1361">
            <v>5</v>
          </cell>
          <cell r="I1361">
            <v>0</v>
          </cell>
          <cell r="J1361">
            <v>0</v>
          </cell>
          <cell r="K1361">
            <v>19973.060000000001</v>
          </cell>
          <cell r="L1361">
            <v>0</v>
          </cell>
          <cell r="M1361">
            <v>19973.060000000001</v>
          </cell>
          <cell r="N1361">
            <v>0</v>
          </cell>
          <cell r="O1361" t="str">
            <v>Командировочные расходы</v>
          </cell>
        </row>
        <row r="1362">
          <cell r="A1362">
            <v>9</v>
          </cell>
          <cell r="B1362">
            <v>214</v>
          </cell>
          <cell r="C1362">
            <v>7948</v>
          </cell>
          <cell r="D1362">
            <v>970.44</v>
          </cell>
          <cell r="E1362">
            <v>24</v>
          </cell>
          <cell r="F1362">
            <v>56302</v>
          </cell>
          <cell r="H1362">
            <v>5</v>
          </cell>
          <cell r="I1362">
            <v>0</v>
          </cell>
          <cell r="J1362">
            <v>0</v>
          </cell>
          <cell r="K1362">
            <v>39335</v>
          </cell>
          <cell r="L1362">
            <v>0</v>
          </cell>
          <cell r="M1362">
            <v>39335</v>
          </cell>
          <cell r="N1362">
            <v>0</v>
          </cell>
          <cell r="O1362" t="str">
            <v>Командировочные расходы</v>
          </cell>
        </row>
        <row r="1363">
          <cell r="A1363">
            <v>9</v>
          </cell>
          <cell r="B1363">
            <v>214</v>
          </cell>
          <cell r="C1363">
            <v>8002</v>
          </cell>
          <cell r="D1363">
            <v>970.44</v>
          </cell>
          <cell r="E1363">
            <v>24</v>
          </cell>
          <cell r="F1363">
            <v>56302</v>
          </cell>
          <cell r="H1363">
            <v>5</v>
          </cell>
          <cell r="I1363">
            <v>0</v>
          </cell>
          <cell r="J1363">
            <v>0</v>
          </cell>
          <cell r="K1363">
            <v>23718</v>
          </cell>
          <cell r="L1363">
            <v>0</v>
          </cell>
          <cell r="M1363">
            <v>23718</v>
          </cell>
          <cell r="N1363">
            <v>0</v>
          </cell>
          <cell r="O1363" t="str">
            <v>Командировочные расходы</v>
          </cell>
        </row>
        <row r="1364">
          <cell r="A1364">
            <v>9</v>
          </cell>
          <cell r="B1364">
            <v>214</v>
          </cell>
          <cell r="C1364">
            <v>8104</v>
          </cell>
          <cell r="D1364">
            <v>970.44</v>
          </cell>
          <cell r="E1364">
            <v>24</v>
          </cell>
          <cell r="F1364">
            <v>56302</v>
          </cell>
          <cell r="H1364">
            <v>5</v>
          </cell>
          <cell r="I1364">
            <v>0</v>
          </cell>
          <cell r="J1364">
            <v>0</v>
          </cell>
          <cell r="K1364">
            <v>65096</v>
          </cell>
          <cell r="L1364">
            <v>0</v>
          </cell>
          <cell r="M1364">
            <v>65096</v>
          </cell>
          <cell r="N1364">
            <v>0</v>
          </cell>
          <cell r="O1364" t="str">
            <v>Командировочные расходы</v>
          </cell>
        </row>
        <row r="1365">
          <cell r="A1365">
            <v>9</v>
          </cell>
          <cell r="B1365">
            <v>214</v>
          </cell>
          <cell r="C1365">
            <v>8137</v>
          </cell>
          <cell r="D1365">
            <v>970.44</v>
          </cell>
          <cell r="E1365">
            <v>24</v>
          </cell>
          <cell r="F1365">
            <v>56302</v>
          </cell>
          <cell r="H1365">
            <v>5</v>
          </cell>
          <cell r="I1365">
            <v>0</v>
          </cell>
          <cell r="J1365">
            <v>0</v>
          </cell>
          <cell r="K1365">
            <v>615</v>
          </cell>
          <cell r="L1365">
            <v>0</v>
          </cell>
          <cell r="M1365">
            <v>615</v>
          </cell>
          <cell r="N1365">
            <v>0</v>
          </cell>
          <cell r="O1365" t="str">
            <v>Командировочные расходы</v>
          </cell>
        </row>
        <row r="1366">
          <cell r="A1366">
            <v>9</v>
          </cell>
          <cell r="B1366">
            <v>214</v>
          </cell>
          <cell r="C1366">
            <v>8533</v>
          </cell>
          <cell r="D1366">
            <v>970.44</v>
          </cell>
          <cell r="E1366">
            <v>24</v>
          </cell>
          <cell r="F1366">
            <v>56302</v>
          </cell>
          <cell r="H1366">
            <v>5</v>
          </cell>
          <cell r="I1366">
            <v>0</v>
          </cell>
          <cell r="J1366">
            <v>0</v>
          </cell>
          <cell r="K1366">
            <v>10100</v>
          </cell>
          <cell r="L1366">
            <v>0</v>
          </cell>
          <cell r="M1366">
            <v>10100</v>
          </cell>
          <cell r="N1366">
            <v>0</v>
          </cell>
          <cell r="O1366" t="str">
            <v>Командировочные расходы</v>
          </cell>
        </row>
        <row r="1367">
          <cell r="A1367">
            <v>9</v>
          </cell>
          <cell r="B1367">
            <v>214</v>
          </cell>
          <cell r="C1367">
            <v>8659</v>
          </cell>
          <cell r="D1367">
            <v>970.44</v>
          </cell>
          <cell r="E1367">
            <v>24</v>
          </cell>
          <cell r="F1367">
            <v>56302</v>
          </cell>
          <cell r="H1367">
            <v>5</v>
          </cell>
          <cell r="I1367">
            <v>0</v>
          </cell>
          <cell r="J1367">
            <v>0</v>
          </cell>
          <cell r="K1367">
            <v>41273.800000000003</v>
          </cell>
          <cell r="L1367">
            <v>0</v>
          </cell>
          <cell r="M1367">
            <v>41273.800000000003</v>
          </cell>
          <cell r="N1367">
            <v>0</v>
          </cell>
          <cell r="O1367" t="str">
            <v>Командировочные расходы</v>
          </cell>
        </row>
        <row r="1368">
          <cell r="A1368">
            <v>9</v>
          </cell>
          <cell r="B1368">
            <v>214</v>
          </cell>
          <cell r="C1368">
            <v>214</v>
          </cell>
          <cell r="D1368">
            <v>970.47</v>
          </cell>
          <cell r="E1368">
            <v>24</v>
          </cell>
          <cell r="F1368">
            <v>56314</v>
          </cell>
          <cell r="H1368">
            <v>5</v>
          </cell>
          <cell r="I1368">
            <v>0</v>
          </cell>
          <cell r="J1368">
            <v>0</v>
          </cell>
          <cell r="K1368">
            <v>152040.42000000001</v>
          </cell>
          <cell r="L1368">
            <v>0</v>
          </cell>
          <cell r="M1368">
            <v>152040.42000000001</v>
          </cell>
          <cell r="N1368">
            <v>0</v>
          </cell>
          <cell r="O1368" t="str">
            <v>Yoqilg`i</v>
          </cell>
        </row>
        <row r="1369">
          <cell r="A1369">
            <v>9</v>
          </cell>
          <cell r="B1369">
            <v>214</v>
          </cell>
          <cell r="C1369">
            <v>3563</v>
          </cell>
          <cell r="D1369">
            <v>970.47</v>
          </cell>
          <cell r="E1369">
            <v>24</v>
          </cell>
          <cell r="F1369">
            <v>56314</v>
          </cell>
          <cell r="H1369">
            <v>5</v>
          </cell>
          <cell r="I1369">
            <v>0</v>
          </cell>
          <cell r="J1369">
            <v>0</v>
          </cell>
          <cell r="K1369">
            <v>54766.45</v>
          </cell>
          <cell r="L1369">
            <v>0</v>
          </cell>
          <cell r="M1369">
            <v>54766.45</v>
          </cell>
          <cell r="N1369">
            <v>0</v>
          </cell>
          <cell r="O1369" t="str">
            <v>Yoqilg`i</v>
          </cell>
        </row>
        <row r="1370">
          <cell r="A1370">
            <v>9</v>
          </cell>
          <cell r="B1370">
            <v>214</v>
          </cell>
          <cell r="C1370">
            <v>5996</v>
          </cell>
          <cell r="D1370">
            <v>970.47</v>
          </cell>
          <cell r="E1370">
            <v>24</v>
          </cell>
          <cell r="F1370">
            <v>56314</v>
          </cell>
          <cell r="H1370">
            <v>5</v>
          </cell>
          <cell r="I1370">
            <v>0</v>
          </cell>
          <cell r="J1370">
            <v>0</v>
          </cell>
          <cell r="K1370">
            <v>7704.9</v>
          </cell>
          <cell r="L1370">
            <v>0</v>
          </cell>
          <cell r="M1370">
            <v>7704.9</v>
          </cell>
          <cell r="N1370">
            <v>0</v>
          </cell>
          <cell r="O1370" t="str">
            <v>Yoqilg`i</v>
          </cell>
        </row>
        <row r="1371">
          <cell r="A1371">
            <v>9</v>
          </cell>
          <cell r="B1371">
            <v>214</v>
          </cell>
          <cell r="C1371">
            <v>7783</v>
          </cell>
          <cell r="D1371">
            <v>970.47</v>
          </cell>
          <cell r="E1371">
            <v>24</v>
          </cell>
          <cell r="F1371">
            <v>56314</v>
          </cell>
          <cell r="H1371">
            <v>5</v>
          </cell>
          <cell r="I1371">
            <v>0</v>
          </cell>
          <cell r="J1371">
            <v>0</v>
          </cell>
          <cell r="K1371">
            <v>3892.4</v>
          </cell>
          <cell r="L1371">
            <v>0</v>
          </cell>
          <cell r="M1371">
            <v>3892.4</v>
          </cell>
          <cell r="N1371">
            <v>0</v>
          </cell>
          <cell r="O1371" t="str">
            <v>Yoqilg`i</v>
          </cell>
        </row>
        <row r="1372">
          <cell r="A1372">
            <v>9</v>
          </cell>
          <cell r="B1372">
            <v>214</v>
          </cell>
          <cell r="C1372">
            <v>7948</v>
          </cell>
          <cell r="D1372">
            <v>970.47</v>
          </cell>
          <cell r="E1372">
            <v>24</v>
          </cell>
          <cell r="F1372">
            <v>56314</v>
          </cell>
          <cell r="H1372">
            <v>5</v>
          </cell>
          <cell r="I1372">
            <v>0</v>
          </cell>
          <cell r="J1372">
            <v>0</v>
          </cell>
          <cell r="K1372">
            <v>37907.9</v>
          </cell>
          <cell r="L1372">
            <v>0</v>
          </cell>
          <cell r="M1372">
            <v>37907.9</v>
          </cell>
          <cell r="N1372">
            <v>0</v>
          </cell>
          <cell r="O1372" t="str">
            <v>Yoqilg`i</v>
          </cell>
        </row>
        <row r="1373">
          <cell r="A1373">
            <v>9</v>
          </cell>
          <cell r="B1373">
            <v>214</v>
          </cell>
          <cell r="C1373">
            <v>8298</v>
          </cell>
          <cell r="D1373">
            <v>970.47</v>
          </cell>
          <cell r="E1373">
            <v>24</v>
          </cell>
          <cell r="F1373">
            <v>56314</v>
          </cell>
          <cell r="H1373">
            <v>5</v>
          </cell>
          <cell r="I1373">
            <v>0</v>
          </cell>
          <cell r="J1373">
            <v>0</v>
          </cell>
          <cell r="K1373">
            <v>1226.7</v>
          </cell>
          <cell r="L1373">
            <v>0</v>
          </cell>
          <cell r="M1373">
            <v>1226.7</v>
          </cell>
          <cell r="N1373">
            <v>0</v>
          </cell>
          <cell r="O1373" t="str">
            <v>Yoqilg`i</v>
          </cell>
        </row>
        <row r="1374">
          <cell r="A1374">
            <v>9</v>
          </cell>
          <cell r="B1374">
            <v>214</v>
          </cell>
          <cell r="C1374">
            <v>8659</v>
          </cell>
          <cell r="D1374">
            <v>970.47</v>
          </cell>
          <cell r="E1374">
            <v>24</v>
          </cell>
          <cell r="F1374">
            <v>56314</v>
          </cell>
          <cell r="H1374">
            <v>5</v>
          </cell>
          <cell r="I1374">
            <v>0</v>
          </cell>
          <cell r="J1374">
            <v>0</v>
          </cell>
          <cell r="K1374">
            <v>30136.9</v>
          </cell>
          <cell r="L1374">
            <v>0</v>
          </cell>
          <cell r="M1374">
            <v>30136.9</v>
          </cell>
          <cell r="N1374">
            <v>0</v>
          </cell>
          <cell r="O1374" t="str">
            <v>Yoqilg`i</v>
          </cell>
        </row>
        <row r="1375">
          <cell r="A1375">
            <v>9</v>
          </cell>
          <cell r="B1375">
            <v>214</v>
          </cell>
          <cell r="C1375">
            <v>214</v>
          </cell>
          <cell r="D1375">
            <v>970.48</v>
          </cell>
          <cell r="E1375">
            <v>24</v>
          </cell>
          <cell r="F1375">
            <v>56402</v>
          </cell>
          <cell r="H1375">
            <v>5</v>
          </cell>
          <cell r="I1375">
            <v>0</v>
          </cell>
          <cell r="J1375">
            <v>0</v>
          </cell>
          <cell r="K1375">
            <v>7200</v>
          </cell>
          <cell r="L1375">
            <v>0</v>
          </cell>
          <cell r="M1375">
            <v>7200</v>
          </cell>
          <cell r="N1375">
            <v>0</v>
          </cell>
          <cell r="O1375" t="str">
            <v>Реклама и оповещение</v>
          </cell>
        </row>
        <row r="1376">
          <cell r="A1376">
            <v>9</v>
          </cell>
          <cell r="B1376">
            <v>214</v>
          </cell>
          <cell r="C1376">
            <v>3563</v>
          </cell>
          <cell r="D1376">
            <v>970.48</v>
          </cell>
          <cell r="E1376">
            <v>24</v>
          </cell>
          <cell r="F1376">
            <v>56402</v>
          </cell>
          <cell r="H1376">
            <v>5</v>
          </cell>
          <cell r="I1376">
            <v>0</v>
          </cell>
          <cell r="J1376">
            <v>0</v>
          </cell>
          <cell r="K1376">
            <v>3025</v>
          </cell>
          <cell r="L1376">
            <v>0</v>
          </cell>
          <cell r="M1376">
            <v>3025</v>
          </cell>
          <cell r="N1376">
            <v>0</v>
          </cell>
          <cell r="O1376" t="str">
            <v>Реклама и оповещение</v>
          </cell>
        </row>
        <row r="1377">
          <cell r="A1377">
            <v>9</v>
          </cell>
          <cell r="B1377">
            <v>214</v>
          </cell>
          <cell r="C1377">
            <v>5996</v>
          </cell>
          <cell r="D1377">
            <v>970.48</v>
          </cell>
          <cell r="E1377">
            <v>24</v>
          </cell>
          <cell r="F1377">
            <v>56402</v>
          </cell>
          <cell r="H1377">
            <v>5</v>
          </cell>
          <cell r="I1377">
            <v>0</v>
          </cell>
          <cell r="J1377">
            <v>0</v>
          </cell>
          <cell r="K1377">
            <v>9808</v>
          </cell>
          <cell r="L1377">
            <v>0</v>
          </cell>
          <cell r="M1377">
            <v>9808</v>
          </cell>
          <cell r="N1377">
            <v>0</v>
          </cell>
          <cell r="O1377" t="str">
            <v>Реклама и оповещение</v>
          </cell>
        </row>
        <row r="1378">
          <cell r="A1378">
            <v>9</v>
          </cell>
          <cell r="B1378">
            <v>214</v>
          </cell>
          <cell r="C1378">
            <v>7783</v>
          </cell>
          <cell r="D1378">
            <v>970.48</v>
          </cell>
          <cell r="E1378">
            <v>24</v>
          </cell>
          <cell r="F1378">
            <v>56402</v>
          </cell>
          <cell r="H1378">
            <v>5</v>
          </cell>
          <cell r="I1378">
            <v>0</v>
          </cell>
          <cell r="J1378">
            <v>0</v>
          </cell>
          <cell r="K1378">
            <v>9808</v>
          </cell>
          <cell r="L1378">
            <v>0</v>
          </cell>
          <cell r="M1378">
            <v>9808</v>
          </cell>
          <cell r="N1378">
            <v>0</v>
          </cell>
          <cell r="O1378" t="str">
            <v>Реклама и оповещение</v>
          </cell>
        </row>
        <row r="1379">
          <cell r="A1379">
            <v>9</v>
          </cell>
          <cell r="B1379">
            <v>214</v>
          </cell>
          <cell r="C1379">
            <v>7845</v>
          </cell>
          <cell r="D1379">
            <v>970.48</v>
          </cell>
          <cell r="E1379">
            <v>24</v>
          </cell>
          <cell r="F1379">
            <v>56402</v>
          </cell>
          <cell r="H1379">
            <v>5</v>
          </cell>
          <cell r="I1379">
            <v>0</v>
          </cell>
          <cell r="J1379">
            <v>0</v>
          </cell>
          <cell r="K1379">
            <v>5018</v>
          </cell>
          <cell r="L1379">
            <v>0</v>
          </cell>
          <cell r="M1379">
            <v>5018</v>
          </cell>
          <cell r="N1379">
            <v>0</v>
          </cell>
          <cell r="O1379" t="str">
            <v>Реклама и оповещение</v>
          </cell>
        </row>
        <row r="1380">
          <cell r="A1380">
            <v>9</v>
          </cell>
          <cell r="B1380">
            <v>214</v>
          </cell>
          <cell r="C1380">
            <v>7948</v>
          </cell>
          <cell r="D1380">
            <v>970.48</v>
          </cell>
          <cell r="E1380">
            <v>24</v>
          </cell>
          <cell r="F1380">
            <v>56402</v>
          </cell>
          <cell r="H1380">
            <v>5</v>
          </cell>
          <cell r="I1380">
            <v>0</v>
          </cell>
          <cell r="J1380">
            <v>0</v>
          </cell>
          <cell r="K1380">
            <v>7868</v>
          </cell>
          <cell r="L1380">
            <v>0</v>
          </cell>
          <cell r="M1380">
            <v>7868</v>
          </cell>
          <cell r="N1380">
            <v>0</v>
          </cell>
          <cell r="O1380" t="str">
            <v>Реклама и оповещение</v>
          </cell>
        </row>
        <row r="1381">
          <cell r="A1381">
            <v>9</v>
          </cell>
          <cell r="B1381">
            <v>214</v>
          </cell>
          <cell r="C1381">
            <v>8002</v>
          </cell>
          <cell r="D1381">
            <v>970.48</v>
          </cell>
          <cell r="E1381">
            <v>24</v>
          </cell>
          <cell r="F1381">
            <v>56402</v>
          </cell>
          <cell r="H1381">
            <v>5</v>
          </cell>
          <cell r="I1381">
            <v>0</v>
          </cell>
          <cell r="J1381">
            <v>0</v>
          </cell>
          <cell r="K1381">
            <v>7868</v>
          </cell>
          <cell r="L1381">
            <v>0</v>
          </cell>
          <cell r="M1381">
            <v>7868</v>
          </cell>
          <cell r="N1381">
            <v>0</v>
          </cell>
          <cell r="O1381" t="str">
            <v>Реклама и оповещение</v>
          </cell>
        </row>
        <row r="1382">
          <cell r="A1382">
            <v>9</v>
          </cell>
          <cell r="B1382">
            <v>214</v>
          </cell>
          <cell r="C1382">
            <v>8104</v>
          </cell>
          <cell r="D1382">
            <v>970.48</v>
          </cell>
          <cell r="E1382">
            <v>24</v>
          </cell>
          <cell r="F1382">
            <v>56402</v>
          </cell>
          <cell r="H1382">
            <v>5</v>
          </cell>
          <cell r="I1382">
            <v>0</v>
          </cell>
          <cell r="J1382">
            <v>0</v>
          </cell>
          <cell r="K1382">
            <v>5018</v>
          </cell>
          <cell r="L1382">
            <v>0</v>
          </cell>
          <cell r="M1382">
            <v>5018</v>
          </cell>
          <cell r="N1382">
            <v>0</v>
          </cell>
          <cell r="O1382" t="str">
            <v>Реклама и оповещение</v>
          </cell>
        </row>
        <row r="1383">
          <cell r="A1383">
            <v>9</v>
          </cell>
          <cell r="B1383">
            <v>214</v>
          </cell>
          <cell r="C1383">
            <v>8137</v>
          </cell>
          <cell r="D1383">
            <v>970.48</v>
          </cell>
          <cell r="E1383">
            <v>24</v>
          </cell>
          <cell r="F1383">
            <v>56402</v>
          </cell>
          <cell r="H1383">
            <v>5</v>
          </cell>
          <cell r="I1383">
            <v>0</v>
          </cell>
          <cell r="J1383">
            <v>0</v>
          </cell>
          <cell r="K1383">
            <v>3018</v>
          </cell>
          <cell r="L1383">
            <v>0</v>
          </cell>
          <cell r="M1383">
            <v>3018</v>
          </cell>
          <cell r="N1383">
            <v>0</v>
          </cell>
          <cell r="O1383" t="str">
            <v>Реклама и оповещение</v>
          </cell>
        </row>
        <row r="1384">
          <cell r="A1384">
            <v>9</v>
          </cell>
          <cell r="B1384">
            <v>214</v>
          </cell>
          <cell r="C1384">
            <v>8298</v>
          </cell>
          <cell r="D1384">
            <v>970.48</v>
          </cell>
          <cell r="E1384">
            <v>24</v>
          </cell>
          <cell r="F1384">
            <v>56402</v>
          </cell>
          <cell r="H1384">
            <v>5</v>
          </cell>
          <cell r="I1384">
            <v>0</v>
          </cell>
          <cell r="J1384">
            <v>0</v>
          </cell>
          <cell r="K1384">
            <v>4850</v>
          </cell>
          <cell r="L1384">
            <v>0</v>
          </cell>
          <cell r="M1384">
            <v>4850</v>
          </cell>
          <cell r="N1384">
            <v>0</v>
          </cell>
          <cell r="O1384" t="str">
            <v>Реклама и оповещение</v>
          </cell>
        </row>
        <row r="1385">
          <cell r="A1385">
            <v>9</v>
          </cell>
          <cell r="B1385">
            <v>214</v>
          </cell>
          <cell r="C1385">
            <v>8659</v>
          </cell>
          <cell r="D1385">
            <v>970.48</v>
          </cell>
          <cell r="E1385">
            <v>24</v>
          </cell>
          <cell r="F1385">
            <v>56402</v>
          </cell>
          <cell r="H1385">
            <v>5</v>
          </cell>
          <cell r="I1385">
            <v>0</v>
          </cell>
          <cell r="J1385">
            <v>0</v>
          </cell>
          <cell r="K1385">
            <v>23018</v>
          </cell>
          <cell r="L1385">
            <v>0</v>
          </cell>
          <cell r="M1385">
            <v>23018</v>
          </cell>
          <cell r="N1385">
            <v>0</v>
          </cell>
          <cell r="O1385" t="str">
            <v>Реклама и оповещение</v>
          </cell>
        </row>
        <row r="1386">
          <cell r="A1386">
            <v>9</v>
          </cell>
          <cell r="B1386">
            <v>214</v>
          </cell>
          <cell r="C1386">
            <v>214</v>
          </cell>
          <cell r="D1386">
            <v>970.49</v>
          </cell>
          <cell r="E1386">
            <v>24</v>
          </cell>
          <cell r="F1386">
            <v>56406</v>
          </cell>
          <cell r="H1386">
            <v>5</v>
          </cell>
          <cell r="I1386">
            <v>0</v>
          </cell>
          <cell r="J1386">
            <v>0</v>
          </cell>
          <cell r="K1386">
            <v>89286.7</v>
          </cell>
          <cell r="L1386">
            <v>0</v>
          </cell>
          <cell r="M1386">
            <v>89286.7</v>
          </cell>
          <cell r="N1386">
            <v>0</v>
          </cell>
          <cell r="O1386" t="str">
            <v>Канцелярские и офисные принадлежности - Расходы на бланки, к</v>
          </cell>
        </row>
        <row r="1387">
          <cell r="A1387">
            <v>9</v>
          </cell>
          <cell r="B1387">
            <v>214</v>
          </cell>
          <cell r="C1387">
            <v>3563</v>
          </cell>
          <cell r="D1387">
            <v>970.49</v>
          </cell>
          <cell r="E1387">
            <v>24</v>
          </cell>
          <cell r="F1387">
            <v>56406</v>
          </cell>
          <cell r="H1387">
            <v>5</v>
          </cell>
          <cell r="I1387">
            <v>0</v>
          </cell>
          <cell r="J1387">
            <v>0</v>
          </cell>
          <cell r="K1387">
            <v>84164</v>
          </cell>
          <cell r="L1387">
            <v>0</v>
          </cell>
          <cell r="M1387">
            <v>84164</v>
          </cell>
          <cell r="N1387">
            <v>0</v>
          </cell>
          <cell r="O1387" t="str">
            <v>Канцелярские и офисные принадлежности - Расходы на бланки, к</v>
          </cell>
        </row>
        <row r="1388">
          <cell r="A1388">
            <v>9</v>
          </cell>
          <cell r="B1388">
            <v>214</v>
          </cell>
          <cell r="C1388">
            <v>5996</v>
          </cell>
          <cell r="D1388">
            <v>970.49</v>
          </cell>
          <cell r="E1388">
            <v>24</v>
          </cell>
          <cell r="F1388">
            <v>56406</v>
          </cell>
          <cell r="H1388">
            <v>5</v>
          </cell>
          <cell r="I1388">
            <v>0</v>
          </cell>
          <cell r="J1388">
            <v>0</v>
          </cell>
          <cell r="K1388">
            <v>95303.8</v>
          </cell>
          <cell r="L1388">
            <v>0</v>
          </cell>
          <cell r="M1388">
            <v>95303.8</v>
          </cell>
          <cell r="N1388">
            <v>0</v>
          </cell>
          <cell r="O1388" t="str">
            <v>Канцелярские и офисные принадлежности - Расходы на бланки, к</v>
          </cell>
        </row>
        <row r="1389">
          <cell r="A1389">
            <v>9</v>
          </cell>
          <cell r="B1389">
            <v>214</v>
          </cell>
          <cell r="C1389">
            <v>7783</v>
          </cell>
          <cell r="D1389">
            <v>970.49</v>
          </cell>
          <cell r="E1389">
            <v>24</v>
          </cell>
          <cell r="F1389">
            <v>56406</v>
          </cell>
          <cell r="H1389">
            <v>5</v>
          </cell>
          <cell r="I1389">
            <v>0</v>
          </cell>
          <cell r="J1389">
            <v>0</v>
          </cell>
          <cell r="K1389">
            <v>104432</v>
          </cell>
          <cell r="L1389">
            <v>0</v>
          </cell>
          <cell r="M1389">
            <v>104432</v>
          </cell>
          <cell r="N1389">
            <v>0</v>
          </cell>
          <cell r="O1389" t="str">
            <v>Канцелярские и офисные принадлежности - Расходы на бланки, к</v>
          </cell>
        </row>
        <row r="1390">
          <cell r="A1390">
            <v>9</v>
          </cell>
          <cell r="B1390">
            <v>214</v>
          </cell>
          <cell r="C1390">
            <v>7845</v>
          </cell>
          <cell r="D1390">
            <v>970.49</v>
          </cell>
          <cell r="E1390">
            <v>24</v>
          </cell>
          <cell r="F1390">
            <v>56406</v>
          </cell>
          <cell r="H1390">
            <v>5</v>
          </cell>
          <cell r="I1390">
            <v>0</v>
          </cell>
          <cell r="J1390">
            <v>0</v>
          </cell>
          <cell r="K1390">
            <v>147053.04999999999</v>
          </cell>
          <cell r="L1390">
            <v>0</v>
          </cell>
          <cell r="M1390">
            <v>147053.04999999999</v>
          </cell>
          <cell r="N1390">
            <v>0</v>
          </cell>
          <cell r="O1390" t="str">
            <v>Канцелярские и офисные принадлежности - Расходы на бланки, к</v>
          </cell>
        </row>
        <row r="1391">
          <cell r="A1391">
            <v>9</v>
          </cell>
          <cell r="B1391">
            <v>214</v>
          </cell>
          <cell r="C1391">
            <v>7948</v>
          </cell>
          <cell r="D1391">
            <v>970.49</v>
          </cell>
          <cell r="E1391">
            <v>24</v>
          </cell>
          <cell r="F1391">
            <v>56406</v>
          </cell>
          <cell r="H1391">
            <v>5</v>
          </cell>
          <cell r="I1391">
            <v>0</v>
          </cell>
          <cell r="J1391">
            <v>0</v>
          </cell>
          <cell r="K1391">
            <v>208368.03</v>
          </cell>
          <cell r="L1391">
            <v>0</v>
          </cell>
          <cell r="M1391">
            <v>208368.03</v>
          </cell>
          <cell r="N1391">
            <v>0</v>
          </cell>
          <cell r="O1391" t="str">
            <v>Канцелярские и офисные принадлежности - Расходы на бланки, к</v>
          </cell>
        </row>
        <row r="1392">
          <cell r="A1392">
            <v>9</v>
          </cell>
          <cell r="B1392">
            <v>214</v>
          </cell>
          <cell r="C1392">
            <v>8002</v>
          </cell>
          <cell r="D1392">
            <v>970.49</v>
          </cell>
          <cell r="E1392">
            <v>24</v>
          </cell>
          <cell r="F1392">
            <v>56406</v>
          </cell>
          <cell r="H1392">
            <v>5</v>
          </cell>
          <cell r="I1392">
            <v>0</v>
          </cell>
          <cell r="J1392">
            <v>0</v>
          </cell>
          <cell r="K1392">
            <v>23188</v>
          </cell>
          <cell r="L1392">
            <v>0</v>
          </cell>
          <cell r="M1392">
            <v>23188</v>
          </cell>
          <cell r="N1392">
            <v>0</v>
          </cell>
          <cell r="O1392" t="str">
            <v>Канцелярские и офисные принадлежности - Расходы на бланки, к</v>
          </cell>
        </row>
        <row r="1393">
          <cell r="A1393">
            <v>9</v>
          </cell>
          <cell r="B1393">
            <v>214</v>
          </cell>
          <cell r="C1393">
            <v>8104</v>
          </cell>
          <cell r="D1393">
            <v>970.49</v>
          </cell>
          <cell r="E1393">
            <v>24</v>
          </cell>
          <cell r="F1393">
            <v>56406</v>
          </cell>
          <cell r="H1393">
            <v>5</v>
          </cell>
          <cell r="I1393">
            <v>0</v>
          </cell>
          <cell r="J1393">
            <v>0</v>
          </cell>
          <cell r="K1393">
            <v>74713.2</v>
          </cell>
          <cell r="L1393">
            <v>0</v>
          </cell>
          <cell r="M1393">
            <v>74713.2</v>
          </cell>
          <cell r="N1393">
            <v>0</v>
          </cell>
          <cell r="O1393" t="str">
            <v>Канцелярские и офисные принадлежности - Расходы на бланки, к</v>
          </cell>
        </row>
        <row r="1394">
          <cell r="A1394">
            <v>9</v>
          </cell>
          <cell r="B1394">
            <v>214</v>
          </cell>
          <cell r="C1394">
            <v>8137</v>
          </cell>
          <cell r="D1394">
            <v>970.49</v>
          </cell>
          <cell r="E1394">
            <v>24</v>
          </cell>
          <cell r="F1394">
            <v>56406</v>
          </cell>
          <cell r="H1394">
            <v>5</v>
          </cell>
          <cell r="I1394">
            <v>0</v>
          </cell>
          <cell r="J1394">
            <v>0</v>
          </cell>
          <cell r="K1394">
            <v>107004.8</v>
          </cell>
          <cell r="L1394">
            <v>0</v>
          </cell>
          <cell r="M1394">
            <v>107004.8</v>
          </cell>
          <cell r="N1394">
            <v>0</v>
          </cell>
          <cell r="O1394" t="str">
            <v>Канцелярские и офисные принадлежности - Расходы на бланки, к</v>
          </cell>
        </row>
        <row r="1395">
          <cell r="A1395">
            <v>9</v>
          </cell>
          <cell r="B1395">
            <v>214</v>
          </cell>
          <cell r="C1395">
            <v>8298</v>
          </cell>
          <cell r="D1395">
            <v>970.49</v>
          </cell>
          <cell r="E1395">
            <v>24</v>
          </cell>
          <cell r="F1395">
            <v>56406</v>
          </cell>
          <cell r="H1395">
            <v>5</v>
          </cell>
          <cell r="I1395">
            <v>0</v>
          </cell>
          <cell r="J1395">
            <v>0</v>
          </cell>
          <cell r="K1395">
            <v>52924</v>
          </cell>
          <cell r="L1395">
            <v>0</v>
          </cell>
          <cell r="M1395">
            <v>52924</v>
          </cell>
          <cell r="N1395">
            <v>0</v>
          </cell>
          <cell r="O1395" t="str">
            <v>Канцелярские и офисные принадлежности - Расходы на бланки, к</v>
          </cell>
        </row>
        <row r="1396">
          <cell r="A1396">
            <v>9</v>
          </cell>
          <cell r="B1396">
            <v>214</v>
          </cell>
          <cell r="C1396">
            <v>8533</v>
          </cell>
          <cell r="D1396">
            <v>970.49</v>
          </cell>
          <cell r="E1396">
            <v>24</v>
          </cell>
          <cell r="F1396">
            <v>56406</v>
          </cell>
          <cell r="H1396">
            <v>5</v>
          </cell>
          <cell r="I1396">
            <v>0</v>
          </cell>
          <cell r="J1396">
            <v>0</v>
          </cell>
          <cell r="K1396">
            <v>50421.72</v>
          </cell>
          <cell r="L1396">
            <v>0</v>
          </cell>
          <cell r="M1396">
            <v>50421.72</v>
          </cell>
          <cell r="N1396">
            <v>0</v>
          </cell>
          <cell r="O1396" t="str">
            <v>Канцелярские и офисные принадлежности - Расходы на бланки, к</v>
          </cell>
        </row>
        <row r="1397">
          <cell r="A1397">
            <v>9</v>
          </cell>
          <cell r="B1397">
            <v>214</v>
          </cell>
          <cell r="C1397">
            <v>8659</v>
          </cell>
          <cell r="D1397">
            <v>970.49</v>
          </cell>
          <cell r="E1397">
            <v>24</v>
          </cell>
          <cell r="F1397">
            <v>56406</v>
          </cell>
          <cell r="H1397">
            <v>5</v>
          </cell>
          <cell r="I1397">
            <v>0</v>
          </cell>
          <cell r="J1397">
            <v>0</v>
          </cell>
          <cell r="K1397">
            <v>72020</v>
          </cell>
          <cell r="L1397">
            <v>0</v>
          </cell>
          <cell r="M1397">
            <v>72020</v>
          </cell>
          <cell r="N1397">
            <v>0</v>
          </cell>
          <cell r="O1397" t="str">
            <v>Канцелярские и офисные принадлежности - Расходы на бланки, к</v>
          </cell>
        </row>
        <row r="1398">
          <cell r="A1398">
            <v>9</v>
          </cell>
          <cell r="B1398">
            <v>214</v>
          </cell>
          <cell r="C1398">
            <v>214</v>
          </cell>
          <cell r="D1398">
            <v>970.5</v>
          </cell>
          <cell r="E1398">
            <v>24</v>
          </cell>
          <cell r="F1398">
            <v>56410</v>
          </cell>
          <cell r="H1398">
            <v>5</v>
          </cell>
          <cell r="I1398">
            <v>0</v>
          </cell>
          <cell r="J1398">
            <v>0</v>
          </cell>
          <cell r="K1398">
            <v>470813</v>
          </cell>
          <cell r="L1398">
            <v>0</v>
          </cell>
          <cell r="M1398">
            <v>470813</v>
          </cell>
          <cell r="N1398">
            <v>0</v>
          </cell>
          <cell r="O1398" t="str">
            <v>Почта, телефон и факс</v>
          </cell>
        </row>
        <row r="1399">
          <cell r="A1399">
            <v>9</v>
          </cell>
          <cell r="B1399">
            <v>214</v>
          </cell>
          <cell r="C1399">
            <v>3563</v>
          </cell>
          <cell r="D1399">
            <v>970.5</v>
          </cell>
          <cell r="E1399">
            <v>24</v>
          </cell>
          <cell r="F1399">
            <v>56410</v>
          </cell>
          <cell r="H1399">
            <v>5</v>
          </cell>
          <cell r="I1399">
            <v>0</v>
          </cell>
          <cell r="J1399">
            <v>0</v>
          </cell>
          <cell r="K1399">
            <v>168290</v>
          </cell>
          <cell r="L1399">
            <v>0</v>
          </cell>
          <cell r="M1399">
            <v>168290</v>
          </cell>
          <cell r="N1399">
            <v>0</v>
          </cell>
          <cell r="O1399" t="str">
            <v>Почта, телефон и факс</v>
          </cell>
        </row>
        <row r="1400">
          <cell r="A1400">
            <v>9</v>
          </cell>
          <cell r="B1400">
            <v>214</v>
          </cell>
          <cell r="C1400">
            <v>5996</v>
          </cell>
          <cell r="D1400">
            <v>970.5</v>
          </cell>
          <cell r="E1400">
            <v>24</v>
          </cell>
          <cell r="F1400">
            <v>56410</v>
          </cell>
          <cell r="H1400">
            <v>5</v>
          </cell>
          <cell r="I1400">
            <v>0</v>
          </cell>
          <cell r="J1400">
            <v>0</v>
          </cell>
          <cell r="K1400">
            <v>123937.4</v>
          </cell>
          <cell r="L1400">
            <v>0</v>
          </cell>
          <cell r="M1400">
            <v>123937.4</v>
          </cell>
          <cell r="N1400">
            <v>0</v>
          </cell>
          <cell r="O1400" t="str">
            <v>Почта, телефон и факс</v>
          </cell>
        </row>
        <row r="1401">
          <cell r="A1401">
            <v>9</v>
          </cell>
          <cell r="B1401">
            <v>214</v>
          </cell>
          <cell r="C1401">
            <v>7783</v>
          </cell>
          <cell r="D1401">
            <v>970.5</v>
          </cell>
          <cell r="E1401">
            <v>24</v>
          </cell>
          <cell r="F1401">
            <v>56410</v>
          </cell>
          <cell r="H1401">
            <v>5</v>
          </cell>
          <cell r="I1401">
            <v>0</v>
          </cell>
          <cell r="J1401">
            <v>0</v>
          </cell>
          <cell r="K1401">
            <v>299228.12</v>
          </cell>
          <cell r="L1401">
            <v>0</v>
          </cell>
          <cell r="M1401">
            <v>299228.12</v>
          </cell>
          <cell r="N1401">
            <v>0</v>
          </cell>
          <cell r="O1401" t="str">
            <v>Почта, телефон и факс</v>
          </cell>
        </row>
        <row r="1402">
          <cell r="A1402">
            <v>9</v>
          </cell>
          <cell r="B1402">
            <v>214</v>
          </cell>
          <cell r="C1402">
            <v>7845</v>
          </cell>
          <cell r="D1402">
            <v>970.5</v>
          </cell>
          <cell r="E1402">
            <v>24</v>
          </cell>
          <cell r="F1402">
            <v>56410</v>
          </cell>
          <cell r="H1402">
            <v>5</v>
          </cell>
          <cell r="I1402">
            <v>0</v>
          </cell>
          <cell r="J1402">
            <v>0</v>
          </cell>
          <cell r="K1402">
            <v>274970.81</v>
          </cell>
          <cell r="L1402">
            <v>0</v>
          </cell>
          <cell r="M1402">
            <v>274970.81</v>
          </cell>
          <cell r="N1402">
            <v>0</v>
          </cell>
          <cell r="O1402" t="str">
            <v>Почта, телефон и факс</v>
          </cell>
        </row>
        <row r="1403">
          <cell r="A1403">
            <v>9</v>
          </cell>
          <cell r="B1403">
            <v>214</v>
          </cell>
          <cell r="C1403">
            <v>7948</v>
          </cell>
          <cell r="D1403">
            <v>970.5</v>
          </cell>
          <cell r="E1403">
            <v>24</v>
          </cell>
          <cell r="F1403">
            <v>56410</v>
          </cell>
          <cell r="H1403">
            <v>5</v>
          </cell>
          <cell r="I1403">
            <v>0</v>
          </cell>
          <cell r="J1403">
            <v>0</v>
          </cell>
          <cell r="K1403">
            <v>157714</v>
          </cell>
          <cell r="L1403">
            <v>0</v>
          </cell>
          <cell r="M1403">
            <v>157714</v>
          </cell>
          <cell r="N1403">
            <v>0</v>
          </cell>
          <cell r="O1403" t="str">
            <v>Почта, телефон и факс</v>
          </cell>
        </row>
        <row r="1404">
          <cell r="A1404">
            <v>9</v>
          </cell>
          <cell r="B1404">
            <v>214</v>
          </cell>
          <cell r="C1404">
            <v>8002</v>
          </cell>
          <cell r="D1404">
            <v>970.5</v>
          </cell>
          <cell r="E1404">
            <v>24</v>
          </cell>
          <cell r="F1404">
            <v>56410</v>
          </cell>
          <cell r="H1404">
            <v>5</v>
          </cell>
          <cell r="I1404">
            <v>0</v>
          </cell>
          <cell r="J1404">
            <v>0</v>
          </cell>
          <cell r="K1404">
            <v>89248</v>
          </cell>
          <cell r="L1404">
            <v>0</v>
          </cell>
          <cell r="M1404">
            <v>89248</v>
          </cell>
          <cell r="N1404">
            <v>0</v>
          </cell>
          <cell r="O1404" t="str">
            <v>Почта, телефон и факс</v>
          </cell>
        </row>
        <row r="1405">
          <cell r="A1405">
            <v>9</v>
          </cell>
          <cell r="B1405">
            <v>214</v>
          </cell>
          <cell r="C1405">
            <v>8104</v>
          </cell>
          <cell r="D1405">
            <v>970.5</v>
          </cell>
          <cell r="E1405">
            <v>24</v>
          </cell>
          <cell r="F1405">
            <v>56410</v>
          </cell>
          <cell r="H1405">
            <v>5</v>
          </cell>
          <cell r="I1405">
            <v>0</v>
          </cell>
          <cell r="J1405">
            <v>0</v>
          </cell>
          <cell r="K1405">
            <v>115000</v>
          </cell>
          <cell r="L1405">
            <v>0</v>
          </cell>
          <cell r="M1405">
            <v>115000</v>
          </cell>
          <cell r="N1405">
            <v>0</v>
          </cell>
          <cell r="O1405" t="str">
            <v>Почта, телефон и факс</v>
          </cell>
        </row>
        <row r="1406">
          <cell r="A1406">
            <v>9</v>
          </cell>
          <cell r="B1406">
            <v>214</v>
          </cell>
          <cell r="C1406">
            <v>8137</v>
          </cell>
          <cell r="D1406">
            <v>970.5</v>
          </cell>
          <cell r="E1406">
            <v>24</v>
          </cell>
          <cell r="F1406">
            <v>56410</v>
          </cell>
          <cell r="H1406">
            <v>5</v>
          </cell>
          <cell r="I1406">
            <v>0</v>
          </cell>
          <cell r="J1406">
            <v>0</v>
          </cell>
          <cell r="K1406">
            <v>143783</v>
          </cell>
          <cell r="L1406">
            <v>0</v>
          </cell>
          <cell r="M1406">
            <v>143783</v>
          </cell>
          <cell r="N1406">
            <v>0</v>
          </cell>
          <cell r="O1406" t="str">
            <v>Почта, телефон и факс</v>
          </cell>
        </row>
        <row r="1407">
          <cell r="A1407">
            <v>9</v>
          </cell>
          <cell r="B1407">
            <v>214</v>
          </cell>
          <cell r="C1407">
            <v>8298</v>
          </cell>
          <cell r="D1407">
            <v>970.5</v>
          </cell>
          <cell r="E1407">
            <v>24</v>
          </cell>
          <cell r="F1407">
            <v>56410</v>
          </cell>
          <cell r="H1407">
            <v>5</v>
          </cell>
          <cell r="I1407">
            <v>0</v>
          </cell>
          <cell r="J1407">
            <v>0</v>
          </cell>
          <cell r="K1407">
            <v>369200</v>
          </cell>
          <cell r="L1407">
            <v>0</v>
          </cell>
          <cell r="M1407">
            <v>369200</v>
          </cell>
          <cell r="N1407">
            <v>0</v>
          </cell>
          <cell r="O1407" t="str">
            <v>Почта, телефон и факс</v>
          </cell>
        </row>
        <row r="1408">
          <cell r="A1408">
            <v>9</v>
          </cell>
          <cell r="B1408">
            <v>214</v>
          </cell>
          <cell r="C1408">
            <v>8533</v>
          </cell>
          <cell r="D1408">
            <v>970.5</v>
          </cell>
          <cell r="E1408">
            <v>24</v>
          </cell>
          <cell r="F1408">
            <v>56410</v>
          </cell>
          <cell r="H1408">
            <v>5</v>
          </cell>
          <cell r="I1408">
            <v>0</v>
          </cell>
          <cell r="J1408">
            <v>0</v>
          </cell>
          <cell r="K1408">
            <v>142001.28</v>
          </cell>
          <cell r="L1408">
            <v>0</v>
          </cell>
          <cell r="M1408">
            <v>142001.28</v>
          </cell>
          <cell r="N1408">
            <v>0</v>
          </cell>
          <cell r="O1408" t="str">
            <v>Почта, телефон и факс</v>
          </cell>
        </row>
        <row r="1409">
          <cell r="A1409">
            <v>9</v>
          </cell>
          <cell r="B1409">
            <v>214</v>
          </cell>
          <cell r="C1409">
            <v>8659</v>
          </cell>
          <cell r="D1409">
            <v>970.5</v>
          </cell>
          <cell r="E1409">
            <v>24</v>
          </cell>
          <cell r="F1409">
            <v>56410</v>
          </cell>
          <cell r="H1409">
            <v>5</v>
          </cell>
          <cell r="I1409">
            <v>0</v>
          </cell>
          <cell r="J1409">
            <v>0</v>
          </cell>
          <cell r="K1409">
            <v>136936</v>
          </cell>
          <cell r="L1409">
            <v>0</v>
          </cell>
          <cell r="M1409">
            <v>136936</v>
          </cell>
          <cell r="N1409">
            <v>0</v>
          </cell>
          <cell r="O1409" t="str">
            <v>Почта, телефон и факс</v>
          </cell>
        </row>
        <row r="1410">
          <cell r="A1410">
            <v>9</v>
          </cell>
          <cell r="B1410">
            <v>214</v>
          </cell>
          <cell r="C1410">
            <v>214</v>
          </cell>
          <cell r="D1410">
            <v>970.52</v>
          </cell>
          <cell r="E1410">
            <v>24</v>
          </cell>
          <cell r="F1410">
            <v>56418</v>
          </cell>
          <cell r="H1410">
            <v>5</v>
          </cell>
          <cell r="I1410">
            <v>0</v>
          </cell>
          <cell r="J1410">
            <v>0</v>
          </cell>
          <cell r="K1410">
            <v>7000</v>
          </cell>
          <cell r="L1410">
            <v>0</v>
          </cell>
          <cell r="M1410">
            <v>7000</v>
          </cell>
          <cell r="N1410">
            <v>0</v>
          </cell>
          <cell r="O1410" t="str">
            <v>Периодические издания, книги, газеты</v>
          </cell>
        </row>
        <row r="1411">
          <cell r="A1411">
            <v>9</v>
          </cell>
          <cell r="B1411">
            <v>214</v>
          </cell>
          <cell r="C1411">
            <v>3563</v>
          </cell>
          <cell r="D1411">
            <v>970.52</v>
          </cell>
          <cell r="E1411">
            <v>24</v>
          </cell>
          <cell r="F1411">
            <v>56418</v>
          </cell>
          <cell r="H1411">
            <v>5</v>
          </cell>
          <cell r="I1411">
            <v>0</v>
          </cell>
          <cell r="J1411">
            <v>0</v>
          </cell>
          <cell r="K1411">
            <v>5585</v>
          </cell>
          <cell r="L1411">
            <v>0</v>
          </cell>
          <cell r="M1411">
            <v>5585</v>
          </cell>
          <cell r="N1411">
            <v>0</v>
          </cell>
          <cell r="O1411" t="str">
            <v>Периодические издания, книги, газеты</v>
          </cell>
        </row>
        <row r="1412">
          <cell r="A1412">
            <v>9</v>
          </cell>
          <cell r="B1412">
            <v>214</v>
          </cell>
          <cell r="C1412">
            <v>7948</v>
          </cell>
          <cell r="D1412">
            <v>970.52</v>
          </cell>
          <cell r="E1412">
            <v>24</v>
          </cell>
          <cell r="F1412">
            <v>56418</v>
          </cell>
          <cell r="H1412">
            <v>5</v>
          </cell>
          <cell r="I1412">
            <v>0</v>
          </cell>
          <cell r="J1412">
            <v>0</v>
          </cell>
          <cell r="K1412">
            <v>990</v>
          </cell>
          <cell r="L1412">
            <v>0</v>
          </cell>
          <cell r="M1412">
            <v>990</v>
          </cell>
          <cell r="N1412">
            <v>0</v>
          </cell>
          <cell r="O1412" t="str">
            <v>Периодические издания, книги, газеты</v>
          </cell>
        </row>
        <row r="1413">
          <cell r="A1413">
            <v>9</v>
          </cell>
          <cell r="B1413">
            <v>214</v>
          </cell>
          <cell r="C1413">
            <v>8298</v>
          </cell>
          <cell r="D1413">
            <v>970.52</v>
          </cell>
          <cell r="E1413">
            <v>24</v>
          </cell>
          <cell r="F1413">
            <v>56418</v>
          </cell>
          <cell r="H1413">
            <v>5</v>
          </cell>
          <cell r="I1413">
            <v>0</v>
          </cell>
          <cell r="J1413">
            <v>0</v>
          </cell>
          <cell r="K1413">
            <v>2880</v>
          </cell>
          <cell r="L1413">
            <v>0</v>
          </cell>
          <cell r="M1413">
            <v>2880</v>
          </cell>
          <cell r="N1413">
            <v>0</v>
          </cell>
          <cell r="O1413" t="str">
            <v>Периодические издания, книги, газеты</v>
          </cell>
        </row>
        <row r="1414">
          <cell r="A1414">
            <v>9</v>
          </cell>
          <cell r="B1414">
            <v>214</v>
          </cell>
          <cell r="C1414">
            <v>8533</v>
          </cell>
          <cell r="D1414">
            <v>970.52</v>
          </cell>
          <cell r="E1414">
            <v>24</v>
          </cell>
          <cell r="F1414">
            <v>56418</v>
          </cell>
          <cell r="H1414">
            <v>5</v>
          </cell>
          <cell r="I1414">
            <v>0</v>
          </cell>
          <cell r="J1414">
            <v>0</v>
          </cell>
          <cell r="K1414">
            <v>9614</v>
          </cell>
          <cell r="L1414">
            <v>0</v>
          </cell>
          <cell r="M1414">
            <v>9614</v>
          </cell>
          <cell r="N1414">
            <v>0</v>
          </cell>
          <cell r="O1414" t="str">
            <v>Периодические издания, книги, газеты</v>
          </cell>
        </row>
        <row r="1415">
          <cell r="A1415">
            <v>9</v>
          </cell>
          <cell r="B1415">
            <v>214</v>
          </cell>
          <cell r="C1415">
            <v>214</v>
          </cell>
          <cell r="D1415">
            <v>970.56</v>
          </cell>
          <cell r="E1415">
            <v>24</v>
          </cell>
          <cell r="F1415">
            <v>56602</v>
          </cell>
          <cell r="H1415">
            <v>5</v>
          </cell>
          <cell r="I1415">
            <v>0</v>
          </cell>
          <cell r="J1415">
            <v>0</v>
          </cell>
          <cell r="K1415">
            <v>1924</v>
          </cell>
          <cell r="L1415">
            <v>0</v>
          </cell>
          <cell r="M1415">
            <v>1924</v>
          </cell>
          <cell r="N1415">
            <v>0</v>
          </cell>
          <cell r="O1415" t="str">
            <v>Износ-Банковские помещения, Здания и другие сооружения</v>
          </cell>
        </row>
        <row r="1416">
          <cell r="A1416">
            <v>9</v>
          </cell>
          <cell r="B1416">
            <v>214</v>
          </cell>
          <cell r="C1416">
            <v>3563</v>
          </cell>
          <cell r="D1416">
            <v>970.56</v>
          </cell>
          <cell r="E1416">
            <v>24</v>
          </cell>
          <cell r="F1416">
            <v>56602</v>
          </cell>
          <cell r="H1416">
            <v>5</v>
          </cell>
          <cell r="I1416">
            <v>0</v>
          </cell>
          <cell r="J1416">
            <v>0</v>
          </cell>
          <cell r="K1416">
            <v>4250</v>
          </cell>
          <cell r="L1416">
            <v>0</v>
          </cell>
          <cell r="M1416">
            <v>4250</v>
          </cell>
          <cell r="N1416">
            <v>0</v>
          </cell>
          <cell r="O1416" t="str">
            <v>Износ-Банковские помещения, Здания и другие сооружения</v>
          </cell>
        </row>
        <row r="1417">
          <cell r="A1417">
            <v>9</v>
          </cell>
          <cell r="B1417">
            <v>214</v>
          </cell>
          <cell r="C1417">
            <v>5996</v>
          </cell>
          <cell r="D1417">
            <v>970.56</v>
          </cell>
          <cell r="E1417">
            <v>24</v>
          </cell>
          <cell r="F1417">
            <v>56602</v>
          </cell>
          <cell r="H1417">
            <v>5</v>
          </cell>
          <cell r="I1417">
            <v>0</v>
          </cell>
          <cell r="J1417">
            <v>0</v>
          </cell>
          <cell r="K1417">
            <v>159</v>
          </cell>
          <cell r="L1417">
            <v>0</v>
          </cell>
          <cell r="M1417">
            <v>159</v>
          </cell>
          <cell r="N1417">
            <v>0</v>
          </cell>
          <cell r="O1417" t="str">
            <v>Износ-Банковские помещения, Здания и другие сооружения</v>
          </cell>
        </row>
        <row r="1418">
          <cell r="A1418">
            <v>9</v>
          </cell>
          <cell r="B1418">
            <v>214</v>
          </cell>
          <cell r="C1418">
            <v>7783</v>
          </cell>
          <cell r="D1418">
            <v>970.56</v>
          </cell>
          <cell r="E1418">
            <v>24</v>
          </cell>
          <cell r="F1418">
            <v>56602</v>
          </cell>
          <cell r="H1418">
            <v>5</v>
          </cell>
          <cell r="I1418">
            <v>0</v>
          </cell>
          <cell r="J1418">
            <v>0</v>
          </cell>
          <cell r="K1418">
            <v>11316</v>
          </cell>
          <cell r="L1418">
            <v>0</v>
          </cell>
          <cell r="M1418">
            <v>11316</v>
          </cell>
          <cell r="N1418">
            <v>0</v>
          </cell>
          <cell r="O1418" t="str">
            <v>Износ-Банковские помещения, Здания и другие сооружения</v>
          </cell>
        </row>
        <row r="1419">
          <cell r="A1419">
            <v>9</v>
          </cell>
          <cell r="B1419">
            <v>214</v>
          </cell>
          <cell r="C1419">
            <v>7845</v>
          </cell>
          <cell r="D1419">
            <v>970.56</v>
          </cell>
          <cell r="E1419">
            <v>24</v>
          </cell>
          <cell r="F1419">
            <v>56602</v>
          </cell>
          <cell r="H1419">
            <v>5</v>
          </cell>
          <cell r="I1419">
            <v>0</v>
          </cell>
          <cell r="J1419">
            <v>0</v>
          </cell>
          <cell r="K1419">
            <v>48517</v>
          </cell>
          <cell r="L1419">
            <v>0</v>
          </cell>
          <cell r="M1419">
            <v>48517</v>
          </cell>
          <cell r="N1419">
            <v>0</v>
          </cell>
          <cell r="O1419" t="str">
            <v>Износ-Банковские помещения, Здания и другие сооружения</v>
          </cell>
        </row>
        <row r="1420">
          <cell r="A1420">
            <v>9</v>
          </cell>
          <cell r="B1420">
            <v>214</v>
          </cell>
          <cell r="C1420">
            <v>7948</v>
          </cell>
          <cell r="D1420">
            <v>970.56</v>
          </cell>
          <cell r="E1420">
            <v>24</v>
          </cell>
          <cell r="F1420">
            <v>56602</v>
          </cell>
          <cell r="H1420">
            <v>5</v>
          </cell>
          <cell r="I1420">
            <v>0</v>
          </cell>
          <cell r="J1420">
            <v>0</v>
          </cell>
          <cell r="K1420">
            <v>1663</v>
          </cell>
          <cell r="L1420">
            <v>0</v>
          </cell>
          <cell r="M1420">
            <v>1663</v>
          </cell>
          <cell r="N1420">
            <v>0</v>
          </cell>
          <cell r="O1420" t="str">
            <v>Износ-Банковские помещения, Здания и другие сооружения</v>
          </cell>
        </row>
        <row r="1421">
          <cell r="A1421">
            <v>9</v>
          </cell>
          <cell r="B1421">
            <v>214</v>
          </cell>
          <cell r="C1421">
            <v>8104</v>
          </cell>
          <cell r="D1421">
            <v>970.56</v>
          </cell>
          <cell r="E1421">
            <v>24</v>
          </cell>
          <cell r="F1421">
            <v>56602</v>
          </cell>
          <cell r="H1421">
            <v>5</v>
          </cell>
          <cell r="I1421">
            <v>0</v>
          </cell>
          <cell r="J1421">
            <v>0</v>
          </cell>
          <cell r="K1421">
            <v>1964.35</v>
          </cell>
          <cell r="L1421">
            <v>0</v>
          </cell>
          <cell r="M1421">
            <v>1964.35</v>
          </cell>
          <cell r="N1421">
            <v>0</v>
          </cell>
          <cell r="O1421" t="str">
            <v>Износ-Банковские помещения, Здания и другие сооружения</v>
          </cell>
        </row>
        <row r="1422">
          <cell r="A1422">
            <v>9</v>
          </cell>
          <cell r="B1422">
            <v>214</v>
          </cell>
          <cell r="C1422">
            <v>8137</v>
          </cell>
          <cell r="D1422">
            <v>970.56</v>
          </cell>
          <cell r="E1422">
            <v>24</v>
          </cell>
          <cell r="F1422">
            <v>56602</v>
          </cell>
          <cell r="H1422">
            <v>5</v>
          </cell>
          <cell r="I1422">
            <v>0</v>
          </cell>
          <cell r="J1422">
            <v>0</v>
          </cell>
          <cell r="K1422">
            <v>20979</v>
          </cell>
          <cell r="L1422">
            <v>0</v>
          </cell>
          <cell r="M1422">
            <v>20979</v>
          </cell>
          <cell r="N1422">
            <v>0</v>
          </cell>
          <cell r="O1422" t="str">
            <v>Износ-Банковские помещения, Здания и другие сооружения</v>
          </cell>
        </row>
        <row r="1423">
          <cell r="A1423">
            <v>9</v>
          </cell>
          <cell r="B1423">
            <v>214</v>
          </cell>
          <cell r="C1423">
            <v>8298</v>
          </cell>
          <cell r="D1423">
            <v>970.56</v>
          </cell>
          <cell r="E1423">
            <v>24</v>
          </cell>
          <cell r="F1423">
            <v>56602</v>
          </cell>
          <cell r="H1423">
            <v>5</v>
          </cell>
          <cell r="I1423">
            <v>0</v>
          </cell>
          <cell r="J1423">
            <v>0</v>
          </cell>
          <cell r="K1423">
            <v>237624.36</v>
          </cell>
          <cell r="L1423">
            <v>0</v>
          </cell>
          <cell r="M1423">
            <v>237624.36</v>
          </cell>
          <cell r="N1423">
            <v>0</v>
          </cell>
          <cell r="O1423" t="str">
            <v>Износ-Банковские помещения, Здания и другие сооружения</v>
          </cell>
        </row>
        <row r="1424">
          <cell r="A1424">
            <v>9</v>
          </cell>
          <cell r="B1424">
            <v>214</v>
          </cell>
          <cell r="C1424">
            <v>8659</v>
          </cell>
          <cell r="D1424">
            <v>970.56</v>
          </cell>
          <cell r="E1424">
            <v>24</v>
          </cell>
          <cell r="F1424">
            <v>56602</v>
          </cell>
          <cell r="H1424">
            <v>5</v>
          </cell>
          <cell r="I1424">
            <v>0</v>
          </cell>
          <cell r="J1424">
            <v>0</v>
          </cell>
          <cell r="K1424">
            <v>10473</v>
          </cell>
          <cell r="L1424">
            <v>0</v>
          </cell>
          <cell r="M1424">
            <v>10473</v>
          </cell>
          <cell r="N1424">
            <v>0</v>
          </cell>
          <cell r="O1424" t="str">
            <v>Износ-Банковские помещения, Здания и другие сооружения</v>
          </cell>
        </row>
        <row r="1425">
          <cell r="A1425">
            <v>9</v>
          </cell>
          <cell r="B1425">
            <v>214</v>
          </cell>
          <cell r="C1425">
            <v>214</v>
          </cell>
          <cell r="D1425">
            <v>970.57</v>
          </cell>
          <cell r="E1425">
            <v>24</v>
          </cell>
          <cell r="F1425">
            <v>56610</v>
          </cell>
          <cell r="H1425">
            <v>5</v>
          </cell>
          <cell r="I1425">
            <v>0</v>
          </cell>
          <cell r="J1425">
            <v>0</v>
          </cell>
          <cell r="K1425">
            <v>15817</v>
          </cell>
          <cell r="L1425">
            <v>0</v>
          </cell>
          <cell r="M1425">
            <v>15817</v>
          </cell>
          <cell r="N1425">
            <v>0</v>
          </cell>
          <cell r="O1425" t="str">
            <v>Износ-Транспортное оборудование</v>
          </cell>
        </row>
        <row r="1426">
          <cell r="A1426">
            <v>9</v>
          </cell>
          <cell r="B1426">
            <v>214</v>
          </cell>
          <cell r="C1426">
            <v>3563</v>
          </cell>
          <cell r="D1426">
            <v>970.57</v>
          </cell>
          <cell r="E1426">
            <v>24</v>
          </cell>
          <cell r="F1426">
            <v>56610</v>
          </cell>
          <cell r="H1426">
            <v>5</v>
          </cell>
          <cell r="I1426">
            <v>0</v>
          </cell>
          <cell r="J1426">
            <v>0</v>
          </cell>
          <cell r="K1426">
            <v>39415</v>
          </cell>
          <cell r="L1426">
            <v>0</v>
          </cell>
          <cell r="M1426">
            <v>39415</v>
          </cell>
          <cell r="N1426">
            <v>0</v>
          </cell>
          <cell r="O1426" t="str">
            <v>Износ-Транспортное оборудование</v>
          </cell>
        </row>
        <row r="1427">
          <cell r="A1427">
            <v>9</v>
          </cell>
          <cell r="B1427">
            <v>214</v>
          </cell>
          <cell r="C1427">
            <v>5996</v>
          </cell>
          <cell r="D1427">
            <v>970.57</v>
          </cell>
          <cell r="E1427">
            <v>24</v>
          </cell>
          <cell r="F1427">
            <v>56610</v>
          </cell>
          <cell r="H1427">
            <v>5</v>
          </cell>
          <cell r="I1427">
            <v>0</v>
          </cell>
          <cell r="J1427">
            <v>0</v>
          </cell>
          <cell r="K1427">
            <v>52366</v>
          </cell>
          <cell r="L1427">
            <v>0</v>
          </cell>
          <cell r="M1427">
            <v>52366</v>
          </cell>
          <cell r="N1427">
            <v>0</v>
          </cell>
          <cell r="O1427" t="str">
            <v>Износ-Транспортное оборудование</v>
          </cell>
        </row>
        <row r="1428">
          <cell r="A1428">
            <v>9</v>
          </cell>
          <cell r="B1428">
            <v>214</v>
          </cell>
          <cell r="C1428">
            <v>7783</v>
          </cell>
          <cell r="D1428">
            <v>970.57</v>
          </cell>
          <cell r="E1428">
            <v>24</v>
          </cell>
          <cell r="F1428">
            <v>56610</v>
          </cell>
          <cell r="H1428">
            <v>5</v>
          </cell>
          <cell r="I1428">
            <v>0</v>
          </cell>
          <cell r="J1428">
            <v>0</v>
          </cell>
          <cell r="K1428">
            <v>42901.919999999998</v>
          </cell>
          <cell r="L1428">
            <v>0</v>
          </cell>
          <cell r="M1428">
            <v>42901.919999999998</v>
          </cell>
          <cell r="N1428">
            <v>0</v>
          </cell>
          <cell r="O1428" t="str">
            <v>Износ-Транспортное оборудование</v>
          </cell>
        </row>
        <row r="1429">
          <cell r="A1429">
            <v>9</v>
          </cell>
          <cell r="B1429">
            <v>214</v>
          </cell>
          <cell r="C1429">
            <v>7948</v>
          </cell>
          <cell r="D1429">
            <v>970.57</v>
          </cell>
          <cell r="E1429">
            <v>24</v>
          </cell>
          <cell r="F1429">
            <v>56610</v>
          </cell>
          <cell r="H1429">
            <v>5</v>
          </cell>
          <cell r="I1429">
            <v>0</v>
          </cell>
          <cell r="J1429">
            <v>0</v>
          </cell>
          <cell r="K1429">
            <v>64531</v>
          </cell>
          <cell r="L1429">
            <v>0</v>
          </cell>
          <cell r="M1429">
            <v>64531</v>
          </cell>
          <cell r="N1429">
            <v>0</v>
          </cell>
          <cell r="O1429" t="str">
            <v>Износ-Транспортное оборудование</v>
          </cell>
        </row>
        <row r="1430">
          <cell r="A1430">
            <v>9</v>
          </cell>
          <cell r="B1430">
            <v>214</v>
          </cell>
          <cell r="C1430">
            <v>8104</v>
          </cell>
          <cell r="D1430">
            <v>970.57</v>
          </cell>
          <cell r="E1430">
            <v>24</v>
          </cell>
          <cell r="F1430">
            <v>56610</v>
          </cell>
          <cell r="H1430">
            <v>5</v>
          </cell>
          <cell r="I1430">
            <v>0</v>
          </cell>
          <cell r="J1430">
            <v>0</v>
          </cell>
          <cell r="K1430">
            <v>21559.15</v>
          </cell>
          <cell r="L1430">
            <v>0</v>
          </cell>
          <cell r="M1430">
            <v>21559.15</v>
          </cell>
          <cell r="N1430">
            <v>0</v>
          </cell>
          <cell r="O1430" t="str">
            <v>Износ-Транспортное оборудование</v>
          </cell>
        </row>
        <row r="1431">
          <cell r="A1431">
            <v>9</v>
          </cell>
          <cell r="B1431">
            <v>214</v>
          </cell>
          <cell r="C1431">
            <v>8298</v>
          </cell>
          <cell r="D1431">
            <v>970.57</v>
          </cell>
          <cell r="E1431">
            <v>24</v>
          </cell>
          <cell r="F1431">
            <v>56610</v>
          </cell>
          <cell r="H1431">
            <v>5</v>
          </cell>
          <cell r="I1431">
            <v>0</v>
          </cell>
          <cell r="J1431">
            <v>0</v>
          </cell>
          <cell r="K1431">
            <v>27834</v>
          </cell>
          <cell r="L1431">
            <v>0</v>
          </cell>
          <cell r="M1431">
            <v>27834</v>
          </cell>
          <cell r="N1431">
            <v>0</v>
          </cell>
          <cell r="O1431" t="str">
            <v>Износ-Транспортное оборудование</v>
          </cell>
        </row>
        <row r="1432">
          <cell r="A1432">
            <v>9</v>
          </cell>
          <cell r="B1432">
            <v>214</v>
          </cell>
          <cell r="C1432">
            <v>8659</v>
          </cell>
          <cell r="D1432">
            <v>970.57</v>
          </cell>
          <cell r="E1432">
            <v>24</v>
          </cell>
          <cell r="F1432">
            <v>56610</v>
          </cell>
          <cell r="H1432">
            <v>5</v>
          </cell>
          <cell r="I1432">
            <v>0</v>
          </cell>
          <cell r="J1432">
            <v>0</v>
          </cell>
          <cell r="K1432">
            <v>25237</v>
          </cell>
          <cell r="L1432">
            <v>0</v>
          </cell>
          <cell r="M1432">
            <v>25237</v>
          </cell>
          <cell r="N1432">
            <v>0</v>
          </cell>
          <cell r="O1432" t="str">
            <v>Износ-Транспортное оборудование</v>
          </cell>
        </row>
        <row r="1433">
          <cell r="A1433">
            <v>9</v>
          </cell>
          <cell r="B1433">
            <v>214</v>
          </cell>
          <cell r="C1433">
            <v>214</v>
          </cell>
          <cell r="D1433">
            <v>970.58</v>
          </cell>
          <cell r="E1433">
            <v>24</v>
          </cell>
          <cell r="F1433">
            <v>56614</v>
          </cell>
          <cell r="H1433">
            <v>5</v>
          </cell>
          <cell r="I1433">
            <v>0</v>
          </cell>
          <cell r="J1433">
            <v>0</v>
          </cell>
          <cell r="K1433">
            <v>136215</v>
          </cell>
          <cell r="L1433">
            <v>0</v>
          </cell>
          <cell r="M1433">
            <v>136215</v>
          </cell>
          <cell r="N1433">
            <v>0</v>
          </cell>
          <cell r="O1433" t="str">
            <v>Износ-Мебель, приспособления и оборудование</v>
          </cell>
        </row>
        <row r="1434">
          <cell r="A1434">
            <v>9</v>
          </cell>
          <cell r="B1434">
            <v>214</v>
          </cell>
          <cell r="C1434">
            <v>3563</v>
          </cell>
          <cell r="D1434">
            <v>970.58</v>
          </cell>
          <cell r="E1434">
            <v>24</v>
          </cell>
          <cell r="F1434">
            <v>56614</v>
          </cell>
          <cell r="H1434">
            <v>5</v>
          </cell>
          <cell r="I1434">
            <v>0</v>
          </cell>
          <cell r="J1434">
            <v>0</v>
          </cell>
          <cell r="K1434">
            <v>119971</v>
          </cell>
          <cell r="L1434">
            <v>0</v>
          </cell>
          <cell r="M1434">
            <v>119971</v>
          </cell>
          <cell r="N1434">
            <v>0</v>
          </cell>
          <cell r="O1434" t="str">
            <v>Износ-Мебель, приспособления и оборудование</v>
          </cell>
        </row>
        <row r="1435">
          <cell r="A1435">
            <v>9</v>
          </cell>
          <cell r="B1435">
            <v>214</v>
          </cell>
          <cell r="C1435">
            <v>5996</v>
          </cell>
          <cell r="D1435">
            <v>970.58</v>
          </cell>
          <cell r="E1435">
            <v>24</v>
          </cell>
          <cell r="F1435">
            <v>56614</v>
          </cell>
          <cell r="H1435">
            <v>5</v>
          </cell>
          <cell r="I1435">
            <v>0</v>
          </cell>
          <cell r="J1435">
            <v>0</v>
          </cell>
          <cell r="K1435">
            <v>328222</v>
          </cell>
          <cell r="L1435">
            <v>0</v>
          </cell>
          <cell r="M1435">
            <v>328222</v>
          </cell>
          <cell r="N1435">
            <v>0</v>
          </cell>
          <cell r="O1435" t="str">
            <v>Износ-Мебель, приспособления и оборудование</v>
          </cell>
        </row>
        <row r="1436">
          <cell r="A1436">
            <v>9</v>
          </cell>
          <cell r="B1436">
            <v>214</v>
          </cell>
          <cell r="C1436">
            <v>7783</v>
          </cell>
          <cell r="D1436">
            <v>970.58</v>
          </cell>
          <cell r="E1436">
            <v>24</v>
          </cell>
          <cell r="F1436">
            <v>56614</v>
          </cell>
          <cell r="H1436">
            <v>5</v>
          </cell>
          <cell r="I1436">
            <v>0</v>
          </cell>
          <cell r="J1436">
            <v>0</v>
          </cell>
          <cell r="K1436">
            <v>252850</v>
          </cell>
          <cell r="L1436">
            <v>0</v>
          </cell>
          <cell r="M1436">
            <v>252850</v>
          </cell>
          <cell r="N1436">
            <v>0</v>
          </cell>
          <cell r="O1436" t="str">
            <v>Износ-Мебель, приспособления и оборудование</v>
          </cell>
        </row>
        <row r="1437">
          <cell r="A1437">
            <v>9</v>
          </cell>
          <cell r="B1437">
            <v>214</v>
          </cell>
          <cell r="C1437">
            <v>7845</v>
          </cell>
          <cell r="D1437">
            <v>970.58</v>
          </cell>
          <cell r="E1437">
            <v>24</v>
          </cell>
          <cell r="F1437">
            <v>56614</v>
          </cell>
          <cell r="H1437">
            <v>5</v>
          </cell>
          <cell r="I1437">
            <v>0</v>
          </cell>
          <cell r="J1437">
            <v>0</v>
          </cell>
          <cell r="K1437">
            <v>276617</v>
          </cell>
          <cell r="L1437">
            <v>0</v>
          </cell>
          <cell r="M1437">
            <v>276617</v>
          </cell>
          <cell r="N1437">
            <v>0</v>
          </cell>
          <cell r="O1437" t="str">
            <v>Износ-Мебель, приспособления и оборудование</v>
          </cell>
        </row>
        <row r="1438">
          <cell r="A1438">
            <v>9</v>
          </cell>
          <cell r="B1438">
            <v>214</v>
          </cell>
          <cell r="C1438">
            <v>7948</v>
          </cell>
          <cell r="D1438">
            <v>970.58</v>
          </cell>
          <cell r="E1438">
            <v>24</v>
          </cell>
          <cell r="F1438">
            <v>56614</v>
          </cell>
          <cell r="H1438">
            <v>5</v>
          </cell>
          <cell r="I1438">
            <v>0</v>
          </cell>
          <cell r="J1438">
            <v>0</v>
          </cell>
          <cell r="K1438">
            <v>176628</v>
          </cell>
          <cell r="L1438">
            <v>0</v>
          </cell>
          <cell r="M1438">
            <v>176628</v>
          </cell>
          <cell r="N1438">
            <v>0</v>
          </cell>
          <cell r="O1438" t="str">
            <v>Износ-Мебель, приспособления и оборудование</v>
          </cell>
        </row>
        <row r="1439">
          <cell r="A1439">
            <v>9</v>
          </cell>
          <cell r="B1439">
            <v>214</v>
          </cell>
          <cell r="C1439">
            <v>8002</v>
          </cell>
          <cell r="D1439">
            <v>970.58</v>
          </cell>
          <cell r="E1439">
            <v>24</v>
          </cell>
          <cell r="F1439">
            <v>56614</v>
          </cell>
          <cell r="H1439">
            <v>5</v>
          </cell>
          <cell r="I1439">
            <v>0</v>
          </cell>
          <cell r="J1439">
            <v>0</v>
          </cell>
          <cell r="K1439">
            <v>98600</v>
          </cell>
          <cell r="L1439">
            <v>0</v>
          </cell>
          <cell r="M1439">
            <v>98600</v>
          </cell>
          <cell r="N1439">
            <v>0</v>
          </cell>
          <cell r="O1439" t="str">
            <v>Износ-Мебель, приспособления и оборудование</v>
          </cell>
        </row>
        <row r="1440">
          <cell r="A1440">
            <v>9</v>
          </cell>
          <cell r="B1440">
            <v>214</v>
          </cell>
          <cell r="C1440">
            <v>8104</v>
          </cell>
          <cell r="D1440">
            <v>970.58</v>
          </cell>
          <cell r="E1440">
            <v>24</v>
          </cell>
          <cell r="F1440">
            <v>56614</v>
          </cell>
          <cell r="H1440">
            <v>5</v>
          </cell>
          <cell r="I1440">
            <v>0</v>
          </cell>
          <cell r="J1440">
            <v>0</v>
          </cell>
          <cell r="K1440">
            <v>143324</v>
          </cell>
          <cell r="L1440">
            <v>0</v>
          </cell>
          <cell r="M1440">
            <v>143324</v>
          </cell>
          <cell r="N1440">
            <v>0</v>
          </cell>
          <cell r="O1440" t="str">
            <v>Износ-Мебель, приспособления и оборудование</v>
          </cell>
        </row>
        <row r="1441">
          <cell r="A1441">
            <v>9</v>
          </cell>
          <cell r="B1441">
            <v>214</v>
          </cell>
          <cell r="C1441">
            <v>8137</v>
          </cell>
          <cell r="D1441">
            <v>970.58</v>
          </cell>
          <cell r="E1441">
            <v>24</v>
          </cell>
          <cell r="F1441">
            <v>56614</v>
          </cell>
          <cell r="H1441">
            <v>5</v>
          </cell>
          <cell r="I1441">
            <v>0</v>
          </cell>
          <cell r="J1441">
            <v>0</v>
          </cell>
          <cell r="K1441">
            <v>202734</v>
          </cell>
          <cell r="L1441">
            <v>0</v>
          </cell>
          <cell r="M1441">
            <v>202734</v>
          </cell>
          <cell r="N1441">
            <v>0</v>
          </cell>
          <cell r="O1441" t="str">
            <v>Износ-Мебель, приспособления и оборудование</v>
          </cell>
        </row>
        <row r="1442">
          <cell r="A1442">
            <v>9</v>
          </cell>
          <cell r="B1442">
            <v>214</v>
          </cell>
          <cell r="C1442">
            <v>8298</v>
          </cell>
          <cell r="D1442">
            <v>970.58</v>
          </cell>
          <cell r="E1442">
            <v>24</v>
          </cell>
          <cell r="F1442">
            <v>56614</v>
          </cell>
          <cell r="H1442">
            <v>5</v>
          </cell>
          <cell r="I1442">
            <v>0</v>
          </cell>
          <cell r="J1442">
            <v>0</v>
          </cell>
          <cell r="K1442">
            <v>229214</v>
          </cell>
          <cell r="L1442">
            <v>0</v>
          </cell>
          <cell r="M1442">
            <v>229214</v>
          </cell>
          <cell r="N1442">
            <v>0</v>
          </cell>
          <cell r="O1442" t="str">
            <v>Износ-Мебель, приспособления и оборудование</v>
          </cell>
        </row>
        <row r="1443">
          <cell r="A1443">
            <v>9</v>
          </cell>
          <cell r="B1443">
            <v>214</v>
          </cell>
          <cell r="C1443">
            <v>8533</v>
          </cell>
          <cell r="D1443">
            <v>970.58</v>
          </cell>
          <cell r="E1443">
            <v>24</v>
          </cell>
          <cell r="F1443">
            <v>56614</v>
          </cell>
          <cell r="H1443">
            <v>5</v>
          </cell>
          <cell r="I1443">
            <v>0</v>
          </cell>
          <cell r="J1443">
            <v>0</v>
          </cell>
          <cell r="K1443">
            <v>159032.25</v>
          </cell>
          <cell r="L1443">
            <v>0</v>
          </cell>
          <cell r="M1443">
            <v>159032.25</v>
          </cell>
          <cell r="N1443">
            <v>0</v>
          </cell>
          <cell r="O1443" t="str">
            <v>Износ-Мебель, приспособления и оборудование</v>
          </cell>
        </row>
        <row r="1444">
          <cell r="A1444">
            <v>9</v>
          </cell>
          <cell r="B1444">
            <v>214</v>
          </cell>
          <cell r="C1444">
            <v>8659</v>
          </cell>
          <cell r="D1444">
            <v>970.58</v>
          </cell>
          <cell r="E1444">
            <v>24</v>
          </cell>
          <cell r="F1444">
            <v>56614</v>
          </cell>
          <cell r="H1444">
            <v>5</v>
          </cell>
          <cell r="I1444">
            <v>0</v>
          </cell>
          <cell r="J1444">
            <v>0</v>
          </cell>
          <cell r="K1444">
            <v>172849</v>
          </cell>
          <cell r="L1444">
            <v>0</v>
          </cell>
          <cell r="M1444">
            <v>172849</v>
          </cell>
          <cell r="N1444">
            <v>0</v>
          </cell>
          <cell r="O1444" t="str">
            <v>Износ-Мебель, приспособления и оборудование</v>
          </cell>
        </row>
        <row r="1445">
          <cell r="A1445">
            <v>9</v>
          </cell>
          <cell r="B1445">
            <v>214</v>
          </cell>
          <cell r="C1445">
            <v>8137</v>
          </cell>
          <cell r="D1445">
            <v>970.59</v>
          </cell>
          <cell r="E1445">
            <v>24</v>
          </cell>
          <cell r="F1445">
            <v>56618</v>
          </cell>
          <cell r="H1445">
            <v>5</v>
          </cell>
          <cell r="I1445">
            <v>0</v>
          </cell>
          <cell r="J1445">
            <v>0</v>
          </cell>
          <cell r="K1445">
            <v>1098</v>
          </cell>
          <cell r="L1445">
            <v>0</v>
          </cell>
          <cell r="M1445">
            <v>1098</v>
          </cell>
          <cell r="N1445">
            <v>0</v>
          </cell>
          <cell r="O1445" t="str">
            <v>Износ-Нематериальные активы</v>
          </cell>
        </row>
        <row r="1446">
          <cell r="A1446">
            <v>9</v>
          </cell>
          <cell r="B1446">
            <v>214</v>
          </cell>
          <cell r="C1446">
            <v>3563</v>
          </cell>
          <cell r="D1446">
            <v>970.64</v>
          </cell>
          <cell r="E1446">
            <v>24</v>
          </cell>
          <cell r="F1446">
            <v>56710</v>
          </cell>
          <cell r="H1446">
            <v>5</v>
          </cell>
          <cell r="I1446">
            <v>0</v>
          </cell>
          <cell r="J1446">
            <v>0</v>
          </cell>
          <cell r="K1446">
            <v>5185</v>
          </cell>
          <cell r="L1446">
            <v>0</v>
          </cell>
          <cell r="M1446">
            <v>5185</v>
          </cell>
          <cell r="N1446">
            <v>0</v>
          </cell>
          <cell r="O1446" t="str">
            <v>Страхование</v>
          </cell>
        </row>
        <row r="1447">
          <cell r="A1447">
            <v>9</v>
          </cell>
          <cell r="B1447">
            <v>214</v>
          </cell>
          <cell r="C1447">
            <v>214</v>
          </cell>
          <cell r="D1447">
            <v>970.65</v>
          </cell>
          <cell r="E1447">
            <v>24</v>
          </cell>
          <cell r="F1447">
            <v>56714</v>
          </cell>
          <cell r="H1447">
            <v>5</v>
          </cell>
          <cell r="I1447">
            <v>0</v>
          </cell>
          <cell r="J1447">
            <v>0</v>
          </cell>
          <cell r="K1447">
            <v>244447</v>
          </cell>
          <cell r="L1447">
            <v>0</v>
          </cell>
          <cell r="M1447">
            <v>244447</v>
          </cell>
          <cell r="N1447">
            <v>0</v>
          </cell>
          <cell r="O1447" t="str">
            <v>Soliq va litsenziyalar</v>
          </cell>
        </row>
        <row r="1448">
          <cell r="A1448">
            <v>9</v>
          </cell>
          <cell r="B1448">
            <v>214</v>
          </cell>
          <cell r="C1448">
            <v>3563</v>
          </cell>
          <cell r="D1448">
            <v>970.65</v>
          </cell>
          <cell r="E1448">
            <v>24</v>
          </cell>
          <cell r="F1448">
            <v>56714</v>
          </cell>
          <cell r="H1448">
            <v>5</v>
          </cell>
          <cell r="I1448">
            <v>0</v>
          </cell>
          <cell r="J1448">
            <v>0</v>
          </cell>
          <cell r="K1448">
            <v>310896</v>
          </cell>
          <cell r="L1448">
            <v>0</v>
          </cell>
          <cell r="M1448">
            <v>310896</v>
          </cell>
          <cell r="N1448">
            <v>0</v>
          </cell>
          <cell r="O1448" t="str">
            <v>Soliq va litsenziyalar</v>
          </cell>
        </row>
        <row r="1449">
          <cell r="A1449">
            <v>9</v>
          </cell>
          <cell r="B1449">
            <v>214</v>
          </cell>
          <cell r="C1449">
            <v>5996</v>
          </cell>
          <cell r="D1449">
            <v>970.65</v>
          </cell>
          <cell r="E1449">
            <v>24</v>
          </cell>
          <cell r="F1449">
            <v>56714</v>
          </cell>
          <cell r="H1449">
            <v>5</v>
          </cell>
          <cell r="I1449">
            <v>0</v>
          </cell>
          <cell r="J1449">
            <v>0</v>
          </cell>
          <cell r="K1449">
            <v>315631.21000000002</v>
          </cell>
          <cell r="L1449">
            <v>0</v>
          </cell>
          <cell r="M1449">
            <v>315631.21000000002</v>
          </cell>
          <cell r="N1449">
            <v>0</v>
          </cell>
          <cell r="O1449" t="str">
            <v>Soliq va litsenziyalar</v>
          </cell>
        </row>
        <row r="1450">
          <cell r="A1450">
            <v>9</v>
          </cell>
          <cell r="B1450">
            <v>214</v>
          </cell>
          <cell r="C1450">
            <v>7783</v>
          </cell>
          <cell r="D1450">
            <v>970.65</v>
          </cell>
          <cell r="E1450">
            <v>24</v>
          </cell>
          <cell r="F1450">
            <v>56714</v>
          </cell>
          <cell r="H1450">
            <v>5</v>
          </cell>
          <cell r="I1450">
            <v>0</v>
          </cell>
          <cell r="J1450">
            <v>0</v>
          </cell>
          <cell r="K1450">
            <v>258031.54</v>
          </cell>
          <cell r="L1450">
            <v>0</v>
          </cell>
          <cell r="M1450">
            <v>258031.54</v>
          </cell>
          <cell r="N1450">
            <v>0</v>
          </cell>
          <cell r="O1450" t="str">
            <v>Soliq va litsenziyalar</v>
          </cell>
        </row>
        <row r="1451">
          <cell r="A1451">
            <v>9</v>
          </cell>
          <cell r="B1451">
            <v>214</v>
          </cell>
          <cell r="C1451">
            <v>7845</v>
          </cell>
          <cell r="D1451">
            <v>970.65</v>
          </cell>
          <cell r="E1451">
            <v>24</v>
          </cell>
          <cell r="F1451">
            <v>56714</v>
          </cell>
          <cell r="H1451">
            <v>5</v>
          </cell>
          <cell r="I1451">
            <v>0</v>
          </cell>
          <cell r="J1451">
            <v>0</v>
          </cell>
          <cell r="K1451">
            <v>314609.19</v>
          </cell>
          <cell r="L1451">
            <v>0</v>
          </cell>
          <cell r="M1451">
            <v>314609.19</v>
          </cell>
          <cell r="N1451">
            <v>0</v>
          </cell>
          <cell r="O1451" t="str">
            <v>Soliq va litsenziyalar</v>
          </cell>
        </row>
        <row r="1452">
          <cell r="A1452">
            <v>9</v>
          </cell>
          <cell r="B1452">
            <v>214</v>
          </cell>
          <cell r="C1452">
            <v>7948</v>
          </cell>
          <cell r="D1452">
            <v>970.65</v>
          </cell>
          <cell r="E1452">
            <v>24</v>
          </cell>
          <cell r="F1452">
            <v>56714</v>
          </cell>
          <cell r="H1452">
            <v>5</v>
          </cell>
          <cell r="I1452">
            <v>0</v>
          </cell>
          <cell r="J1452">
            <v>0</v>
          </cell>
          <cell r="K1452">
            <v>220373.2</v>
          </cell>
          <cell r="L1452">
            <v>0</v>
          </cell>
          <cell r="M1452">
            <v>220373.2</v>
          </cell>
          <cell r="N1452">
            <v>0</v>
          </cell>
          <cell r="O1452" t="str">
            <v>Soliq va litsenziyalar</v>
          </cell>
        </row>
        <row r="1453">
          <cell r="A1453">
            <v>9</v>
          </cell>
          <cell r="B1453">
            <v>214</v>
          </cell>
          <cell r="C1453">
            <v>8002</v>
          </cell>
          <cell r="D1453">
            <v>970.65</v>
          </cell>
          <cell r="E1453">
            <v>24</v>
          </cell>
          <cell r="F1453">
            <v>56714</v>
          </cell>
          <cell r="H1453">
            <v>5</v>
          </cell>
          <cell r="I1453">
            <v>0</v>
          </cell>
          <cell r="J1453">
            <v>0</v>
          </cell>
          <cell r="K1453">
            <v>175704</v>
          </cell>
          <cell r="L1453">
            <v>0</v>
          </cell>
          <cell r="M1453">
            <v>175704</v>
          </cell>
          <cell r="N1453">
            <v>0</v>
          </cell>
          <cell r="O1453" t="str">
            <v>Soliq va litsenziyalar</v>
          </cell>
        </row>
        <row r="1454">
          <cell r="A1454">
            <v>9</v>
          </cell>
          <cell r="B1454">
            <v>214</v>
          </cell>
          <cell r="C1454">
            <v>8104</v>
          </cell>
          <cell r="D1454">
            <v>970.65</v>
          </cell>
          <cell r="E1454">
            <v>24</v>
          </cell>
          <cell r="F1454">
            <v>56714</v>
          </cell>
          <cell r="H1454">
            <v>5</v>
          </cell>
          <cell r="I1454">
            <v>0</v>
          </cell>
          <cell r="J1454">
            <v>0</v>
          </cell>
          <cell r="K1454">
            <v>177597.15</v>
          </cell>
          <cell r="L1454">
            <v>0</v>
          </cell>
          <cell r="M1454">
            <v>177597.15</v>
          </cell>
          <cell r="N1454">
            <v>0</v>
          </cell>
          <cell r="O1454" t="str">
            <v>Soliq va litsenziyalar</v>
          </cell>
        </row>
        <row r="1455">
          <cell r="A1455">
            <v>9</v>
          </cell>
          <cell r="B1455">
            <v>214</v>
          </cell>
          <cell r="C1455">
            <v>8137</v>
          </cell>
          <cell r="D1455">
            <v>970.65</v>
          </cell>
          <cell r="E1455">
            <v>24</v>
          </cell>
          <cell r="F1455">
            <v>56714</v>
          </cell>
          <cell r="H1455">
            <v>5</v>
          </cell>
          <cell r="I1455">
            <v>0</v>
          </cell>
          <cell r="J1455">
            <v>0</v>
          </cell>
          <cell r="K1455">
            <v>211206</v>
          </cell>
          <cell r="L1455">
            <v>0</v>
          </cell>
          <cell r="M1455">
            <v>211206</v>
          </cell>
          <cell r="N1455">
            <v>0</v>
          </cell>
          <cell r="O1455" t="str">
            <v>Soliq va litsenziyalar</v>
          </cell>
        </row>
        <row r="1456">
          <cell r="A1456">
            <v>9</v>
          </cell>
          <cell r="B1456">
            <v>214</v>
          </cell>
          <cell r="C1456">
            <v>8298</v>
          </cell>
          <cell r="D1456">
            <v>970.65</v>
          </cell>
          <cell r="E1456">
            <v>24</v>
          </cell>
          <cell r="F1456">
            <v>56714</v>
          </cell>
          <cell r="H1456">
            <v>5</v>
          </cell>
          <cell r="I1456">
            <v>0</v>
          </cell>
          <cell r="J1456">
            <v>0</v>
          </cell>
          <cell r="K1456">
            <v>477462.17</v>
          </cell>
          <cell r="L1456">
            <v>971.82</v>
          </cell>
          <cell r="M1456">
            <v>476490.35</v>
          </cell>
          <cell r="N1456">
            <v>0</v>
          </cell>
          <cell r="O1456" t="str">
            <v>Soliq va litsenziyalar</v>
          </cell>
        </row>
        <row r="1457">
          <cell r="A1457">
            <v>9</v>
          </cell>
          <cell r="B1457">
            <v>214</v>
          </cell>
          <cell r="C1457">
            <v>8533</v>
          </cell>
          <cell r="D1457">
            <v>970.65</v>
          </cell>
          <cell r="E1457">
            <v>24</v>
          </cell>
          <cell r="F1457">
            <v>56714</v>
          </cell>
          <cell r="H1457">
            <v>5</v>
          </cell>
          <cell r="I1457">
            <v>0</v>
          </cell>
          <cell r="J1457">
            <v>0</v>
          </cell>
          <cell r="K1457">
            <v>82879.56</v>
          </cell>
          <cell r="L1457">
            <v>0</v>
          </cell>
          <cell r="M1457">
            <v>82879.56</v>
          </cell>
          <cell r="N1457">
            <v>0</v>
          </cell>
          <cell r="O1457" t="str">
            <v>Soliq va litsenziyalar</v>
          </cell>
        </row>
        <row r="1458">
          <cell r="A1458">
            <v>9</v>
          </cell>
          <cell r="B1458">
            <v>214</v>
          </cell>
          <cell r="C1458">
            <v>8659</v>
          </cell>
          <cell r="D1458">
            <v>970.65</v>
          </cell>
          <cell r="E1458">
            <v>24</v>
          </cell>
          <cell r="F1458">
            <v>56714</v>
          </cell>
          <cell r="H1458">
            <v>5</v>
          </cell>
          <cell r="I1458">
            <v>0</v>
          </cell>
          <cell r="J1458">
            <v>0</v>
          </cell>
          <cell r="K1458">
            <v>176042</v>
          </cell>
          <cell r="L1458">
            <v>0</v>
          </cell>
          <cell r="M1458">
            <v>176042</v>
          </cell>
          <cell r="N1458">
            <v>0</v>
          </cell>
          <cell r="O1458" t="str">
            <v>Soliq va litsenziyalar</v>
          </cell>
        </row>
        <row r="1459">
          <cell r="A1459">
            <v>9</v>
          </cell>
          <cell r="B1459">
            <v>214</v>
          </cell>
          <cell r="C1459">
            <v>214</v>
          </cell>
          <cell r="D1459">
            <v>970.68</v>
          </cell>
          <cell r="E1459">
            <v>24</v>
          </cell>
          <cell r="F1459">
            <v>56795</v>
          </cell>
          <cell r="H1459">
            <v>5</v>
          </cell>
          <cell r="I1459">
            <v>0</v>
          </cell>
          <cell r="J1459">
            <v>0</v>
          </cell>
          <cell r="K1459">
            <v>51350.6</v>
          </cell>
          <cell r="L1459">
            <v>0</v>
          </cell>
          <cell r="M1459">
            <v>51350.6</v>
          </cell>
          <cell r="N1459">
            <v>0</v>
          </cell>
          <cell r="O1459" t="str">
            <v>Другие операционные расходы</v>
          </cell>
        </row>
        <row r="1460">
          <cell r="A1460">
            <v>9</v>
          </cell>
          <cell r="B1460">
            <v>214</v>
          </cell>
          <cell r="C1460">
            <v>5996</v>
          </cell>
          <cell r="D1460">
            <v>970.68</v>
          </cell>
          <cell r="E1460">
            <v>24</v>
          </cell>
          <cell r="F1460">
            <v>56795</v>
          </cell>
          <cell r="H1460">
            <v>5</v>
          </cell>
          <cell r="I1460">
            <v>0</v>
          </cell>
          <cell r="J1460">
            <v>0</v>
          </cell>
          <cell r="K1460">
            <v>2400</v>
          </cell>
          <cell r="L1460">
            <v>0</v>
          </cell>
          <cell r="M1460">
            <v>2400</v>
          </cell>
          <cell r="N1460">
            <v>0</v>
          </cell>
          <cell r="O1460" t="str">
            <v>Другие операционные расходы</v>
          </cell>
        </row>
        <row r="1461">
          <cell r="A1461">
            <v>9</v>
          </cell>
          <cell r="B1461">
            <v>214</v>
          </cell>
          <cell r="C1461">
            <v>7783</v>
          </cell>
          <cell r="D1461">
            <v>970.68</v>
          </cell>
          <cell r="E1461">
            <v>24</v>
          </cell>
          <cell r="F1461">
            <v>56795</v>
          </cell>
          <cell r="H1461">
            <v>5</v>
          </cell>
          <cell r="I1461">
            <v>0</v>
          </cell>
          <cell r="J1461">
            <v>0</v>
          </cell>
          <cell r="K1461">
            <v>6810</v>
          </cell>
          <cell r="L1461">
            <v>0</v>
          </cell>
          <cell r="M1461">
            <v>6810</v>
          </cell>
          <cell r="N1461">
            <v>0</v>
          </cell>
          <cell r="O1461" t="str">
            <v>Другие операционные расходы</v>
          </cell>
        </row>
        <row r="1462">
          <cell r="A1462">
            <v>9</v>
          </cell>
          <cell r="B1462">
            <v>214</v>
          </cell>
          <cell r="C1462">
            <v>7948</v>
          </cell>
          <cell r="D1462">
            <v>970.68</v>
          </cell>
          <cell r="E1462">
            <v>24</v>
          </cell>
          <cell r="F1462">
            <v>56795</v>
          </cell>
          <cell r="H1462">
            <v>5</v>
          </cell>
          <cell r="I1462">
            <v>0</v>
          </cell>
          <cell r="J1462">
            <v>0</v>
          </cell>
          <cell r="K1462">
            <v>157098</v>
          </cell>
          <cell r="L1462">
            <v>0</v>
          </cell>
          <cell r="M1462">
            <v>157098</v>
          </cell>
          <cell r="N1462">
            <v>0</v>
          </cell>
          <cell r="O1462" t="str">
            <v>Другие операционные расходы</v>
          </cell>
        </row>
        <row r="1463">
          <cell r="A1463">
            <v>9</v>
          </cell>
          <cell r="B1463">
            <v>214</v>
          </cell>
          <cell r="C1463">
            <v>8002</v>
          </cell>
          <cell r="D1463">
            <v>970.68</v>
          </cell>
          <cell r="E1463">
            <v>24</v>
          </cell>
          <cell r="F1463">
            <v>56795</v>
          </cell>
          <cell r="H1463">
            <v>5</v>
          </cell>
          <cell r="I1463">
            <v>0</v>
          </cell>
          <cell r="J1463">
            <v>0</v>
          </cell>
          <cell r="K1463">
            <v>26810</v>
          </cell>
          <cell r="L1463">
            <v>0</v>
          </cell>
          <cell r="M1463">
            <v>26810</v>
          </cell>
          <cell r="N1463">
            <v>0</v>
          </cell>
          <cell r="O1463" t="str">
            <v>Другие операциоНные расходы</v>
          </cell>
        </row>
        <row r="1464">
          <cell r="A1464">
            <v>9</v>
          </cell>
          <cell r="B1464">
            <v>214</v>
          </cell>
          <cell r="C1464">
            <v>8137</v>
          </cell>
          <cell r="D1464">
            <v>970.68</v>
          </cell>
          <cell r="E1464">
            <v>24</v>
          </cell>
          <cell r="F1464">
            <v>56795</v>
          </cell>
          <cell r="H1464">
            <v>5</v>
          </cell>
          <cell r="I1464">
            <v>0</v>
          </cell>
          <cell r="J1464">
            <v>0</v>
          </cell>
          <cell r="K1464">
            <v>6810</v>
          </cell>
          <cell r="L1464">
            <v>0</v>
          </cell>
          <cell r="M1464">
            <v>6810</v>
          </cell>
          <cell r="N1464">
            <v>0</v>
          </cell>
          <cell r="O1464" t="str">
            <v>Другие операционные расходы</v>
          </cell>
        </row>
        <row r="1465">
          <cell r="A1465">
            <v>9</v>
          </cell>
          <cell r="B1465">
            <v>214</v>
          </cell>
          <cell r="C1465">
            <v>8298</v>
          </cell>
          <cell r="D1465">
            <v>970.68</v>
          </cell>
          <cell r="E1465">
            <v>24</v>
          </cell>
          <cell r="F1465">
            <v>56795</v>
          </cell>
          <cell r="H1465">
            <v>5</v>
          </cell>
          <cell r="I1465">
            <v>0</v>
          </cell>
          <cell r="J1465">
            <v>0</v>
          </cell>
          <cell r="K1465">
            <v>12060</v>
          </cell>
          <cell r="L1465">
            <v>0</v>
          </cell>
          <cell r="M1465">
            <v>12060</v>
          </cell>
          <cell r="N1465">
            <v>0</v>
          </cell>
          <cell r="O1465" t="str">
            <v>Другие операционные расходы</v>
          </cell>
        </row>
        <row r="1466">
          <cell r="A1466">
            <v>9</v>
          </cell>
          <cell r="B1466">
            <v>214</v>
          </cell>
          <cell r="C1466">
            <v>8533</v>
          </cell>
          <cell r="D1466">
            <v>970.68</v>
          </cell>
          <cell r="E1466">
            <v>24</v>
          </cell>
          <cell r="F1466">
            <v>56795</v>
          </cell>
          <cell r="H1466">
            <v>5</v>
          </cell>
          <cell r="I1466">
            <v>0</v>
          </cell>
          <cell r="J1466">
            <v>0</v>
          </cell>
          <cell r="K1466">
            <v>247</v>
          </cell>
          <cell r="L1466">
            <v>0</v>
          </cell>
          <cell r="M1466">
            <v>247</v>
          </cell>
          <cell r="N1466">
            <v>0</v>
          </cell>
          <cell r="O1466" t="str">
            <v>Другие операционные расходы</v>
          </cell>
        </row>
        <row r="1467">
          <cell r="A1467">
            <v>9</v>
          </cell>
          <cell r="B1467">
            <v>214</v>
          </cell>
          <cell r="C1467">
            <v>3563</v>
          </cell>
          <cell r="D1467">
            <v>970.74</v>
          </cell>
          <cell r="E1467">
            <v>24</v>
          </cell>
          <cell r="F1467">
            <v>56902</v>
          </cell>
          <cell r="H1467">
            <v>5</v>
          </cell>
          <cell r="I1467">
            <v>0</v>
          </cell>
          <cell r="J1467">
            <v>0</v>
          </cell>
          <cell r="K1467">
            <v>1487774</v>
          </cell>
          <cell r="L1467">
            <v>0</v>
          </cell>
          <cell r="M1467">
            <v>1487774</v>
          </cell>
          <cell r="N1467">
            <v>0</v>
          </cell>
          <cell r="O1467" t="str">
            <v>Оценка подоходного налога - начисляемые с дохода</v>
          </cell>
        </row>
        <row r="1468">
          <cell r="A1468">
            <v>9</v>
          </cell>
          <cell r="B1468">
            <v>214</v>
          </cell>
          <cell r="C1468">
            <v>5996</v>
          </cell>
          <cell r="D1468">
            <v>970.74</v>
          </cell>
          <cell r="E1468">
            <v>24</v>
          </cell>
          <cell r="F1468">
            <v>56902</v>
          </cell>
          <cell r="H1468">
            <v>5</v>
          </cell>
          <cell r="I1468">
            <v>0</v>
          </cell>
          <cell r="J1468">
            <v>0</v>
          </cell>
          <cell r="K1468">
            <v>881998.61</v>
          </cell>
          <cell r="L1468">
            <v>0</v>
          </cell>
          <cell r="M1468">
            <v>881998.61</v>
          </cell>
          <cell r="N1468">
            <v>0</v>
          </cell>
          <cell r="O1468" t="str">
            <v>Оценка подоходного налога - начисляемые с дохода</v>
          </cell>
        </row>
        <row r="1469">
          <cell r="A1469">
            <v>9</v>
          </cell>
          <cell r="B1469">
            <v>214</v>
          </cell>
          <cell r="C1469">
            <v>7783</v>
          </cell>
          <cell r="D1469">
            <v>970.74</v>
          </cell>
          <cell r="E1469">
            <v>24</v>
          </cell>
          <cell r="F1469">
            <v>56902</v>
          </cell>
          <cell r="H1469">
            <v>5</v>
          </cell>
          <cell r="I1469">
            <v>0</v>
          </cell>
          <cell r="J1469">
            <v>0</v>
          </cell>
          <cell r="K1469">
            <v>1079020.3899999999</v>
          </cell>
          <cell r="L1469">
            <v>0</v>
          </cell>
          <cell r="M1469">
            <v>1079020.3899999999</v>
          </cell>
          <cell r="N1469">
            <v>0</v>
          </cell>
          <cell r="O1469" t="str">
            <v>Оценка подоходного налога - начисляемые с дохода</v>
          </cell>
        </row>
        <row r="1470">
          <cell r="A1470">
            <v>9</v>
          </cell>
          <cell r="B1470">
            <v>214</v>
          </cell>
          <cell r="C1470">
            <v>7845</v>
          </cell>
          <cell r="D1470">
            <v>970.74</v>
          </cell>
          <cell r="E1470">
            <v>24</v>
          </cell>
          <cell r="F1470">
            <v>56902</v>
          </cell>
          <cell r="H1470">
            <v>5</v>
          </cell>
          <cell r="I1470">
            <v>0</v>
          </cell>
          <cell r="J1470">
            <v>0</v>
          </cell>
          <cell r="K1470">
            <v>855639.23</v>
          </cell>
          <cell r="L1470">
            <v>40520.080000000002</v>
          </cell>
          <cell r="M1470">
            <v>815119.15</v>
          </cell>
          <cell r="N1470">
            <v>0</v>
          </cell>
          <cell r="O1470" t="str">
            <v>Оценка подоходного налога - начисляемые с дохода</v>
          </cell>
        </row>
        <row r="1471">
          <cell r="A1471">
            <v>9</v>
          </cell>
          <cell r="B1471">
            <v>214</v>
          </cell>
          <cell r="C1471">
            <v>7948</v>
          </cell>
          <cell r="D1471">
            <v>970.74</v>
          </cell>
          <cell r="E1471">
            <v>24</v>
          </cell>
          <cell r="F1471">
            <v>56902</v>
          </cell>
          <cell r="H1471">
            <v>5</v>
          </cell>
          <cell r="I1471">
            <v>0</v>
          </cell>
          <cell r="J1471">
            <v>0</v>
          </cell>
          <cell r="K1471">
            <v>816939.85</v>
          </cell>
          <cell r="L1471">
            <v>0</v>
          </cell>
          <cell r="M1471">
            <v>816939.85</v>
          </cell>
          <cell r="N1471">
            <v>0</v>
          </cell>
          <cell r="O1471" t="str">
            <v>Оценка подоходного налога - начисляемые с дохода</v>
          </cell>
        </row>
        <row r="1472">
          <cell r="A1472">
            <v>9</v>
          </cell>
          <cell r="B1472">
            <v>214</v>
          </cell>
          <cell r="C1472">
            <v>8002</v>
          </cell>
          <cell r="D1472">
            <v>970.74</v>
          </cell>
          <cell r="E1472">
            <v>24</v>
          </cell>
          <cell r="F1472">
            <v>56902</v>
          </cell>
          <cell r="H1472">
            <v>5</v>
          </cell>
          <cell r="I1472">
            <v>0</v>
          </cell>
          <cell r="J1472">
            <v>0</v>
          </cell>
          <cell r="K1472">
            <v>911181</v>
          </cell>
          <cell r="L1472">
            <v>0</v>
          </cell>
          <cell r="M1472">
            <v>911181</v>
          </cell>
          <cell r="N1472">
            <v>0</v>
          </cell>
          <cell r="O1472" t="str">
            <v>Оценка подоходного налога - начисляемые с дохода</v>
          </cell>
        </row>
        <row r="1473">
          <cell r="A1473">
            <v>9</v>
          </cell>
          <cell r="B1473">
            <v>214</v>
          </cell>
          <cell r="C1473">
            <v>8104</v>
          </cell>
          <cell r="D1473">
            <v>970.74</v>
          </cell>
          <cell r="E1473">
            <v>24</v>
          </cell>
          <cell r="F1473">
            <v>56902</v>
          </cell>
          <cell r="H1473">
            <v>5</v>
          </cell>
          <cell r="I1473">
            <v>0</v>
          </cell>
          <cell r="J1473">
            <v>0</v>
          </cell>
          <cell r="K1473">
            <v>693778.03</v>
          </cell>
          <cell r="L1473">
            <v>22928.080000000002</v>
          </cell>
          <cell r="M1473">
            <v>670849.94999999995</v>
          </cell>
          <cell r="N1473">
            <v>0</v>
          </cell>
          <cell r="O1473" t="str">
            <v>Оценка подоходного налога - начисляемые с дохода</v>
          </cell>
        </row>
        <row r="1474">
          <cell r="A1474">
            <v>9</v>
          </cell>
          <cell r="B1474">
            <v>214</v>
          </cell>
          <cell r="C1474">
            <v>8137</v>
          </cell>
          <cell r="D1474">
            <v>970.74</v>
          </cell>
          <cell r="E1474">
            <v>24</v>
          </cell>
          <cell r="F1474">
            <v>56902</v>
          </cell>
          <cell r="H1474">
            <v>5</v>
          </cell>
          <cell r="I1474">
            <v>0</v>
          </cell>
          <cell r="J1474">
            <v>0</v>
          </cell>
          <cell r="K1474">
            <v>464303</v>
          </cell>
          <cell r="L1474">
            <v>0</v>
          </cell>
          <cell r="M1474">
            <v>464303</v>
          </cell>
          <cell r="N1474">
            <v>0</v>
          </cell>
          <cell r="O1474" t="str">
            <v>Оценка подоходного налога - начисляемые с дохода</v>
          </cell>
        </row>
        <row r="1475">
          <cell r="A1475">
            <v>9</v>
          </cell>
          <cell r="B1475">
            <v>214</v>
          </cell>
          <cell r="C1475">
            <v>8298</v>
          </cell>
          <cell r="D1475">
            <v>970.74</v>
          </cell>
          <cell r="E1475">
            <v>24</v>
          </cell>
          <cell r="F1475">
            <v>56902</v>
          </cell>
          <cell r="H1475">
            <v>5</v>
          </cell>
          <cell r="I1475">
            <v>0</v>
          </cell>
          <cell r="J1475">
            <v>0</v>
          </cell>
          <cell r="K1475">
            <v>699647.96</v>
          </cell>
          <cell r="L1475">
            <v>0</v>
          </cell>
          <cell r="M1475">
            <v>699647.96</v>
          </cell>
          <cell r="N1475">
            <v>0</v>
          </cell>
          <cell r="O1475" t="str">
            <v>Оценка подоходного налога - начисляемые с дохода</v>
          </cell>
        </row>
        <row r="1476">
          <cell r="A1476">
            <v>9</v>
          </cell>
          <cell r="B1476">
            <v>214</v>
          </cell>
          <cell r="C1476">
            <v>8533</v>
          </cell>
          <cell r="D1476">
            <v>970.74</v>
          </cell>
          <cell r="E1476">
            <v>24</v>
          </cell>
          <cell r="F1476">
            <v>56902</v>
          </cell>
          <cell r="H1476">
            <v>5</v>
          </cell>
          <cell r="I1476">
            <v>0</v>
          </cell>
          <cell r="J1476">
            <v>0</v>
          </cell>
          <cell r="K1476">
            <v>262712.03000000003</v>
          </cell>
          <cell r="L1476">
            <v>0</v>
          </cell>
          <cell r="M1476">
            <v>262712.03000000003</v>
          </cell>
          <cell r="N1476">
            <v>0</v>
          </cell>
          <cell r="O1476" t="str">
            <v>Оценка подоходного налога - начисляемые с дохода</v>
          </cell>
        </row>
        <row r="1477">
          <cell r="A1477">
            <v>9</v>
          </cell>
          <cell r="B1477">
            <v>214</v>
          </cell>
          <cell r="C1477">
            <v>8659</v>
          </cell>
          <cell r="D1477">
            <v>970.74</v>
          </cell>
          <cell r="E1477">
            <v>24</v>
          </cell>
          <cell r="F1477">
            <v>56902</v>
          </cell>
          <cell r="H1477">
            <v>5</v>
          </cell>
          <cell r="I1477">
            <v>0</v>
          </cell>
          <cell r="J1477">
            <v>0</v>
          </cell>
          <cell r="K1477">
            <v>463840</v>
          </cell>
          <cell r="L1477">
            <v>60799</v>
          </cell>
          <cell r="M1477">
            <v>403041</v>
          </cell>
          <cell r="N1477">
            <v>0</v>
          </cell>
          <cell r="O1477" t="str">
            <v>Оценка подоходного налога - начисляемые с дохода</v>
          </cell>
        </row>
        <row r="1478">
          <cell r="A1478">
            <v>9</v>
          </cell>
          <cell r="B1478">
            <v>214</v>
          </cell>
          <cell r="C1478">
            <v>214</v>
          </cell>
          <cell r="D1478">
            <v>970.75</v>
          </cell>
          <cell r="E1478">
            <v>24</v>
          </cell>
          <cell r="F1478">
            <v>56122</v>
          </cell>
          <cell r="H1478">
            <v>5</v>
          </cell>
          <cell r="I1478">
            <v>0</v>
          </cell>
          <cell r="J1478">
            <v>0</v>
          </cell>
          <cell r="K1478">
            <v>28094</v>
          </cell>
          <cell r="L1478">
            <v>0</v>
          </cell>
          <cell r="M1478">
            <v>28094</v>
          </cell>
          <cell r="N1478">
            <v>0</v>
          </cell>
          <cell r="O1478" t="str">
            <v>Взнос в фонд занятости и в другие соответствующие фонды</v>
          </cell>
        </row>
        <row r="1479">
          <cell r="A1479">
            <v>9</v>
          </cell>
          <cell r="B1479">
            <v>214</v>
          </cell>
          <cell r="C1479">
            <v>3563</v>
          </cell>
          <cell r="D1479">
            <v>970.75</v>
          </cell>
          <cell r="E1479">
            <v>24</v>
          </cell>
          <cell r="F1479">
            <v>56122</v>
          </cell>
          <cell r="H1479">
            <v>5</v>
          </cell>
          <cell r="I1479">
            <v>0</v>
          </cell>
          <cell r="J1479">
            <v>0</v>
          </cell>
          <cell r="K1479">
            <v>35018</v>
          </cell>
          <cell r="L1479">
            <v>0</v>
          </cell>
          <cell r="M1479">
            <v>35018</v>
          </cell>
          <cell r="N1479">
            <v>0</v>
          </cell>
          <cell r="O1479" t="str">
            <v>Взнос в фонд занятости и в другие соответствующие фонды</v>
          </cell>
        </row>
        <row r="1480">
          <cell r="A1480">
            <v>9</v>
          </cell>
          <cell r="B1480">
            <v>214</v>
          </cell>
          <cell r="C1480">
            <v>5996</v>
          </cell>
          <cell r="D1480">
            <v>970.75</v>
          </cell>
          <cell r="E1480">
            <v>24</v>
          </cell>
          <cell r="F1480">
            <v>56122</v>
          </cell>
          <cell r="H1480">
            <v>5</v>
          </cell>
          <cell r="I1480">
            <v>0</v>
          </cell>
          <cell r="J1480">
            <v>0</v>
          </cell>
          <cell r="K1480">
            <v>20868.22</v>
          </cell>
          <cell r="L1480">
            <v>0</v>
          </cell>
          <cell r="M1480">
            <v>20868.22</v>
          </cell>
          <cell r="N1480">
            <v>0</v>
          </cell>
          <cell r="O1480" t="str">
            <v>Взнос в фонд занятости и в другие соответствующие фонды</v>
          </cell>
        </row>
        <row r="1481">
          <cell r="A1481">
            <v>9</v>
          </cell>
          <cell r="B1481">
            <v>214</v>
          </cell>
          <cell r="C1481">
            <v>7783</v>
          </cell>
          <cell r="D1481">
            <v>970.75</v>
          </cell>
          <cell r="E1481">
            <v>24</v>
          </cell>
          <cell r="F1481">
            <v>56122</v>
          </cell>
          <cell r="H1481">
            <v>5</v>
          </cell>
          <cell r="I1481">
            <v>0</v>
          </cell>
          <cell r="J1481">
            <v>0</v>
          </cell>
          <cell r="K1481">
            <v>42629.919999999998</v>
          </cell>
          <cell r="L1481">
            <v>0</v>
          </cell>
          <cell r="M1481">
            <v>42629.919999999998</v>
          </cell>
          <cell r="N1481">
            <v>0</v>
          </cell>
          <cell r="O1481" t="str">
            <v>Взнос в фонд занятости и в другие соответствующие фонды</v>
          </cell>
        </row>
        <row r="1482">
          <cell r="A1482">
            <v>9</v>
          </cell>
          <cell r="B1482">
            <v>214</v>
          </cell>
          <cell r="C1482">
            <v>7845</v>
          </cell>
          <cell r="D1482">
            <v>970.75</v>
          </cell>
          <cell r="E1482">
            <v>24</v>
          </cell>
          <cell r="F1482">
            <v>56122</v>
          </cell>
          <cell r="H1482">
            <v>5</v>
          </cell>
          <cell r="I1482">
            <v>0</v>
          </cell>
          <cell r="J1482">
            <v>0</v>
          </cell>
          <cell r="K1482">
            <v>34182.71</v>
          </cell>
          <cell r="L1482">
            <v>0</v>
          </cell>
          <cell r="M1482">
            <v>34182.71</v>
          </cell>
          <cell r="N1482">
            <v>0</v>
          </cell>
          <cell r="O1482" t="str">
            <v>Взнос в фонд занятости и в другие соответствующие фонды</v>
          </cell>
        </row>
        <row r="1483">
          <cell r="A1483">
            <v>9</v>
          </cell>
          <cell r="B1483">
            <v>214</v>
          </cell>
          <cell r="C1483">
            <v>7948</v>
          </cell>
          <cell r="D1483">
            <v>970.75</v>
          </cell>
          <cell r="E1483">
            <v>24</v>
          </cell>
          <cell r="F1483">
            <v>56122</v>
          </cell>
          <cell r="H1483">
            <v>5</v>
          </cell>
          <cell r="I1483">
            <v>0</v>
          </cell>
          <cell r="J1483">
            <v>0</v>
          </cell>
          <cell r="K1483">
            <v>29609.81</v>
          </cell>
          <cell r="L1483">
            <v>0</v>
          </cell>
          <cell r="M1483">
            <v>29609.81</v>
          </cell>
          <cell r="N1483">
            <v>0</v>
          </cell>
          <cell r="O1483" t="str">
            <v>Взнос в фонд занятости и в другие соответствующие фонды</v>
          </cell>
        </row>
        <row r="1484">
          <cell r="A1484">
            <v>9</v>
          </cell>
          <cell r="B1484">
            <v>214</v>
          </cell>
          <cell r="C1484">
            <v>8002</v>
          </cell>
          <cell r="D1484">
            <v>970.75</v>
          </cell>
          <cell r="E1484">
            <v>24</v>
          </cell>
          <cell r="F1484">
            <v>56122</v>
          </cell>
          <cell r="H1484">
            <v>5</v>
          </cell>
          <cell r="I1484">
            <v>0</v>
          </cell>
          <cell r="J1484">
            <v>0</v>
          </cell>
          <cell r="K1484">
            <v>15881.2</v>
          </cell>
          <cell r="L1484">
            <v>0</v>
          </cell>
          <cell r="M1484">
            <v>15881.2</v>
          </cell>
          <cell r="N1484">
            <v>0</v>
          </cell>
          <cell r="O1484" t="str">
            <v>Взнос в фонд занятости и в другие соответствующие фонды</v>
          </cell>
        </row>
        <row r="1485">
          <cell r="A1485">
            <v>9</v>
          </cell>
          <cell r="B1485">
            <v>214</v>
          </cell>
          <cell r="C1485">
            <v>8104</v>
          </cell>
          <cell r="D1485">
            <v>970.75</v>
          </cell>
          <cell r="E1485">
            <v>24</v>
          </cell>
          <cell r="F1485">
            <v>56122</v>
          </cell>
          <cell r="H1485">
            <v>5</v>
          </cell>
          <cell r="I1485">
            <v>0</v>
          </cell>
          <cell r="J1485">
            <v>0</v>
          </cell>
          <cell r="K1485">
            <v>25645.7</v>
          </cell>
          <cell r="L1485">
            <v>0</v>
          </cell>
          <cell r="M1485">
            <v>25645.7</v>
          </cell>
          <cell r="N1485">
            <v>0</v>
          </cell>
          <cell r="O1485" t="str">
            <v>Взнос в фонд занятости и в другие соответствующие фонды</v>
          </cell>
        </row>
        <row r="1486">
          <cell r="A1486">
            <v>9</v>
          </cell>
          <cell r="B1486">
            <v>214</v>
          </cell>
          <cell r="C1486">
            <v>8137</v>
          </cell>
          <cell r="D1486">
            <v>970.75</v>
          </cell>
          <cell r="E1486">
            <v>24</v>
          </cell>
          <cell r="F1486">
            <v>56122</v>
          </cell>
          <cell r="H1486">
            <v>5</v>
          </cell>
          <cell r="I1486">
            <v>0</v>
          </cell>
          <cell r="J1486">
            <v>0</v>
          </cell>
          <cell r="K1486">
            <v>25830</v>
          </cell>
          <cell r="L1486">
            <v>0</v>
          </cell>
          <cell r="M1486">
            <v>25830</v>
          </cell>
          <cell r="N1486">
            <v>0</v>
          </cell>
          <cell r="O1486" t="str">
            <v>Взнос в фонд занятости и в другие соответствующие фонды</v>
          </cell>
        </row>
        <row r="1487">
          <cell r="A1487">
            <v>9</v>
          </cell>
          <cell r="B1487">
            <v>214</v>
          </cell>
          <cell r="C1487">
            <v>8298</v>
          </cell>
          <cell r="D1487">
            <v>970.75</v>
          </cell>
          <cell r="E1487">
            <v>24</v>
          </cell>
          <cell r="F1487">
            <v>56122</v>
          </cell>
          <cell r="H1487">
            <v>5</v>
          </cell>
          <cell r="I1487">
            <v>0</v>
          </cell>
          <cell r="J1487">
            <v>0</v>
          </cell>
          <cell r="K1487">
            <v>21347.040000000001</v>
          </cell>
          <cell r="L1487">
            <v>0</v>
          </cell>
          <cell r="M1487">
            <v>21347.040000000001</v>
          </cell>
          <cell r="N1487">
            <v>0</v>
          </cell>
          <cell r="O1487" t="str">
            <v>Взнос в фонд занятости и в другие соответствующие фонды</v>
          </cell>
        </row>
        <row r="1488">
          <cell r="A1488">
            <v>9</v>
          </cell>
          <cell r="B1488">
            <v>214</v>
          </cell>
          <cell r="C1488">
            <v>8533</v>
          </cell>
          <cell r="D1488">
            <v>970.75</v>
          </cell>
          <cell r="E1488">
            <v>24</v>
          </cell>
          <cell r="F1488">
            <v>56122</v>
          </cell>
          <cell r="H1488">
            <v>5</v>
          </cell>
          <cell r="I1488">
            <v>0</v>
          </cell>
          <cell r="J1488">
            <v>0</v>
          </cell>
          <cell r="K1488">
            <v>16314</v>
          </cell>
          <cell r="L1488">
            <v>0</v>
          </cell>
          <cell r="M1488">
            <v>16314</v>
          </cell>
          <cell r="N1488">
            <v>0</v>
          </cell>
          <cell r="O1488" t="str">
            <v>Взнос в фонд занятости и в другие соответствующие фонды</v>
          </cell>
        </row>
        <row r="1489">
          <cell r="A1489">
            <v>9</v>
          </cell>
          <cell r="B1489">
            <v>214</v>
          </cell>
          <cell r="C1489">
            <v>8659</v>
          </cell>
          <cell r="D1489">
            <v>970.75</v>
          </cell>
          <cell r="E1489">
            <v>24</v>
          </cell>
          <cell r="F1489">
            <v>56122</v>
          </cell>
          <cell r="H1489">
            <v>5</v>
          </cell>
          <cell r="I1489">
            <v>0</v>
          </cell>
          <cell r="J1489">
            <v>0</v>
          </cell>
          <cell r="K1489">
            <v>28747</v>
          </cell>
          <cell r="L1489">
            <v>0</v>
          </cell>
          <cell r="M1489">
            <v>28747</v>
          </cell>
          <cell r="N1489">
            <v>0</v>
          </cell>
          <cell r="O1489" t="str">
            <v>Взнос в фонд занятости и в другие соответствующие фонды</v>
          </cell>
        </row>
        <row r="1490">
          <cell r="A1490">
            <v>9</v>
          </cell>
          <cell r="B1490">
            <v>214</v>
          </cell>
          <cell r="C1490">
            <v>3563</v>
          </cell>
          <cell r="D1490">
            <v>970.76</v>
          </cell>
          <cell r="E1490">
            <v>24</v>
          </cell>
          <cell r="F1490">
            <v>55995.02</v>
          </cell>
          <cell r="H1490">
            <v>5</v>
          </cell>
          <cell r="I1490">
            <v>0</v>
          </cell>
          <cell r="J1490">
            <v>0</v>
          </cell>
          <cell r="K1490">
            <v>124427</v>
          </cell>
          <cell r="L1490">
            <v>0</v>
          </cell>
          <cell r="M1490">
            <v>124427</v>
          </cell>
          <cell r="N1490">
            <v>0</v>
          </cell>
          <cell r="O1490" t="str">
            <v>Отчисления на содержание аппарата Правления</v>
          </cell>
        </row>
        <row r="1491">
          <cell r="A1491">
            <v>9</v>
          </cell>
          <cell r="B1491">
            <v>214</v>
          </cell>
          <cell r="C1491">
            <v>5996</v>
          </cell>
          <cell r="D1491">
            <v>970.76</v>
          </cell>
          <cell r="E1491">
            <v>24</v>
          </cell>
          <cell r="F1491">
            <v>55995.02</v>
          </cell>
          <cell r="H1491">
            <v>5</v>
          </cell>
          <cell r="I1491">
            <v>0</v>
          </cell>
          <cell r="J1491">
            <v>0</v>
          </cell>
          <cell r="K1491">
            <v>105878</v>
          </cell>
          <cell r="L1491">
            <v>0</v>
          </cell>
          <cell r="M1491">
            <v>105878</v>
          </cell>
          <cell r="N1491">
            <v>0</v>
          </cell>
          <cell r="O1491" t="str">
            <v>Отчисления на содержание аппарата Правления</v>
          </cell>
        </row>
        <row r="1492">
          <cell r="A1492">
            <v>9</v>
          </cell>
          <cell r="B1492">
            <v>214</v>
          </cell>
          <cell r="C1492">
            <v>7783</v>
          </cell>
          <cell r="D1492">
            <v>970.76</v>
          </cell>
          <cell r="E1492">
            <v>24</v>
          </cell>
          <cell r="F1492">
            <v>55995.02</v>
          </cell>
          <cell r="H1492">
            <v>5</v>
          </cell>
          <cell r="I1492">
            <v>0</v>
          </cell>
          <cell r="J1492">
            <v>0</v>
          </cell>
          <cell r="K1492">
            <v>95058.48</v>
          </cell>
          <cell r="L1492">
            <v>0</v>
          </cell>
          <cell r="M1492">
            <v>95058.48</v>
          </cell>
          <cell r="N1492">
            <v>0</v>
          </cell>
          <cell r="O1492" t="str">
            <v>Отчисления на содержание аппарата Правления</v>
          </cell>
        </row>
        <row r="1493">
          <cell r="A1493">
            <v>9</v>
          </cell>
          <cell r="B1493">
            <v>214</v>
          </cell>
          <cell r="C1493">
            <v>7845</v>
          </cell>
          <cell r="D1493">
            <v>970.76</v>
          </cell>
          <cell r="E1493">
            <v>24</v>
          </cell>
          <cell r="F1493">
            <v>55995.02</v>
          </cell>
          <cell r="H1493">
            <v>5</v>
          </cell>
          <cell r="I1493">
            <v>0</v>
          </cell>
          <cell r="J1493">
            <v>0</v>
          </cell>
          <cell r="K1493">
            <v>87147.98</v>
          </cell>
          <cell r="L1493">
            <v>0</v>
          </cell>
          <cell r="M1493">
            <v>87147.98</v>
          </cell>
          <cell r="N1493">
            <v>0</v>
          </cell>
          <cell r="O1493" t="str">
            <v>Отчисления на содержание аппарата Правления</v>
          </cell>
        </row>
        <row r="1494">
          <cell r="A1494">
            <v>9</v>
          </cell>
          <cell r="B1494">
            <v>214</v>
          </cell>
          <cell r="C1494">
            <v>7948</v>
          </cell>
          <cell r="D1494">
            <v>970.76</v>
          </cell>
          <cell r="E1494">
            <v>24</v>
          </cell>
          <cell r="F1494">
            <v>55995.02</v>
          </cell>
          <cell r="H1494">
            <v>5</v>
          </cell>
          <cell r="I1494">
            <v>0</v>
          </cell>
          <cell r="J1494">
            <v>0</v>
          </cell>
          <cell r="K1494">
            <v>84210.53</v>
          </cell>
          <cell r="L1494">
            <v>0</v>
          </cell>
          <cell r="M1494">
            <v>84210.53</v>
          </cell>
          <cell r="N1494">
            <v>0</v>
          </cell>
          <cell r="O1494" t="str">
            <v>Отчисления на содержание аппарата Правления</v>
          </cell>
        </row>
        <row r="1495">
          <cell r="A1495">
            <v>9</v>
          </cell>
          <cell r="B1495">
            <v>214</v>
          </cell>
          <cell r="C1495">
            <v>8002</v>
          </cell>
          <cell r="D1495">
            <v>970.76</v>
          </cell>
          <cell r="E1495">
            <v>24</v>
          </cell>
          <cell r="F1495">
            <v>55995.02</v>
          </cell>
          <cell r="H1495">
            <v>5</v>
          </cell>
          <cell r="I1495">
            <v>0</v>
          </cell>
          <cell r="J1495">
            <v>0</v>
          </cell>
          <cell r="K1495">
            <v>65136.61</v>
          </cell>
          <cell r="L1495">
            <v>0</v>
          </cell>
          <cell r="M1495">
            <v>65136.61</v>
          </cell>
          <cell r="N1495">
            <v>0</v>
          </cell>
          <cell r="O1495" t="str">
            <v>Отчисления на содержание аппарата Правления</v>
          </cell>
        </row>
        <row r="1496">
          <cell r="A1496">
            <v>9</v>
          </cell>
          <cell r="B1496">
            <v>214</v>
          </cell>
          <cell r="C1496">
            <v>8104</v>
          </cell>
          <cell r="D1496">
            <v>970.76</v>
          </cell>
          <cell r="E1496">
            <v>24</v>
          </cell>
          <cell r="F1496">
            <v>55995.02</v>
          </cell>
          <cell r="H1496">
            <v>5</v>
          </cell>
          <cell r="I1496">
            <v>0</v>
          </cell>
          <cell r="J1496">
            <v>0</v>
          </cell>
          <cell r="K1496">
            <v>71070.539999999994</v>
          </cell>
          <cell r="L1496">
            <v>0</v>
          </cell>
          <cell r="M1496">
            <v>71070.539999999994</v>
          </cell>
          <cell r="N1496">
            <v>0</v>
          </cell>
          <cell r="O1496" t="str">
            <v>Отчисления на содержание аппарата Правления</v>
          </cell>
        </row>
        <row r="1497">
          <cell r="A1497">
            <v>9</v>
          </cell>
          <cell r="B1497">
            <v>214</v>
          </cell>
          <cell r="C1497">
            <v>8137</v>
          </cell>
          <cell r="D1497">
            <v>970.76</v>
          </cell>
          <cell r="E1497">
            <v>24</v>
          </cell>
          <cell r="F1497">
            <v>55995.02</v>
          </cell>
          <cell r="H1497">
            <v>5</v>
          </cell>
          <cell r="I1497">
            <v>0</v>
          </cell>
          <cell r="J1497">
            <v>0</v>
          </cell>
          <cell r="K1497">
            <v>64453</v>
          </cell>
          <cell r="L1497">
            <v>0</v>
          </cell>
          <cell r="M1497">
            <v>64453</v>
          </cell>
          <cell r="N1497">
            <v>0</v>
          </cell>
          <cell r="O1497" t="str">
            <v>Отчисления на содержание аппарата Правления</v>
          </cell>
        </row>
        <row r="1498">
          <cell r="A1498">
            <v>9</v>
          </cell>
          <cell r="B1498">
            <v>214</v>
          </cell>
          <cell r="C1498">
            <v>8298</v>
          </cell>
          <cell r="D1498">
            <v>970.76</v>
          </cell>
          <cell r="E1498">
            <v>24</v>
          </cell>
          <cell r="F1498">
            <v>55995.02</v>
          </cell>
          <cell r="H1498">
            <v>5</v>
          </cell>
          <cell r="I1498">
            <v>0</v>
          </cell>
          <cell r="J1498">
            <v>0</v>
          </cell>
          <cell r="K1498">
            <v>79611.97</v>
          </cell>
          <cell r="L1498">
            <v>0</v>
          </cell>
          <cell r="M1498">
            <v>79611.97</v>
          </cell>
          <cell r="N1498">
            <v>0</v>
          </cell>
          <cell r="O1498" t="str">
            <v>Отчисления на содержание аппарата Правления</v>
          </cell>
        </row>
        <row r="1499">
          <cell r="A1499">
            <v>9</v>
          </cell>
          <cell r="B1499">
            <v>214</v>
          </cell>
          <cell r="C1499">
            <v>8533</v>
          </cell>
          <cell r="D1499">
            <v>970.76</v>
          </cell>
          <cell r="E1499">
            <v>24</v>
          </cell>
          <cell r="F1499">
            <v>55995.02</v>
          </cell>
          <cell r="H1499">
            <v>5</v>
          </cell>
          <cell r="I1499">
            <v>0</v>
          </cell>
          <cell r="J1499">
            <v>0</v>
          </cell>
          <cell r="K1499">
            <v>24099.52</v>
          </cell>
          <cell r="L1499">
            <v>0</v>
          </cell>
          <cell r="M1499">
            <v>24099.52</v>
          </cell>
          <cell r="N1499">
            <v>0</v>
          </cell>
          <cell r="O1499" t="str">
            <v>Отчисления на содержание аппарата Правления</v>
          </cell>
        </row>
        <row r="1500">
          <cell r="A1500">
            <v>9</v>
          </cell>
          <cell r="B1500">
            <v>214</v>
          </cell>
          <cell r="C1500">
            <v>8659</v>
          </cell>
          <cell r="D1500">
            <v>970.76</v>
          </cell>
          <cell r="E1500">
            <v>24</v>
          </cell>
          <cell r="F1500">
            <v>55995.02</v>
          </cell>
          <cell r="H1500">
            <v>5</v>
          </cell>
          <cell r="I1500">
            <v>0</v>
          </cell>
          <cell r="J1500">
            <v>0</v>
          </cell>
          <cell r="K1500">
            <v>48357</v>
          </cell>
          <cell r="L1500">
            <v>0</v>
          </cell>
          <cell r="M1500">
            <v>48357</v>
          </cell>
          <cell r="N1500">
            <v>0</v>
          </cell>
          <cell r="O1500" t="str">
            <v>Отчисления на содержание аппарата Правления</v>
          </cell>
        </row>
        <row r="1501">
          <cell r="A1501">
            <v>9</v>
          </cell>
          <cell r="B1501">
            <v>214</v>
          </cell>
          <cell r="C1501">
            <v>214</v>
          </cell>
          <cell r="D1501">
            <v>970.78</v>
          </cell>
          <cell r="E1501">
            <v>24</v>
          </cell>
          <cell r="F1501">
            <v>56902.01</v>
          </cell>
          <cell r="H1501">
            <v>5</v>
          </cell>
          <cell r="I1501">
            <v>0</v>
          </cell>
          <cell r="J1501">
            <v>0</v>
          </cell>
          <cell r="K1501">
            <v>18565</v>
          </cell>
          <cell r="L1501">
            <v>8057</v>
          </cell>
          <cell r="M1501">
            <v>10508</v>
          </cell>
          <cell r="N1501">
            <v>0</v>
          </cell>
          <cell r="O1501" t="str">
            <v>Отчисления 6% от чистой прибыли на развитие инфраструктуры</v>
          </cell>
        </row>
        <row r="1502">
          <cell r="A1502">
            <v>9</v>
          </cell>
          <cell r="B1502">
            <v>214</v>
          </cell>
          <cell r="C1502">
            <v>3563</v>
          </cell>
          <cell r="D1502">
            <v>970.78</v>
          </cell>
          <cell r="E1502">
            <v>24</v>
          </cell>
          <cell r="F1502">
            <v>56902.01</v>
          </cell>
          <cell r="H1502">
            <v>5</v>
          </cell>
          <cell r="I1502">
            <v>0</v>
          </cell>
          <cell r="J1502">
            <v>0</v>
          </cell>
          <cell r="K1502">
            <v>71810</v>
          </cell>
          <cell r="L1502">
            <v>0</v>
          </cell>
          <cell r="M1502">
            <v>71810</v>
          </cell>
          <cell r="N1502">
            <v>0</v>
          </cell>
          <cell r="O1502" t="str">
            <v>Отчисления 6% от чистой прибыли на развитие инфраструктуры</v>
          </cell>
        </row>
        <row r="1503">
          <cell r="A1503">
            <v>9</v>
          </cell>
          <cell r="B1503">
            <v>214</v>
          </cell>
          <cell r="C1503">
            <v>5996</v>
          </cell>
          <cell r="D1503">
            <v>970.78</v>
          </cell>
          <cell r="E1503">
            <v>24</v>
          </cell>
          <cell r="F1503">
            <v>56902.01</v>
          </cell>
          <cell r="H1503">
            <v>5</v>
          </cell>
          <cell r="I1503">
            <v>0</v>
          </cell>
          <cell r="J1503">
            <v>0</v>
          </cell>
          <cell r="K1503">
            <v>8261.01</v>
          </cell>
          <cell r="L1503">
            <v>5474.15</v>
          </cell>
          <cell r="M1503">
            <v>2786.86</v>
          </cell>
          <cell r="N1503">
            <v>0</v>
          </cell>
          <cell r="O1503" t="str">
            <v>Отчисления 6% от чистой прибыли на развитие инфраструктуры</v>
          </cell>
        </row>
        <row r="1504">
          <cell r="A1504">
            <v>9</v>
          </cell>
          <cell r="B1504">
            <v>214</v>
          </cell>
          <cell r="C1504">
            <v>7783</v>
          </cell>
          <cell r="D1504">
            <v>970.78</v>
          </cell>
          <cell r="E1504">
            <v>24</v>
          </cell>
          <cell r="F1504">
            <v>56902.01</v>
          </cell>
          <cell r="H1504">
            <v>5</v>
          </cell>
          <cell r="I1504">
            <v>0</v>
          </cell>
          <cell r="J1504">
            <v>0</v>
          </cell>
          <cell r="K1504">
            <v>48818.98</v>
          </cell>
          <cell r="L1504">
            <v>0</v>
          </cell>
          <cell r="M1504">
            <v>48818.98</v>
          </cell>
          <cell r="N1504">
            <v>0</v>
          </cell>
          <cell r="O1504" t="str">
            <v>Отчисления 6% от чистой прибыли на развитие инфраструктуры</v>
          </cell>
        </row>
        <row r="1505">
          <cell r="A1505">
            <v>9</v>
          </cell>
          <cell r="B1505">
            <v>214</v>
          </cell>
          <cell r="C1505">
            <v>7845</v>
          </cell>
          <cell r="D1505">
            <v>970.78</v>
          </cell>
          <cell r="E1505">
            <v>24</v>
          </cell>
          <cell r="F1505">
            <v>56902.01</v>
          </cell>
          <cell r="H1505">
            <v>5</v>
          </cell>
          <cell r="I1505">
            <v>0</v>
          </cell>
          <cell r="J1505">
            <v>0</v>
          </cell>
          <cell r="K1505">
            <v>59008.18</v>
          </cell>
          <cell r="L1505">
            <v>29474.240000000002</v>
          </cell>
          <cell r="M1505">
            <v>29533.94</v>
          </cell>
          <cell r="N1505">
            <v>0</v>
          </cell>
          <cell r="O1505" t="str">
            <v>Отчисления 6% от чистой прибыли на развитие инфраструктуры</v>
          </cell>
        </row>
        <row r="1506">
          <cell r="A1506">
            <v>9</v>
          </cell>
          <cell r="B1506">
            <v>214</v>
          </cell>
          <cell r="C1506">
            <v>7948</v>
          </cell>
          <cell r="D1506">
            <v>970.78</v>
          </cell>
          <cell r="E1506">
            <v>24</v>
          </cell>
          <cell r="F1506">
            <v>56902.01</v>
          </cell>
          <cell r="H1506">
            <v>5</v>
          </cell>
          <cell r="I1506">
            <v>0</v>
          </cell>
          <cell r="J1506">
            <v>0</v>
          </cell>
          <cell r="K1506">
            <v>39906.68</v>
          </cell>
          <cell r="L1506">
            <v>0</v>
          </cell>
          <cell r="M1506">
            <v>39906.68</v>
          </cell>
          <cell r="N1506">
            <v>0</v>
          </cell>
          <cell r="O1506" t="str">
            <v>Отчисления 6% от чистой прибыли на развитие инфраструктуры</v>
          </cell>
        </row>
        <row r="1507">
          <cell r="A1507">
            <v>9</v>
          </cell>
          <cell r="B1507">
            <v>214</v>
          </cell>
          <cell r="C1507">
            <v>8002</v>
          </cell>
          <cell r="D1507">
            <v>970.78</v>
          </cell>
          <cell r="E1507">
            <v>24</v>
          </cell>
          <cell r="F1507">
            <v>56902.01</v>
          </cell>
          <cell r="H1507">
            <v>5</v>
          </cell>
          <cell r="I1507">
            <v>0</v>
          </cell>
          <cell r="J1507">
            <v>0</v>
          </cell>
          <cell r="K1507">
            <v>43771</v>
          </cell>
          <cell r="L1507">
            <v>0</v>
          </cell>
          <cell r="M1507">
            <v>43771</v>
          </cell>
          <cell r="N1507">
            <v>0</v>
          </cell>
          <cell r="O1507" t="str">
            <v>Отчисления 6% от чистой прибыли на развитие инфраструктуры</v>
          </cell>
        </row>
        <row r="1508">
          <cell r="A1508">
            <v>9</v>
          </cell>
          <cell r="B1508">
            <v>214</v>
          </cell>
          <cell r="C1508">
            <v>8104</v>
          </cell>
          <cell r="D1508">
            <v>970.78</v>
          </cell>
          <cell r="E1508">
            <v>24</v>
          </cell>
          <cell r="F1508">
            <v>56902.01</v>
          </cell>
          <cell r="H1508">
            <v>5</v>
          </cell>
          <cell r="I1508">
            <v>0</v>
          </cell>
          <cell r="J1508">
            <v>0</v>
          </cell>
          <cell r="K1508">
            <v>28018.31</v>
          </cell>
          <cell r="L1508">
            <v>13672.92</v>
          </cell>
          <cell r="M1508">
            <v>14345.39</v>
          </cell>
          <cell r="N1508">
            <v>0</v>
          </cell>
          <cell r="O1508" t="str">
            <v>Отчисления 6% от чистой прибыли на развитие инфраструктуры</v>
          </cell>
        </row>
        <row r="1509">
          <cell r="A1509">
            <v>9</v>
          </cell>
          <cell r="B1509">
            <v>214</v>
          </cell>
          <cell r="C1509">
            <v>8137</v>
          </cell>
          <cell r="D1509">
            <v>970.78</v>
          </cell>
          <cell r="E1509">
            <v>24</v>
          </cell>
          <cell r="F1509">
            <v>56902.01</v>
          </cell>
          <cell r="H1509">
            <v>5</v>
          </cell>
          <cell r="I1509">
            <v>0</v>
          </cell>
          <cell r="J1509">
            <v>0</v>
          </cell>
          <cell r="K1509">
            <v>4659</v>
          </cell>
          <cell r="L1509">
            <v>0</v>
          </cell>
          <cell r="M1509">
            <v>4659</v>
          </cell>
          <cell r="N1509">
            <v>0</v>
          </cell>
          <cell r="O1509" t="str">
            <v>Отчисления 6% от чистой прибыли на развитие инфраструктуры</v>
          </cell>
        </row>
        <row r="1510">
          <cell r="A1510">
            <v>9</v>
          </cell>
          <cell r="B1510">
            <v>214</v>
          </cell>
          <cell r="C1510">
            <v>8298</v>
          </cell>
          <cell r="D1510">
            <v>970.78</v>
          </cell>
          <cell r="E1510">
            <v>24</v>
          </cell>
          <cell r="F1510">
            <v>56902.01</v>
          </cell>
          <cell r="H1510">
            <v>5</v>
          </cell>
          <cell r="I1510">
            <v>0</v>
          </cell>
          <cell r="J1510">
            <v>0</v>
          </cell>
          <cell r="K1510">
            <v>22670.21</v>
          </cell>
          <cell r="L1510">
            <v>8517.43</v>
          </cell>
          <cell r="M1510">
            <v>14152.78</v>
          </cell>
          <cell r="N1510">
            <v>0</v>
          </cell>
          <cell r="O1510" t="str">
            <v>Отчисления 6% от чистой прибыли на развитие инфраструктуры</v>
          </cell>
        </row>
        <row r="1511">
          <cell r="A1511">
            <v>9</v>
          </cell>
          <cell r="B1511">
            <v>214</v>
          </cell>
          <cell r="C1511">
            <v>8533</v>
          </cell>
          <cell r="D1511">
            <v>970.78</v>
          </cell>
          <cell r="E1511">
            <v>24</v>
          </cell>
          <cell r="F1511">
            <v>56902.01</v>
          </cell>
          <cell r="H1511">
            <v>5</v>
          </cell>
          <cell r="I1511">
            <v>0</v>
          </cell>
          <cell r="J1511">
            <v>0</v>
          </cell>
          <cell r="K1511">
            <v>5625.15</v>
          </cell>
          <cell r="L1511">
            <v>2612.63</v>
          </cell>
          <cell r="M1511">
            <v>3012.52</v>
          </cell>
          <cell r="N1511">
            <v>0</v>
          </cell>
          <cell r="O1511" t="str">
            <v>Отчисления 6% от чистой прибыли на развитие инфраструктуры</v>
          </cell>
        </row>
        <row r="1512">
          <cell r="A1512">
            <v>9</v>
          </cell>
          <cell r="B1512">
            <v>214</v>
          </cell>
          <cell r="C1512">
            <v>8659</v>
          </cell>
          <cell r="D1512">
            <v>970.78</v>
          </cell>
          <cell r="E1512">
            <v>24</v>
          </cell>
          <cell r="F1512">
            <v>56902.01</v>
          </cell>
          <cell r="H1512">
            <v>5</v>
          </cell>
          <cell r="I1512">
            <v>0</v>
          </cell>
          <cell r="J1512">
            <v>0</v>
          </cell>
          <cell r="K1512">
            <v>3776</v>
          </cell>
          <cell r="L1512">
            <v>2924</v>
          </cell>
          <cell r="M1512">
            <v>852</v>
          </cell>
          <cell r="N1512">
            <v>0</v>
          </cell>
          <cell r="O1512" t="str">
            <v>Отчисления 6% от чистой прибыли на развитие инфраструктуры</v>
          </cell>
        </row>
        <row r="1513">
          <cell r="A1513">
            <v>9</v>
          </cell>
          <cell r="B1513">
            <v>214</v>
          </cell>
          <cell r="C1513">
            <v>7783</v>
          </cell>
          <cell r="D1513">
            <v>970.79</v>
          </cell>
          <cell r="E1513">
            <v>24</v>
          </cell>
          <cell r="F1513">
            <v>56902.02</v>
          </cell>
          <cell r="H1513">
            <v>5</v>
          </cell>
          <cell r="I1513">
            <v>0</v>
          </cell>
          <cell r="J1513">
            <v>0</v>
          </cell>
          <cell r="K1513">
            <v>4068.24</v>
          </cell>
          <cell r="L1513">
            <v>0</v>
          </cell>
          <cell r="M1513">
            <v>4068.24</v>
          </cell>
          <cell r="N1513">
            <v>0</v>
          </cell>
          <cell r="O1513" t="str">
            <v>Местные налоги с прибыли банка (на уборку)</v>
          </cell>
        </row>
        <row r="1514">
          <cell r="A1514">
            <v>9</v>
          </cell>
          <cell r="B1514">
            <v>214</v>
          </cell>
          <cell r="C1514">
            <v>7845</v>
          </cell>
          <cell r="D1514">
            <v>970.79</v>
          </cell>
          <cell r="E1514">
            <v>24</v>
          </cell>
          <cell r="F1514">
            <v>56902.02</v>
          </cell>
          <cell r="H1514">
            <v>5</v>
          </cell>
          <cell r="I1514">
            <v>0</v>
          </cell>
          <cell r="J1514">
            <v>0</v>
          </cell>
          <cell r="K1514">
            <v>2461.16</v>
          </cell>
          <cell r="L1514">
            <v>0</v>
          </cell>
          <cell r="M1514">
            <v>2461.16</v>
          </cell>
          <cell r="N1514">
            <v>0</v>
          </cell>
          <cell r="O1514" t="str">
            <v>Местные налоги с прибыли банка (на уборку)</v>
          </cell>
        </row>
        <row r="1515">
          <cell r="A1515">
            <v>9</v>
          </cell>
          <cell r="B1515">
            <v>214</v>
          </cell>
          <cell r="C1515">
            <v>8659</v>
          </cell>
          <cell r="D1515">
            <v>970.79</v>
          </cell>
          <cell r="E1515">
            <v>24</v>
          </cell>
          <cell r="F1515">
            <v>56902.02</v>
          </cell>
          <cell r="H1515">
            <v>5</v>
          </cell>
          <cell r="I1515">
            <v>0</v>
          </cell>
          <cell r="J1515">
            <v>0</v>
          </cell>
          <cell r="K1515">
            <v>2678</v>
          </cell>
          <cell r="L1515">
            <v>974</v>
          </cell>
          <cell r="M1515">
            <v>1704</v>
          </cell>
          <cell r="N1515">
            <v>0</v>
          </cell>
          <cell r="O1515" t="str">
            <v>Местные налоги с прибыли банка (на уборку)</v>
          </cell>
        </row>
        <row r="1516">
          <cell r="A1516">
            <v>9</v>
          </cell>
          <cell r="B1516">
            <v>214</v>
          </cell>
          <cell r="C1516">
            <v>3563</v>
          </cell>
          <cell r="D1516">
            <v>980</v>
          </cell>
          <cell r="E1516">
            <v>24</v>
          </cell>
          <cell r="F1516">
            <v>31206</v>
          </cell>
          <cell r="H1516">
            <v>3</v>
          </cell>
          <cell r="I1516">
            <v>0</v>
          </cell>
          <cell r="J1516">
            <v>179968.73</v>
          </cell>
          <cell r="K1516">
            <v>179968.73</v>
          </cell>
          <cell r="L1516">
            <v>0</v>
          </cell>
          <cell r="M1516">
            <v>0</v>
          </cell>
          <cell r="N1516">
            <v>0</v>
          </cell>
          <cell r="O1516" t="str">
            <v>Чистая прибыль (убытки) за год</v>
          </cell>
        </row>
        <row r="1517">
          <cell r="A1517">
            <v>9</v>
          </cell>
          <cell r="B1517">
            <v>214</v>
          </cell>
          <cell r="C1517">
            <v>5996</v>
          </cell>
          <cell r="D1517">
            <v>980</v>
          </cell>
          <cell r="E1517">
            <v>24</v>
          </cell>
          <cell r="F1517">
            <v>31206</v>
          </cell>
          <cell r="H1517">
            <v>3</v>
          </cell>
          <cell r="I1517">
            <v>0</v>
          </cell>
          <cell r="J1517">
            <v>80816.600000000006</v>
          </cell>
          <cell r="K1517">
            <v>80816.600000000006</v>
          </cell>
          <cell r="L1517">
            <v>0</v>
          </cell>
          <cell r="M1517">
            <v>0</v>
          </cell>
          <cell r="N1517">
            <v>0</v>
          </cell>
          <cell r="O1517" t="str">
            <v>Чистая прибыль (убытки) за год</v>
          </cell>
        </row>
        <row r="1518">
          <cell r="A1518">
            <v>9</v>
          </cell>
          <cell r="B1518">
            <v>214</v>
          </cell>
          <cell r="C1518">
            <v>7783</v>
          </cell>
          <cell r="D1518">
            <v>980</v>
          </cell>
          <cell r="E1518">
            <v>24</v>
          </cell>
          <cell r="F1518">
            <v>31206</v>
          </cell>
          <cell r="H1518">
            <v>3</v>
          </cell>
          <cell r="I1518">
            <v>0</v>
          </cell>
          <cell r="J1518">
            <v>40445.620000000003</v>
          </cell>
          <cell r="K1518">
            <v>40445.620000000003</v>
          </cell>
          <cell r="L1518">
            <v>0</v>
          </cell>
          <cell r="M1518">
            <v>0</v>
          </cell>
          <cell r="N1518">
            <v>0</v>
          </cell>
          <cell r="O1518" t="str">
            <v>Чистая прибыль (убытки) за год</v>
          </cell>
        </row>
        <row r="1519">
          <cell r="A1519">
            <v>9</v>
          </cell>
          <cell r="B1519">
            <v>214</v>
          </cell>
          <cell r="C1519">
            <v>7845</v>
          </cell>
          <cell r="D1519">
            <v>980</v>
          </cell>
          <cell r="E1519">
            <v>24</v>
          </cell>
          <cell r="F1519">
            <v>31206</v>
          </cell>
          <cell r="H1519">
            <v>3</v>
          </cell>
          <cell r="I1519">
            <v>0</v>
          </cell>
          <cell r="J1519">
            <v>97690.87</v>
          </cell>
          <cell r="K1519">
            <v>97690.87</v>
          </cell>
          <cell r="L1519">
            <v>0</v>
          </cell>
          <cell r="M1519">
            <v>0</v>
          </cell>
          <cell r="N1519">
            <v>0</v>
          </cell>
          <cell r="O1519" t="str">
            <v>Чистая прибыль (убытки) за год</v>
          </cell>
        </row>
        <row r="1520">
          <cell r="A1520">
            <v>9</v>
          </cell>
          <cell r="B1520">
            <v>214</v>
          </cell>
          <cell r="C1520">
            <v>7948</v>
          </cell>
          <cell r="D1520">
            <v>980</v>
          </cell>
          <cell r="E1520">
            <v>24</v>
          </cell>
          <cell r="F1520">
            <v>31206</v>
          </cell>
          <cell r="H1520">
            <v>3</v>
          </cell>
          <cell r="I1520">
            <v>0</v>
          </cell>
          <cell r="J1520">
            <v>78115.460000000006</v>
          </cell>
          <cell r="K1520">
            <v>78115.460000000006</v>
          </cell>
          <cell r="L1520">
            <v>0</v>
          </cell>
          <cell r="M1520">
            <v>0</v>
          </cell>
          <cell r="N1520">
            <v>0</v>
          </cell>
          <cell r="O1520" t="str">
            <v>Чистая прибыль (убытки) за год</v>
          </cell>
        </row>
        <row r="1521">
          <cell r="A1521">
            <v>9</v>
          </cell>
          <cell r="B1521">
            <v>214</v>
          </cell>
          <cell r="C1521">
            <v>8002</v>
          </cell>
          <cell r="D1521">
            <v>980</v>
          </cell>
          <cell r="E1521">
            <v>24</v>
          </cell>
          <cell r="F1521">
            <v>31206</v>
          </cell>
          <cell r="H1521">
            <v>3</v>
          </cell>
          <cell r="I1521">
            <v>0</v>
          </cell>
          <cell r="J1521">
            <v>312769.74</v>
          </cell>
          <cell r="K1521">
            <v>312769.74</v>
          </cell>
          <cell r="L1521">
            <v>0</v>
          </cell>
          <cell r="M1521">
            <v>0</v>
          </cell>
          <cell r="N1521">
            <v>0</v>
          </cell>
          <cell r="O1521" t="str">
            <v>Чистая прибыль (убытки) за год</v>
          </cell>
        </row>
        <row r="1522">
          <cell r="A1522">
            <v>9</v>
          </cell>
          <cell r="B1522">
            <v>214</v>
          </cell>
          <cell r="C1522">
            <v>8104</v>
          </cell>
          <cell r="D1522">
            <v>980</v>
          </cell>
          <cell r="E1522">
            <v>24</v>
          </cell>
          <cell r="F1522">
            <v>31206</v>
          </cell>
          <cell r="H1522">
            <v>3</v>
          </cell>
          <cell r="I1522">
            <v>0</v>
          </cell>
          <cell r="J1522">
            <v>325379.43</v>
          </cell>
          <cell r="K1522">
            <v>325379.43</v>
          </cell>
          <cell r="L1522">
            <v>0</v>
          </cell>
          <cell r="M1522">
            <v>0</v>
          </cell>
          <cell r="N1522">
            <v>0</v>
          </cell>
          <cell r="O1522" t="str">
            <v>Чистая прибыль (убытки) за год</v>
          </cell>
        </row>
        <row r="1523">
          <cell r="A1523">
            <v>9</v>
          </cell>
          <cell r="B1523">
            <v>214</v>
          </cell>
          <cell r="C1523">
            <v>8137</v>
          </cell>
          <cell r="D1523">
            <v>980</v>
          </cell>
          <cell r="E1523">
            <v>24</v>
          </cell>
          <cell r="F1523">
            <v>31206</v>
          </cell>
          <cell r="H1523">
            <v>3</v>
          </cell>
          <cell r="I1523">
            <v>0</v>
          </cell>
          <cell r="J1523">
            <v>2324.86</v>
          </cell>
          <cell r="K1523">
            <v>2324.86</v>
          </cell>
          <cell r="L1523">
            <v>0</v>
          </cell>
          <cell r="M1523">
            <v>0</v>
          </cell>
          <cell r="N1523">
            <v>0</v>
          </cell>
          <cell r="O1523" t="str">
            <v>Чистая прибыль (убытки) за год</v>
          </cell>
        </row>
        <row r="1524">
          <cell r="A1524">
            <v>9</v>
          </cell>
          <cell r="B1524">
            <v>214</v>
          </cell>
          <cell r="C1524">
            <v>8298</v>
          </cell>
          <cell r="D1524">
            <v>980</v>
          </cell>
          <cell r="E1524">
            <v>24</v>
          </cell>
          <cell r="F1524">
            <v>31206</v>
          </cell>
          <cell r="H1524">
            <v>3</v>
          </cell>
          <cell r="I1524">
            <v>0</v>
          </cell>
          <cell r="J1524">
            <v>57608.52</v>
          </cell>
          <cell r="K1524">
            <v>57608.52</v>
          </cell>
          <cell r="L1524">
            <v>0</v>
          </cell>
          <cell r="M1524">
            <v>0</v>
          </cell>
          <cell r="N1524">
            <v>0</v>
          </cell>
          <cell r="O1524" t="str">
            <v>Чистая прибыль (убытки) за год</v>
          </cell>
        </row>
        <row r="1525">
          <cell r="A1525">
            <v>9</v>
          </cell>
          <cell r="B1525">
            <v>214</v>
          </cell>
          <cell r="C1525">
            <v>8533</v>
          </cell>
          <cell r="D1525">
            <v>980</v>
          </cell>
          <cell r="E1525">
            <v>24</v>
          </cell>
          <cell r="F1525">
            <v>31206</v>
          </cell>
          <cell r="H1525">
            <v>3</v>
          </cell>
          <cell r="I1525">
            <v>0</v>
          </cell>
          <cell r="J1525">
            <v>19234.05</v>
          </cell>
          <cell r="K1525">
            <v>19234.05</v>
          </cell>
          <cell r="L1525">
            <v>0</v>
          </cell>
          <cell r="M1525">
            <v>0</v>
          </cell>
          <cell r="N1525">
            <v>0</v>
          </cell>
          <cell r="O1525" t="str">
            <v>Чистая прибыль (убытки) за год</v>
          </cell>
        </row>
        <row r="1526">
          <cell r="A1526">
            <v>9</v>
          </cell>
          <cell r="B1526">
            <v>214</v>
          </cell>
          <cell r="C1526">
            <v>8659</v>
          </cell>
          <cell r="D1526">
            <v>980</v>
          </cell>
          <cell r="E1526">
            <v>24</v>
          </cell>
          <cell r="F1526">
            <v>31206</v>
          </cell>
          <cell r="H1526">
            <v>3</v>
          </cell>
          <cell r="I1526">
            <v>0</v>
          </cell>
          <cell r="J1526">
            <v>66777.27</v>
          </cell>
          <cell r="K1526">
            <v>66777.27</v>
          </cell>
          <cell r="L1526">
            <v>0</v>
          </cell>
          <cell r="M1526">
            <v>0</v>
          </cell>
          <cell r="N1526">
            <v>0</v>
          </cell>
          <cell r="O1526" t="str">
            <v>Чистая прибыль (убытки) за год</v>
          </cell>
        </row>
        <row r="1527">
          <cell r="A1527">
            <v>9</v>
          </cell>
          <cell r="B1527">
            <v>214</v>
          </cell>
          <cell r="C1527">
            <v>214</v>
          </cell>
          <cell r="D1527">
            <v>981</v>
          </cell>
          <cell r="E1527">
            <v>24</v>
          </cell>
          <cell r="F1527">
            <v>31203</v>
          </cell>
          <cell r="H1527">
            <v>3</v>
          </cell>
          <cell r="I1527">
            <v>8239.5</v>
          </cell>
          <cell r="J1527">
            <v>0</v>
          </cell>
          <cell r="K1527">
            <v>0</v>
          </cell>
          <cell r="L1527">
            <v>0</v>
          </cell>
          <cell r="M1527">
            <v>8239.5</v>
          </cell>
          <cell r="N1527">
            <v>0</v>
          </cell>
          <cell r="O1527" t="str">
            <v>Нераспределенная прибыль</v>
          </cell>
        </row>
        <row r="1528">
          <cell r="A1528">
            <v>9</v>
          </cell>
          <cell r="B1528">
            <v>214</v>
          </cell>
          <cell r="C1528">
            <v>3563</v>
          </cell>
          <cell r="D1528">
            <v>981</v>
          </cell>
          <cell r="E1528">
            <v>24</v>
          </cell>
          <cell r="F1528">
            <v>31203</v>
          </cell>
          <cell r="H1528">
            <v>3</v>
          </cell>
          <cell r="I1528">
            <v>18583681.66</v>
          </cell>
          <cell r="J1528">
            <v>0</v>
          </cell>
          <cell r="K1528">
            <v>0</v>
          </cell>
          <cell r="L1528">
            <v>179968.73</v>
          </cell>
          <cell r="M1528">
            <v>18403712.93</v>
          </cell>
          <cell r="N1528">
            <v>0</v>
          </cell>
          <cell r="O1528" t="str">
            <v>Нераспределенная прибыль</v>
          </cell>
        </row>
        <row r="1529">
          <cell r="A1529">
            <v>9</v>
          </cell>
          <cell r="B1529">
            <v>214</v>
          </cell>
          <cell r="C1529">
            <v>5996</v>
          </cell>
          <cell r="D1529">
            <v>981</v>
          </cell>
          <cell r="E1529">
            <v>24</v>
          </cell>
          <cell r="F1529">
            <v>31203</v>
          </cell>
          <cell r="H1529">
            <v>3</v>
          </cell>
          <cell r="I1529">
            <v>19737091.199999999</v>
          </cell>
          <cell r="J1529">
            <v>0</v>
          </cell>
          <cell r="K1529">
            <v>0</v>
          </cell>
          <cell r="L1529">
            <v>80816.600000000006</v>
          </cell>
          <cell r="M1529">
            <v>19656274.600000001</v>
          </cell>
          <cell r="N1529">
            <v>0</v>
          </cell>
          <cell r="O1529" t="str">
            <v>Нераспределенная прибыль</v>
          </cell>
        </row>
        <row r="1530">
          <cell r="A1530">
            <v>9</v>
          </cell>
          <cell r="B1530">
            <v>214</v>
          </cell>
          <cell r="C1530">
            <v>7783</v>
          </cell>
          <cell r="D1530">
            <v>981</v>
          </cell>
          <cell r="E1530">
            <v>24</v>
          </cell>
          <cell r="F1530">
            <v>31203</v>
          </cell>
          <cell r="H1530">
            <v>3</v>
          </cell>
          <cell r="I1530">
            <v>12602316.25</v>
          </cell>
          <cell r="J1530">
            <v>0</v>
          </cell>
          <cell r="K1530">
            <v>369002.56</v>
          </cell>
          <cell r="L1530">
            <v>40445.620000000003</v>
          </cell>
          <cell r="M1530">
            <v>12930873.189999999</v>
          </cell>
          <cell r="N1530">
            <v>0</v>
          </cell>
          <cell r="O1530" t="str">
            <v>Нераспределенная прибыль</v>
          </cell>
        </row>
        <row r="1531">
          <cell r="A1531">
            <v>9</v>
          </cell>
          <cell r="B1531">
            <v>214</v>
          </cell>
          <cell r="C1531">
            <v>7845</v>
          </cell>
          <cell r="D1531">
            <v>981</v>
          </cell>
          <cell r="E1531">
            <v>24</v>
          </cell>
          <cell r="F1531">
            <v>31203</v>
          </cell>
          <cell r="H1531">
            <v>3</v>
          </cell>
          <cell r="I1531">
            <v>6850123.1100000003</v>
          </cell>
          <cell r="J1531">
            <v>0</v>
          </cell>
          <cell r="K1531">
            <v>2133419.61</v>
          </cell>
          <cell r="L1531">
            <v>97690.87</v>
          </cell>
          <cell r="M1531">
            <v>8885851.8499999996</v>
          </cell>
          <cell r="N1531">
            <v>0</v>
          </cell>
          <cell r="O1531" t="str">
            <v>Нераспределенная прибыль</v>
          </cell>
        </row>
        <row r="1532">
          <cell r="A1532">
            <v>9</v>
          </cell>
          <cell r="B1532">
            <v>214</v>
          </cell>
          <cell r="C1532">
            <v>7948</v>
          </cell>
          <cell r="D1532">
            <v>981</v>
          </cell>
          <cell r="E1532">
            <v>24</v>
          </cell>
          <cell r="F1532">
            <v>31203</v>
          </cell>
          <cell r="H1532">
            <v>3</v>
          </cell>
          <cell r="I1532">
            <v>10333196.83</v>
          </cell>
          <cell r="J1532">
            <v>0</v>
          </cell>
          <cell r="K1532">
            <v>1152432.56</v>
          </cell>
          <cell r="L1532">
            <v>78115.460000000006</v>
          </cell>
          <cell r="M1532">
            <v>11407513.93</v>
          </cell>
          <cell r="N1532">
            <v>0</v>
          </cell>
          <cell r="O1532" t="str">
            <v>Нераспределенная прибыль</v>
          </cell>
        </row>
        <row r="1533">
          <cell r="A1533">
            <v>9</v>
          </cell>
          <cell r="B1533">
            <v>214</v>
          </cell>
          <cell r="C1533">
            <v>8002</v>
          </cell>
          <cell r="D1533">
            <v>981</v>
          </cell>
          <cell r="E1533">
            <v>24</v>
          </cell>
          <cell r="F1533">
            <v>31203</v>
          </cell>
          <cell r="H1533">
            <v>3</v>
          </cell>
          <cell r="I1533">
            <v>7399875.4900000002</v>
          </cell>
          <cell r="J1533">
            <v>0</v>
          </cell>
          <cell r="K1533">
            <v>1812458.19</v>
          </cell>
          <cell r="L1533">
            <v>312769.74</v>
          </cell>
          <cell r="M1533">
            <v>8899563.9399999995</v>
          </cell>
          <cell r="N1533">
            <v>0</v>
          </cell>
          <cell r="O1533" t="str">
            <v>Нераспределенная прибыль</v>
          </cell>
        </row>
        <row r="1534">
          <cell r="A1534">
            <v>9</v>
          </cell>
          <cell r="B1534">
            <v>214</v>
          </cell>
          <cell r="C1534">
            <v>8104</v>
          </cell>
          <cell r="D1534">
            <v>981</v>
          </cell>
          <cell r="E1534">
            <v>24</v>
          </cell>
          <cell r="F1534">
            <v>31203</v>
          </cell>
          <cell r="H1534">
            <v>3</v>
          </cell>
          <cell r="I1534">
            <v>9450742.9299999997</v>
          </cell>
          <cell r="J1534">
            <v>0</v>
          </cell>
          <cell r="K1534">
            <v>1766932.06</v>
          </cell>
          <cell r="L1534">
            <v>325379.43</v>
          </cell>
          <cell r="M1534">
            <v>10892295.560000001</v>
          </cell>
          <cell r="N1534">
            <v>0</v>
          </cell>
          <cell r="O1534" t="str">
            <v>Нераспределенная прибыль</v>
          </cell>
        </row>
        <row r="1535">
          <cell r="A1535">
            <v>9</v>
          </cell>
          <cell r="B1535">
            <v>214</v>
          </cell>
          <cell r="C1535">
            <v>8137</v>
          </cell>
          <cell r="D1535">
            <v>981</v>
          </cell>
          <cell r="E1535">
            <v>24</v>
          </cell>
          <cell r="F1535">
            <v>31203</v>
          </cell>
          <cell r="H1535">
            <v>3</v>
          </cell>
          <cell r="I1535">
            <v>7112569.5199999996</v>
          </cell>
          <cell r="J1535">
            <v>0</v>
          </cell>
          <cell r="K1535">
            <v>0</v>
          </cell>
          <cell r="L1535">
            <v>2324.86</v>
          </cell>
          <cell r="M1535">
            <v>7110244.6600000001</v>
          </cell>
          <cell r="N1535">
            <v>0</v>
          </cell>
          <cell r="O1535" t="str">
            <v>Нераспределенная прибыль</v>
          </cell>
        </row>
        <row r="1536">
          <cell r="A1536">
            <v>9</v>
          </cell>
          <cell r="B1536">
            <v>214</v>
          </cell>
          <cell r="C1536">
            <v>8298</v>
          </cell>
          <cell r="D1536">
            <v>981</v>
          </cell>
          <cell r="E1536">
            <v>24</v>
          </cell>
          <cell r="F1536">
            <v>31203</v>
          </cell>
          <cell r="H1536">
            <v>3</v>
          </cell>
          <cell r="I1536">
            <v>7020334.0800000001</v>
          </cell>
          <cell r="J1536">
            <v>0</v>
          </cell>
          <cell r="K1536">
            <v>2286118.7799999998</v>
          </cell>
          <cell r="L1536">
            <v>57608.52</v>
          </cell>
          <cell r="M1536">
            <v>9248844.3399999999</v>
          </cell>
          <cell r="N1536">
            <v>0</v>
          </cell>
          <cell r="O1536" t="str">
            <v>Нераспределенная прибыль</v>
          </cell>
        </row>
        <row r="1537">
          <cell r="A1537">
            <v>9</v>
          </cell>
          <cell r="B1537">
            <v>214</v>
          </cell>
          <cell r="C1537">
            <v>8533</v>
          </cell>
          <cell r="D1537">
            <v>981</v>
          </cell>
          <cell r="E1537">
            <v>24</v>
          </cell>
          <cell r="F1537">
            <v>31203</v>
          </cell>
          <cell r="H1537">
            <v>3</v>
          </cell>
          <cell r="I1537">
            <v>7047791.46</v>
          </cell>
          <cell r="J1537">
            <v>0</v>
          </cell>
          <cell r="K1537">
            <v>1034310.92</v>
          </cell>
          <cell r="L1537">
            <v>19234.05</v>
          </cell>
          <cell r="M1537">
            <v>8062868.3300000001</v>
          </cell>
          <cell r="N1537">
            <v>0</v>
          </cell>
          <cell r="O1537" t="str">
            <v>Нераспределенная прибыль</v>
          </cell>
        </row>
        <row r="1538">
          <cell r="A1538">
            <v>9</v>
          </cell>
          <cell r="B1538">
            <v>214</v>
          </cell>
          <cell r="C1538">
            <v>8659</v>
          </cell>
          <cell r="D1538">
            <v>981</v>
          </cell>
          <cell r="E1538">
            <v>24</v>
          </cell>
          <cell r="F1538">
            <v>31203</v>
          </cell>
          <cell r="H1538">
            <v>3</v>
          </cell>
          <cell r="I1538">
            <v>6278361.8899999997</v>
          </cell>
          <cell r="J1538">
            <v>0</v>
          </cell>
          <cell r="K1538">
            <v>2497035.7599999998</v>
          </cell>
          <cell r="L1538">
            <v>66777.27</v>
          </cell>
          <cell r="M1538">
            <v>8708620.3800000008</v>
          </cell>
          <cell r="N1538">
            <v>0</v>
          </cell>
          <cell r="O1538" t="str">
            <v>Нераспределенная прибыль</v>
          </cell>
        </row>
        <row r="1539">
          <cell r="A1539">
            <v>9</v>
          </cell>
          <cell r="B1539">
            <v>214</v>
          </cell>
          <cell r="C1539">
            <v>3563</v>
          </cell>
          <cell r="D1539">
            <v>8800</v>
          </cell>
          <cell r="E1539">
            <v>0</v>
          </cell>
          <cell r="F1539">
            <v>96300</v>
          </cell>
          <cell r="H1539">
            <v>0</v>
          </cell>
          <cell r="I1539">
            <v>0</v>
          </cell>
          <cell r="J1539">
            <v>4849634.1500000004</v>
          </cell>
          <cell r="K1539">
            <v>130777697</v>
          </cell>
          <cell r="L1539">
            <v>168339681</v>
          </cell>
          <cell r="M1539">
            <v>0</v>
          </cell>
          <cell r="N1539">
            <v>42411618.149999999</v>
          </cell>
          <cell r="O1539" t="str">
            <v>Контр-счета непредвиденных обстоятельств</v>
          </cell>
        </row>
        <row r="1540">
          <cell r="A1540">
            <v>9</v>
          </cell>
          <cell r="B1540">
            <v>214</v>
          </cell>
          <cell r="C1540">
            <v>5996</v>
          </cell>
          <cell r="D1540">
            <v>8800</v>
          </cell>
          <cell r="E1540">
            <v>0</v>
          </cell>
          <cell r="F1540">
            <v>96300</v>
          </cell>
          <cell r="H1540">
            <v>0</v>
          </cell>
          <cell r="I1540">
            <v>0</v>
          </cell>
          <cell r="J1540">
            <v>9234141.3000000007</v>
          </cell>
          <cell r="K1540">
            <v>21913155</v>
          </cell>
          <cell r="L1540">
            <v>21687991</v>
          </cell>
          <cell r="M1540">
            <v>0</v>
          </cell>
          <cell r="N1540">
            <v>9008977.3000000007</v>
          </cell>
          <cell r="O1540" t="str">
            <v>Контр-счета непредвиденных обстоятельств</v>
          </cell>
        </row>
        <row r="1541">
          <cell r="A1541">
            <v>9</v>
          </cell>
          <cell r="B1541">
            <v>214</v>
          </cell>
          <cell r="C1541">
            <v>7783</v>
          </cell>
          <cell r="D1541">
            <v>8800</v>
          </cell>
          <cell r="E1541">
            <v>0</v>
          </cell>
          <cell r="F1541">
            <v>96300</v>
          </cell>
          <cell r="H1541">
            <v>0</v>
          </cell>
          <cell r="I1541">
            <v>0</v>
          </cell>
          <cell r="J1541">
            <v>7227933.2999999998</v>
          </cell>
          <cell r="K1541">
            <v>23507987</v>
          </cell>
          <cell r="L1541">
            <v>21436599</v>
          </cell>
          <cell r="M1541">
            <v>0</v>
          </cell>
          <cell r="N1541">
            <v>5156545.3</v>
          </cell>
          <cell r="O1541" t="str">
            <v>Контр-счета непредвиденных обстоятельств</v>
          </cell>
        </row>
        <row r="1542">
          <cell r="A1542">
            <v>9</v>
          </cell>
          <cell r="B1542">
            <v>214</v>
          </cell>
          <cell r="C1542">
            <v>7845</v>
          </cell>
          <cell r="D1542">
            <v>8800</v>
          </cell>
          <cell r="E1542">
            <v>0</v>
          </cell>
          <cell r="F1542">
            <v>96300</v>
          </cell>
          <cell r="H1542">
            <v>0</v>
          </cell>
          <cell r="I1542">
            <v>0</v>
          </cell>
          <cell r="J1542">
            <v>5365141.5199999996</v>
          </cell>
          <cell r="K1542">
            <v>26199655.52</v>
          </cell>
          <cell r="L1542">
            <v>24267774</v>
          </cell>
          <cell r="M1542">
            <v>0</v>
          </cell>
          <cell r="N1542">
            <v>3433260</v>
          </cell>
          <cell r="O1542" t="str">
            <v>Контр-счета непредвиденных обстоятельств</v>
          </cell>
        </row>
        <row r="1543">
          <cell r="A1543">
            <v>9</v>
          </cell>
          <cell r="B1543">
            <v>214</v>
          </cell>
          <cell r="C1543">
            <v>7948</v>
          </cell>
          <cell r="D1543">
            <v>8800</v>
          </cell>
          <cell r="E1543">
            <v>0</v>
          </cell>
          <cell r="F1543">
            <v>96300</v>
          </cell>
          <cell r="H1543">
            <v>0</v>
          </cell>
          <cell r="I1543">
            <v>0</v>
          </cell>
          <cell r="J1543">
            <v>6162555</v>
          </cell>
          <cell r="K1543">
            <v>36388687</v>
          </cell>
          <cell r="L1543">
            <v>33759381</v>
          </cell>
          <cell r="M1543">
            <v>0</v>
          </cell>
          <cell r="N1543">
            <v>3533249</v>
          </cell>
          <cell r="O1543" t="str">
            <v>Контр-счета непредвиденных обстоятельств</v>
          </cell>
        </row>
        <row r="1544">
          <cell r="A1544">
            <v>9</v>
          </cell>
          <cell r="B1544">
            <v>214</v>
          </cell>
          <cell r="C1544">
            <v>8002</v>
          </cell>
          <cell r="D1544">
            <v>8800</v>
          </cell>
          <cell r="E1544">
            <v>0</v>
          </cell>
          <cell r="F1544">
            <v>96300</v>
          </cell>
          <cell r="H1544">
            <v>0</v>
          </cell>
          <cell r="I1544">
            <v>0</v>
          </cell>
          <cell r="J1544">
            <v>2983462.27</v>
          </cell>
          <cell r="K1544">
            <v>21273193.27</v>
          </cell>
          <cell r="L1544">
            <v>21255244</v>
          </cell>
          <cell r="M1544">
            <v>0</v>
          </cell>
          <cell r="N1544">
            <v>2965513</v>
          </cell>
          <cell r="O1544" t="str">
            <v>Контр-счета непредвиденных обстоятельств</v>
          </cell>
        </row>
        <row r="1545">
          <cell r="A1545">
            <v>9</v>
          </cell>
          <cell r="B1545">
            <v>214</v>
          </cell>
          <cell r="C1545">
            <v>8104</v>
          </cell>
          <cell r="D1545">
            <v>8800</v>
          </cell>
          <cell r="E1545">
            <v>0</v>
          </cell>
          <cell r="F1545">
            <v>96300</v>
          </cell>
          <cell r="H1545">
            <v>0</v>
          </cell>
          <cell r="I1545">
            <v>0</v>
          </cell>
          <cell r="J1545">
            <v>4666794</v>
          </cell>
          <cell r="K1545">
            <v>22832914</v>
          </cell>
          <cell r="L1545">
            <v>21392113</v>
          </cell>
          <cell r="M1545">
            <v>0</v>
          </cell>
          <cell r="N1545">
            <v>3225993</v>
          </cell>
          <cell r="O1545" t="str">
            <v>Контр-счета непредвиденных обстоятельств</v>
          </cell>
        </row>
        <row r="1546">
          <cell r="A1546">
            <v>9</v>
          </cell>
          <cell r="B1546">
            <v>214</v>
          </cell>
          <cell r="C1546">
            <v>8137</v>
          </cell>
          <cell r="D1546">
            <v>8800</v>
          </cell>
          <cell r="E1546">
            <v>0</v>
          </cell>
          <cell r="F1546">
            <v>96300</v>
          </cell>
          <cell r="H1546">
            <v>0</v>
          </cell>
          <cell r="I1546">
            <v>0</v>
          </cell>
          <cell r="J1546">
            <v>4955012</v>
          </cell>
          <cell r="K1546">
            <v>48598263</v>
          </cell>
          <cell r="L1546">
            <v>46019949</v>
          </cell>
          <cell r="M1546">
            <v>0</v>
          </cell>
          <cell r="N1546">
            <v>2376698</v>
          </cell>
          <cell r="O1546" t="str">
            <v>Контр-счета непредвиденных обстоятельств</v>
          </cell>
        </row>
        <row r="1547">
          <cell r="A1547">
            <v>9</v>
          </cell>
          <cell r="B1547">
            <v>214</v>
          </cell>
          <cell r="C1547">
            <v>8298</v>
          </cell>
          <cell r="D1547">
            <v>8800</v>
          </cell>
          <cell r="E1547">
            <v>0</v>
          </cell>
          <cell r="F1547">
            <v>96300</v>
          </cell>
          <cell r="H1547">
            <v>0</v>
          </cell>
          <cell r="I1547">
            <v>0</v>
          </cell>
          <cell r="J1547">
            <v>6427150</v>
          </cell>
          <cell r="K1547">
            <v>21959846</v>
          </cell>
          <cell r="L1547">
            <v>19752684</v>
          </cell>
          <cell r="M1547">
            <v>0</v>
          </cell>
          <cell r="N1547">
            <v>4219988</v>
          </cell>
          <cell r="O1547" t="str">
            <v>Контр-счета непредвиденных обстоятельств</v>
          </cell>
        </row>
        <row r="1548">
          <cell r="A1548">
            <v>9</v>
          </cell>
          <cell r="B1548">
            <v>214</v>
          </cell>
          <cell r="C1548">
            <v>8533</v>
          </cell>
          <cell r="D1548">
            <v>8800</v>
          </cell>
          <cell r="E1548">
            <v>0</v>
          </cell>
          <cell r="F1548">
            <v>96300</v>
          </cell>
          <cell r="H1548">
            <v>0</v>
          </cell>
          <cell r="I1548">
            <v>0</v>
          </cell>
          <cell r="J1548">
            <v>2110191</v>
          </cell>
          <cell r="K1548">
            <v>3165873</v>
          </cell>
          <cell r="L1548">
            <v>2126482</v>
          </cell>
          <cell r="M1548">
            <v>0</v>
          </cell>
          <cell r="N1548">
            <v>1070800</v>
          </cell>
          <cell r="O1548" t="str">
            <v>Контр-счета непредвиденных обстоятельств</v>
          </cell>
        </row>
        <row r="1549">
          <cell r="A1549">
            <v>9</v>
          </cell>
          <cell r="B1549">
            <v>214</v>
          </cell>
          <cell r="C1549">
            <v>8659</v>
          </cell>
          <cell r="D1549">
            <v>8800</v>
          </cell>
          <cell r="E1549">
            <v>0</v>
          </cell>
          <cell r="F1549">
            <v>96300</v>
          </cell>
          <cell r="H1549">
            <v>0</v>
          </cell>
          <cell r="I1549">
            <v>0</v>
          </cell>
          <cell r="J1549">
            <v>5464881</v>
          </cell>
          <cell r="K1549">
            <v>21651369</v>
          </cell>
          <cell r="L1549">
            <v>21371841</v>
          </cell>
          <cell r="M1549">
            <v>0</v>
          </cell>
          <cell r="N1549">
            <v>5185353</v>
          </cell>
          <cell r="O1549" t="str">
            <v>Контр-счета непредвиденных обстоятельств</v>
          </cell>
        </row>
        <row r="1550">
          <cell r="A1550">
            <v>9</v>
          </cell>
          <cell r="B1550">
            <v>214</v>
          </cell>
          <cell r="C1550">
            <v>3563</v>
          </cell>
          <cell r="D1550">
            <v>9941.01</v>
          </cell>
          <cell r="E1550">
            <v>0</v>
          </cell>
          <cell r="F1550">
            <v>91905</v>
          </cell>
          <cell r="H1550">
            <v>0</v>
          </cell>
          <cell r="I1550">
            <v>2813300</v>
          </cell>
          <cell r="J1550">
            <v>0</v>
          </cell>
          <cell r="K1550">
            <v>400000</v>
          </cell>
          <cell r="L1550">
            <v>56000</v>
          </cell>
          <cell r="M1550">
            <v>3157300</v>
          </cell>
          <cell r="N1550">
            <v>0</v>
          </cell>
          <cell r="O1550" t="str">
            <v>Обязательства по долгосрочным ссудам</v>
          </cell>
        </row>
        <row r="1551">
          <cell r="A1551">
            <v>9</v>
          </cell>
          <cell r="B1551">
            <v>214</v>
          </cell>
          <cell r="C1551">
            <v>5996</v>
          </cell>
          <cell r="D1551">
            <v>9941.01</v>
          </cell>
          <cell r="E1551">
            <v>0</v>
          </cell>
          <cell r="F1551">
            <v>91905</v>
          </cell>
          <cell r="H1551">
            <v>0</v>
          </cell>
          <cell r="I1551">
            <v>8185000</v>
          </cell>
          <cell r="J1551">
            <v>0</v>
          </cell>
          <cell r="K1551">
            <v>0</v>
          </cell>
          <cell r="L1551">
            <v>363500</v>
          </cell>
          <cell r="M1551">
            <v>7821500</v>
          </cell>
          <cell r="N1551">
            <v>0</v>
          </cell>
          <cell r="O1551" t="str">
            <v>Обязательства по долгосрочным ссудам</v>
          </cell>
        </row>
        <row r="1552">
          <cell r="A1552">
            <v>9</v>
          </cell>
          <cell r="B1552">
            <v>214</v>
          </cell>
          <cell r="C1552">
            <v>7783</v>
          </cell>
          <cell r="D1552">
            <v>9941.01</v>
          </cell>
          <cell r="E1552">
            <v>0</v>
          </cell>
          <cell r="F1552">
            <v>91905</v>
          </cell>
          <cell r="H1552">
            <v>0</v>
          </cell>
          <cell r="I1552">
            <v>4469600</v>
          </cell>
          <cell r="J1552">
            <v>0</v>
          </cell>
          <cell r="K1552">
            <v>0</v>
          </cell>
          <cell r="L1552">
            <v>192900</v>
          </cell>
          <cell r="M1552">
            <v>4276700</v>
          </cell>
          <cell r="N1552">
            <v>0</v>
          </cell>
          <cell r="O1552" t="str">
            <v>Обязательства по долгосрочным ссудам</v>
          </cell>
        </row>
        <row r="1553">
          <cell r="A1553">
            <v>9</v>
          </cell>
          <cell r="B1553">
            <v>214</v>
          </cell>
          <cell r="C1553">
            <v>7845</v>
          </cell>
          <cell r="D1553">
            <v>9941.01</v>
          </cell>
          <cell r="E1553">
            <v>0</v>
          </cell>
          <cell r="F1553">
            <v>91905</v>
          </cell>
          <cell r="H1553">
            <v>0</v>
          </cell>
          <cell r="I1553">
            <v>2985200</v>
          </cell>
          <cell r="J1553">
            <v>0</v>
          </cell>
          <cell r="K1553">
            <v>0</v>
          </cell>
          <cell r="L1553">
            <v>536200</v>
          </cell>
          <cell r="M1553">
            <v>2449000</v>
          </cell>
          <cell r="N1553">
            <v>0</v>
          </cell>
          <cell r="O1553" t="str">
            <v>Обязательства по долгосрочным ссудам</v>
          </cell>
        </row>
        <row r="1554">
          <cell r="A1554">
            <v>9</v>
          </cell>
          <cell r="B1554">
            <v>214</v>
          </cell>
          <cell r="C1554">
            <v>7948</v>
          </cell>
          <cell r="D1554">
            <v>9941.01</v>
          </cell>
          <cell r="E1554">
            <v>0</v>
          </cell>
          <cell r="F1554">
            <v>91905</v>
          </cell>
          <cell r="H1554">
            <v>0</v>
          </cell>
          <cell r="I1554">
            <v>1597000</v>
          </cell>
          <cell r="J1554">
            <v>0</v>
          </cell>
          <cell r="K1554">
            <v>0</v>
          </cell>
          <cell r="L1554">
            <v>128000</v>
          </cell>
          <cell r="M1554">
            <v>1469000</v>
          </cell>
          <cell r="N1554">
            <v>0</v>
          </cell>
          <cell r="O1554" t="str">
            <v>Обязательства по долгосрочным ссудам</v>
          </cell>
        </row>
        <row r="1555">
          <cell r="A1555">
            <v>9</v>
          </cell>
          <cell r="B1555">
            <v>214</v>
          </cell>
          <cell r="C1555">
            <v>8002</v>
          </cell>
          <cell r="D1555">
            <v>9941.01</v>
          </cell>
          <cell r="E1555">
            <v>0</v>
          </cell>
          <cell r="F1555">
            <v>91905</v>
          </cell>
          <cell r="H1555">
            <v>0</v>
          </cell>
          <cell r="I1555">
            <v>839064</v>
          </cell>
          <cell r="J1555">
            <v>0</v>
          </cell>
          <cell r="K1555">
            <v>497000</v>
          </cell>
          <cell r="L1555">
            <v>10000</v>
          </cell>
          <cell r="M1555">
            <v>1326064</v>
          </cell>
          <cell r="N1555">
            <v>0</v>
          </cell>
          <cell r="O1555" t="str">
            <v>Обязательства по долгосрочным ссудам</v>
          </cell>
        </row>
        <row r="1556">
          <cell r="A1556">
            <v>9</v>
          </cell>
          <cell r="B1556">
            <v>214</v>
          </cell>
          <cell r="C1556">
            <v>8104</v>
          </cell>
          <cell r="D1556">
            <v>9941.01</v>
          </cell>
          <cell r="E1556">
            <v>0</v>
          </cell>
          <cell r="F1556">
            <v>91905</v>
          </cell>
          <cell r="H1556">
            <v>6</v>
          </cell>
          <cell r="I1556">
            <v>2148000</v>
          </cell>
          <cell r="J1556">
            <v>0</v>
          </cell>
          <cell r="K1556">
            <v>0</v>
          </cell>
          <cell r="L1556">
            <v>78000</v>
          </cell>
          <cell r="M1556">
            <v>2070000</v>
          </cell>
          <cell r="N1556">
            <v>0</v>
          </cell>
          <cell r="O1556" t="str">
            <v>Обязательства по долгосрочным ссудам</v>
          </cell>
        </row>
        <row r="1557">
          <cell r="A1557">
            <v>9</v>
          </cell>
          <cell r="B1557">
            <v>214</v>
          </cell>
          <cell r="C1557">
            <v>8137</v>
          </cell>
          <cell r="D1557">
            <v>9941.01</v>
          </cell>
          <cell r="E1557">
            <v>0</v>
          </cell>
          <cell r="F1557">
            <v>91905</v>
          </cell>
          <cell r="H1557">
            <v>6</v>
          </cell>
          <cell r="I1557">
            <v>1686000</v>
          </cell>
          <cell r="J1557">
            <v>0</v>
          </cell>
          <cell r="K1557">
            <v>0</v>
          </cell>
          <cell r="L1557">
            <v>240000</v>
          </cell>
          <cell r="M1557">
            <v>1446000</v>
          </cell>
          <cell r="N1557">
            <v>0</v>
          </cell>
          <cell r="O1557" t="str">
            <v>Обязательства по долгосрочным ссудам</v>
          </cell>
        </row>
        <row r="1558">
          <cell r="A1558">
            <v>9</v>
          </cell>
          <cell r="B1558">
            <v>214</v>
          </cell>
          <cell r="C1558">
            <v>8298</v>
          </cell>
          <cell r="D1558">
            <v>9941.01</v>
          </cell>
          <cell r="E1558">
            <v>0</v>
          </cell>
          <cell r="F1558">
            <v>91905</v>
          </cell>
          <cell r="H1558">
            <v>0</v>
          </cell>
          <cell r="I1558">
            <v>2738750</v>
          </cell>
          <cell r="J1558">
            <v>0</v>
          </cell>
          <cell r="K1558">
            <v>300000</v>
          </cell>
          <cell r="L1558">
            <v>17000</v>
          </cell>
          <cell r="M1558">
            <v>3021750</v>
          </cell>
          <cell r="N1558">
            <v>0</v>
          </cell>
          <cell r="O1558" t="str">
            <v>Обязательства по долгосрочным ссудам</v>
          </cell>
        </row>
        <row r="1559">
          <cell r="A1559">
            <v>9</v>
          </cell>
          <cell r="B1559">
            <v>214</v>
          </cell>
          <cell r="C1559">
            <v>8533</v>
          </cell>
          <cell r="D1559">
            <v>9941.01</v>
          </cell>
          <cell r="E1559">
            <v>0</v>
          </cell>
          <cell r="F1559">
            <v>91905</v>
          </cell>
          <cell r="H1559">
            <v>0</v>
          </cell>
          <cell r="I1559">
            <v>624000</v>
          </cell>
          <cell r="J1559">
            <v>0</v>
          </cell>
          <cell r="K1559">
            <v>0</v>
          </cell>
          <cell r="L1559">
            <v>0</v>
          </cell>
          <cell r="M1559">
            <v>624000</v>
          </cell>
          <cell r="N1559">
            <v>0</v>
          </cell>
          <cell r="O1559" t="str">
            <v>Обязательства по долгосрочным ссудам</v>
          </cell>
        </row>
        <row r="1560">
          <cell r="A1560">
            <v>9</v>
          </cell>
          <cell r="B1560">
            <v>214</v>
          </cell>
          <cell r="C1560">
            <v>8659</v>
          </cell>
          <cell r="D1560">
            <v>9941.01</v>
          </cell>
          <cell r="E1560">
            <v>0</v>
          </cell>
          <cell r="F1560">
            <v>91905</v>
          </cell>
          <cell r="H1560">
            <v>0</v>
          </cell>
          <cell r="I1560">
            <v>2964200</v>
          </cell>
          <cell r="J1560">
            <v>0</v>
          </cell>
          <cell r="K1560">
            <v>0</v>
          </cell>
          <cell r="L1560">
            <v>543700</v>
          </cell>
          <cell r="M1560">
            <v>2420500</v>
          </cell>
          <cell r="N1560">
            <v>0</v>
          </cell>
          <cell r="O1560" t="str">
            <v>Обязательства по долгосрочным ссудам</v>
          </cell>
        </row>
        <row r="1561">
          <cell r="A1561">
            <v>9</v>
          </cell>
          <cell r="B1561">
            <v>214</v>
          </cell>
          <cell r="C1561">
            <v>3563</v>
          </cell>
          <cell r="D1561">
            <v>9953.11</v>
          </cell>
          <cell r="E1561">
            <v>25</v>
          </cell>
          <cell r="F1561">
            <v>95497.13</v>
          </cell>
          <cell r="H1561">
            <v>6</v>
          </cell>
          <cell r="I1561">
            <v>250</v>
          </cell>
          <cell r="J1561">
            <v>0</v>
          </cell>
          <cell r="K1561">
            <v>0</v>
          </cell>
          <cell r="L1561">
            <v>250</v>
          </cell>
          <cell r="M1561">
            <v>0</v>
          </cell>
          <cell r="N1561">
            <v>0</v>
          </cell>
          <cell r="O1561" t="str">
            <v>"Sprint-Mexribonlik" lotereyasining to`langan chiptalari</v>
          </cell>
        </row>
        <row r="1562">
          <cell r="A1562">
            <v>9</v>
          </cell>
          <cell r="B1562">
            <v>214</v>
          </cell>
          <cell r="C1562">
            <v>8104</v>
          </cell>
          <cell r="D1562">
            <v>9953.11</v>
          </cell>
          <cell r="E1562">
            <v>25</v>
          </cell>
          <cell r="F1562">
            <v>95497.13</v>
          </cell>
          <cell r="H1562">
            <v>6</v>
          </cell>
          <cell r="I1562">
            <v>5550</v>
          </cell>
          <cell r="J1562">
            <v>0</v>
          </cell>
          <cell r="K1562">
            <v>4725</v>
          </cell>
          <cell r="L1562">
            <v>10275</v>
          </cell>
          <cell r="M1562">
            <v>0</v>
          </cell>
          <cell r="N1562">
            <v>0</v>
          </cell>
          <cell r="O1562" t="str">
            <v>"Sprint-Mexribonlik" lotereyasining to`langan chiptalari</v>
          </cell>
        </row>
        <row r="1563">
          <cell r="A1563">
            <v>9</v>
          </cell>
          <cell r="B1563">
            <v>214</v>
          </cell>
          <cell r="C1563">
            <v>8137</v>
          </cell>
          <cell r="D1563">
            <v>9953.11</v>
          </cell>
          <cell r="E1563">
            <v>25</v>
          </cell>
          <cell r="F1563">
            <v>95497.13</v>
          </cell>
          <cell r="H1563">
            <v>6</v>
          </cell>
          <cell r="I1563">
            <v>3425</v>
          </cell>
          <cell r="J1563">
            <v>0</v>
          </cell>
          <cell r="K1563">
            <v>0</v>
          </cell>
          <cell r="L1563">
            <v>3425</v>
          </cell>
          <cell r="M1563">
            <v>0</v>
          </cell>
          <cell r="N1563">
            <v>0</v>
          </cell>
          <cell r="O1563" t="str">
            <v>Оплаченные билеты - "Спринт-Мехрибонлик"</v>
          </cell>
        </row>
        <row r="1564">
          <cell r="A1564">
            <v>9</v>
          </cell>
          <cell r="B1564">
            <v>214</v>
          </cell>
          <cell r="C1564">
            <v>8298</v>
          </cell>
          <cell r="D1564">
            <v>9953.1299999999992</v>
          </cell>
          <cell r="E1564">
            <v>25</v>
          </cell>
          <cell r="F1564">
            <v>95497.15</v>
          </cell>
          <cell r="H1564">
            <v>6</v>
          </cell>
          <cell r="I1564">
            <v>0</v>
          </cell>
          <cell r="J1564">
            <v>0</v>
          </cell>
          <cell r="K1564">
            <v>900</v>
          </cell>
          <cell r="L1564">
            <v>900</v>
          </cell>
          <cell r="M1564">
            <v>0</v>
          </cell>
          <cell r="N1564">
            <v>0</v>
          </cell>
          <cell r="O1564" t="str">
            <v>"Umid" lotereyasining to`langan chiptalari</v>
          </cell>
        </row>
        <row r="1565">
          <cell r="A1565">
            <v>9</v>
          </cell>
          <cell r="B1565">
            <v>214</v>
          </cell>
          <cell r="C1565">
            <v>3563</v>
          </cell>
          <cell r="D1565">
            <v>9953.14</v>
          </cell>
          <cell r="E1565">
            <v>25</v>
          </cell>
          <cell r="F1565">
            <v>95497.16</v>
          </cell>
          <cell r="H1565">
            <v>6</v>
          </cell>
          <cell r="I1565">
            <v>17750</v>
          </cell>
          <cell r="J1565">
            <v>0</v>
          </cell>
          <cell r="K1565">
            <v>0</v>
          </cell>
          <cell r="L1565">
            <v>17750</v>
          </cell>
          <cell r="M1565">
            <v>0</v>
          </cell>
          <cell r="N1565">
            <v>0</v>
          </cell>
          <cell r="O1565" t="str">
            <v>"Xazina-3" lotereyasining to`langan chiptalari</v>
          </cell>
        </row>
        <row r="1566">
          <cell r="A1566">
            <v>9</v>
          </cell>
          <cell r="B1566">
            <v>214</v>
          </cell>
          <cell r="C1566">
            <v>5996</v>
          </cell>
          <cell r="D1566">
            <v>9953.14</v>
          </cell>
          <cell r="E1566">
            <v>25</v>
          </cell>
          <cell r="F1566">
            <v>95497.16</v>
          </cell>
          <cell r="H1566">
            <v>6</v>
          </cell>
          <cell r="I1566">
            <v>1900</v>
          </cell>
          <cell r="J1566">
            <v>0</v>
          </cell>
          <cell r="K1566">
            <v>500</v>
          </cell>
          <cell r="L1566">
            <v>2400</v>
          </cell>
          <cell r="M1566">
            <v>0</v>
          </cell>
          <cell r="N1566">
            <v>0</v>
          </cell>
          <cell r="O1566" t="str">
            <v>"Xazina-3" lotereyasining to`langan chiptalari</v>
          </cell>
        </row>
        <row r="1567">
          <cell r="A1567">
            <v>9</v>
          </cell>
          <cell r="B1567">
            <v>214</v>
          </cell>
          <cell r="C1567">
            <v>7845</v>
          </cell>
          <cell r="D1567">
            <v>9953.14</v>
          </cell>
          <cell r="E1567">
            <v>25</v>
          </cell>
          <cell r="F1567">
            <v>95497.16</v>
          </cell>
          <cell r="H1567">
            <v>6</v>
          </cell>
          <cell r="I1567">
            <v>2900</v>
          </cell>
          <cell r="J1567">
            <v>0</v>
          </cell>
          <cell r="K1567">
            <v>0</v>
          </cell>
          <cell r="L1567">
            <v>2900</v>
          </cell>
          <cell r="M1567">
            <v>0</v>
          </cell>
          <cell r="N1567">
            <v>0</v>
          </cell>
          <cell r="O1567" t="str">
            <v>"Xazina-3" lotereyasining to`langan chiptalari</v>
          </cell>
        </row>
        <row r="1568">
          <cell r="A1568">
            <v>9</v>
          </cell>
          <cell r="B1568">
            <v>214</v>
          </cell>
          <cell r="C1568">
            <v>7948</v>
          </cell>
          <cell r="D1568">
            <v>9953.14</v>
          </cell>
          <cell r="E1568">
            <v>25</v>
          </cell>
          <cell r="F1568">
            <v>95497.16</v>
          </cell>
          <cell r="H1568">
            <v>6</v>
          </cell>
          <cell r="I1568">
            <v>2000</v>
          </cell>
          <cell r="J1568">
            <v>0</v>
          </cell>
          <cell r="K1568">
            <v>0</v>
          </cell>
          <cell r="L1568">
            <v>2000</v>
          </cell>
          <cell r="M1568">
            <v>0</v>
          </cell>
          <cell r="N1568">
            <v>0</v>
          </cell>
          <cell r="O1568" t="str">
            <v>"Xazina-3" lotereyasining to`langan chiptalari</v>
          </cell>
        </row>
        <row r="1569">
          <cell r="A1569">
            <v>9</v>
          </cell>
          <cell r="B1569">
            <v>214</v>
          </cell>
          <cell r="C1569">
            <v>8002</v>
          </cell>
          <cell r="D1569">
            <v>9953.14</v>
          </cell>
          <cell r="E1569">
            <v>25</v>
          </cell>
          <cell r="F1569">
            <v>95497.16</v>
          </cell>
          <cell r="H1569">
            <v>6</v>
          </cell>
          <cell r="I1569">
            <v>3000</v>
          </cell>
          <cell r="J1569">
            <v>0</v>
          </cell>
          <cell r="K1569">
            <v>0</v>
          </cell>
          <cell r="L1569">
            <v>3000</v>
          </cell>
          <cell r="M1569">
            <v>0</v>
          </cell>
          <cell r="N1569">
            <v>0</v>
          </cell>
          <cell r="O1569" t="str">
            <v>"Xazina-3" lotereyasining to`langan chiptalari</v>
          </cell>
        </row>
        <row r="1570">
          <cell r="A1570">
            <v>9</v>
          </cell>
          <cell r="B1570">
            <v>214</v>
          </cell>
          <cell r="C1570">
            <v>8104</v>
          </cell>
          <cell r="D1570">
            <v>9953.14</v>
          </cell>
          <cell r="E1570">
            <v>25</v>
          </cell>
          <cell r="F1570">
            <v>95497.16</v>
          </cell>
          <cell r="H1570">
            <v>0</v>
          </cell>
          <cell r="I1570">
            <v>500</v>
          </cell>
          <cell r="J1570">
            <v>0</v>
          </cell>
          <cell r="K1570">
            <v>0</v>
          </cell>
          <cell r="L1570">
            <v>500</v>
          </cell>
          <cell r="M1570">
            <v>0</v>
          </cell>
          <cell r="N1570">
            <v>0</v>
          </cell>
          <cell r="O1570" t="str">
            <v>"Xazina-3" lotereyasining to`langan chiptalari</v>
          </cell>
        </row>
        <row r="1571">
          <cell r="A1571">
            <v>9</v>
          </cell>
          <cell r="B1571">
            <v>214</v>
          </cell>
          <cell r="C1571">
            <v>8137</v>
          </cell>
          <cell r="D1571">
            <v>9953.14</v>
          </cell>
          <cell r="E1571">
            <v>25</v>
          </cell>
          <cell r="F1571">
            <v>95497.16</v>
          </cell>
          <cell r="H1571">
            <v>6</v>
          </cell>
          <cell r="I1571">
            <v>700</v>
          </cell>
          <cell r="J1571">
            <v>0</v>
          </cell>
          <cell r="K1571">
            <v>0</v>
          </cell>
          <cell r="L1571">
            <v>700</v>
          </cell>
          <cell r="M1571">
            <v>0</v>
          </cell>
          <cell r="N1571">
            <v>0</v>
          </cell>
          <cell r="O1571" t="str">
            <v>Оплаченные билеты - "Хазина-3"</v>
          </cell>
        </row>
        <row r="1572">
          <cell r="A1572">
            <v>9</v>
          </cell>
          <cell r="B1572">
            <v>214</v>
          </cell>
          <cell r="C1572">
            <v>8298</v>
          </cell>
          <cell r="D1572">
            <v>9953.14</v>
          </cell>
          <cell r="E1572">
            <v>25</v>
          </cell>
          <cell r="F1572">
            <v>95497.16</v>
          </cell>
          <cell r="H1572">
            <v>6</v>
          </cell>
          <cell r="I1572">
            <v>100</v>
          </cell>
          <cell r="J1572">
            <v>0</v>
          </cell>
          <cell r="K1572">
            <v>300</v>
          </cell>
          <cell r="L1572">
            <v>400</v>
          </cell>
          <cell r="M1572">
            <v>0</v>
          </cell>
          <cell r="N1572">
            <v>0</v>
          </cell>
          <cell r="O1572" t="str">
            <v>"Xazina-3" lotereyasining to`langan chiptalari</v>
          </cell>
        </row>
        <row r="1573">
          <cell r="A1573">
            <v>9</v>
          </cell>
          <cell r="B1573">
            <v>214</v>
          </cell>
          <cell r="C1573">
            <v>8533</v>
          </cell>
          <cell r="D1573">
            <v>9953.14</v>
          </cell>
          <cell r="E1573">
            <v>25</v>
          </cell>
          <cell r="F1573">
            <v>95497.16</v>
          </cell>
          <cell r="H1573">
            <v>6</v>
          </cell>
          <cell r="I1573">
            <v>400</v>
          </cell>
          <cell r="J1573">
            <v>0</v>
          </cell>
          <cell r="K1573">
            <v>0</v>
          </cell>
          <cell r="L1573">
            <v>400</v>
          </cell>
          <cell r="M1573">
            <v>0</v>
          </cell>
          <cell r="N1573">
            <v>0</v>
          </cell>
          <cell r="O1573" t="str">
            <v>"Xazina-3" lotereyasining to`langan chiptalari</v>
          </cell>
        </row>
        <row r="1574">
          <cell r="A1574">
            <v>9</v>
          </cell>
          <cell r="B1574">
            <v>214</v>
          </cell>
          <cell r="C1574">
            <v>3563</v>
          </cell>
          <cell r="D1574">
            <v>9953.15</v>
          </cell>
          <cell r="E1574">
            <v>25</v>
          </cell>
          <cell r="F1574">
            <v>95497.17</v>
          </cell>
          <cell r="H1574">
            <v>6</v>
          </cell>
          <cell r="I1574">
            <v>127200</v>
          </cell>
          <cell r="J1574">
            <v>0</v>
          </cell>
          <cell r="K1574">
            <v>200</v>
          </cell>
          <cell r="L1574">
            <v>127400</v>
          </cell>
          <cell r="M1574">
            <v>0</v>
          </cell>
          <cell r="N1574">
            <v>0</v>
          </cell>
          <cell r="O1574" t="str">
            <v>"Inson manfaatlari uchun-2" lotereyasining to`langan chiptal</v>
          </cell>
        </row>
        <row r="1575">
          <cell r="A1575">
            <v>9</v>
          </cell>
          <cell r="B1575">
            <v>214</v>
          </cell>
          <cell r="C1575">
            <v>5996</v>
          </cell>
          <cell r="D1575">
            <v>9953.15</v>
          </cell>
          <cell r="E1575">
            <v>25</v>
          </cell>
          <cell r="F1575">
            <v>95497.17</v>
          </cell>
          <cell r="H1575">
            <v>6</v>
          </cell>
          <cell r="I1575">
            <v>2400</v>
          </cell>
          <cell r="J1575">
            <v>0</v>
          </cell>
          <cell r="K1575">
            <v>500</v>
          </cell>
          <cell r="L1575">
            <v>2900</v>
          </cell>
          <cell r="M1575">
            <v>0</v>
          </cell>
          <cell r="N1575">
            <v>0</v>
          </cell>
          <cell r="O1575" t="str">
            <v>"Inson manfaatlari uchun-2" lotereyasining to`langan chiptal</v>
          </cell>
        </row>
        <row r="1576">
          <cell r="A1576">
            <v>9</v>
          </cell>
          <cell r="B1576">
            <v>214</v>
          </cell>
          <cell r="C1576">
            <v>7783</v>
          </cell>
          <cell r="D1576">
            <v>9953.15</v>
          </cell>
          <cell r="E1576">
            <v>25</v>
          </cell>
          <cell r="F1576">
            <v>95497.17</v>
          </cell>
          <cell r="H1576">
            <v>6</v>
          </cell>
          <cell r="I1576">
            <v>700</v>
          </cell>
          <cell r="J1576">
            <v>0</v>
          </cell>
          <cell r="K1576">
            <v>1000</v>
          </cell>
          <cell r="L1576">
            <v>0</v>
          </cell>
          <cell r="M1576">
            <v>1700</v>
          </cell>
          <cell r="N1576">
            <v>0</v>
          </cell>
          <cell r="O1576" t="str">
            <v>"Inson manfaatlari uchun-2" lotereyasining to`langan chiptal</v>
          </cell>
        </row>
        <row r="1577">
          <cell r="A1577">
            <v>9</v>
          </cell>
          <cell r="B1577">
            <v>214</v>
          </cell>
          <cell r="C1577">
            <v>7845</v>
          </cell>
          <cell r="D1577">
            <v>9953.15</v>
          </cell>
          <cell r="E1577">
            <v>25</v>
          </cell>
          <cell r="F1577">
            <v>95497.17</v>
          </cell>
          <cell r="H1577">
            <v>6</v>
          </cell>
          <cell r="I1577">
            <v>12600</v>
          </cell>
          <cell r="J1577">
            <v>0</v>
          </cell>
          <cell r="K1577">
            <v>600</v>
          </cell>
          <cell r="L1577">
            <v>13200</v>
          </cell>
          <cell r="M1577">
            <v>0</v>
          </cell>
          <cell r="N1577">
            <v>0</v>
          </cell>
          <cell r="O1577" t="str">
            <v>"Inson manfaatlari uchun-2" lotereyasining to`langan chiptal</v>
          </cell>
        </row>
        <row r="1578">
          <cell r="A1578">
            <v>9</v>
          </cell>
          <cell r="B1578">
            <v>214</v>
          </cell>
          <cell r="C1578">
            <v>7948</v>
          </cell>
          <cell r="D1578">
            <v>9953.15</v>
          </cell>
          <cell r="E1578">
            <v>25</v>
          </cell>
          <cell r="F1578">
            <v>95497.17</v>
          </cell>
          <cell r="H1578">
            <v>6</v>
          </cell>
          <cell r="I1578">
            <v>32800</v>
          </cell>
          <cell r="J1578">
            <v>0</v>
          </cell>
          <cell r="K1578">
            <v>2200</v>
          </cell>
          <cell r="L1578">
            <v>35000</v>
          </cell>
          <cell r="M1578">
            <v>0</v>
          </cell>
          <cell r="N1578">
            <v>0</v>
          </cell>
          <cell r="O1578" t="str">
            <v>"Inson manfaatlari uchun-2" lotereyasining to`langan chiptal</v>
          </cell>
        </row>
        <row r="1579">
          <cell r="A1579">
            <v>9</v>
          </cell>
          <cell r="B1579">
            <v>214</v>
          </cell>
          <cell r="C1579">
            <v>8002</v>
          </cell>
          <cell r="D1579">
            <v>9953.15</v>
          </cell>
          <cell r="E1579">
            <v>25</v>
          </cell>
          <cell r="F1579">
            <v>95497.17</v>
          </cell>
          <cell r="H1579">
            <v>6</v>
          </cell>
          <cell r="I1579">
            <v>8700</v>
          </cell>
          <cell r="J1579">
            <v>0</v>
          </cell>
          <cell r="K1579">
            <v>200</v>
          </cell>
          <cell r="L1579">
            <v>8900</v>
          </cell>
          <cell r="M1579">
            <v>0</v>
          </cell>
          <cell r="N1579">
            <v>0</v>
          </cell>
          <cell r="O1579" t="str">
            <v>"Inson manfaatlari uchun-2" lotereyasining to`langan chiptal</v>
          </cell>
        </row>
        <row r="1580">
          <cell r="A1580">
            <v>9</v>
          </cell>
          <cell r="B1580">
            <v>214</v>
          </cell>
          <cell r="C1580">
            <v>8104</v>
          </cell>
          <cell r="D1580">
            <v>9953.15</v>
          </cell>
          <cell r="E1580">
            <v>25</v>
          </cell>
          <cell r="F1580">
            <v>95497.17</v>
          </cell>
          <cell r="H1580">
            <v>6</v>
          </cell>
          <cell r="I1580">
            <v>29100</v>
          </cell>
          <cell r="J1580">
            <v>0</v>
          </cell>
          <cell r="K1580">
            <v>300</v>
          </cell>
          <cell r="L1580">
            <v>29400</v>
          </cell>
          <cell r="M1580">
            <v>0</v>
          </cell>
          <cell r="N1580">
            <v>0</v>
          </cell>
          <cell r="O1580" t="str">
            <v>"Inson manfaatlari uchun-2" lotereyasining to`langan chiptal</v>
          </cell>
        </row>
        <row r="1581">
          <cell r="A1581">
            <v>9</v>
          </cell>
          <cell r="B1581">
            <v>214</v>
          </cell>
          <cell r="C1581">
            <v>8137</v>
          </cell>
          <cell r="D1581">
            <v>9953.15</v>
          </cell>
          <cell r="E1581">
            <v>25</v>
          </cell>
          <cell r="F1581">
            <v>95497.17</v>
          </cell>
          <cell r="H1581">
            <v>6</v>
          </cell>
          <cell r="I1581">
            <v>6000</v>
          </cell>
          <cell r="J1581">
            <v>0</v>
          </cell>
          <cell r="K1581">
            <v>100</v>
          </cell>
          <cell r="L1581">
            <v>6100</v>
          </cell>
          <cell r="M1581">
            <v>0</v>
          </cell>
          <cell r="N1581">
            <v>0</v>
          </cell>
          <cell r="O1581" t="str">
            <v>Оплаченные билеты - "Инсон манфаатлари учун-2"</v>
          </cell>
        </row>
        <row r="1582">
          <cell r="A1582">
            <v>9</v>
          </cell>
          <cell r="B1582">
            <v>214</v>
          </cell>
          <cell r="C1582">
            <v>8298</v>
          </cell>
          <cell r="D1582">
            <v>9953.15</v>
          </cell>
          <cell r="E1582">
            <v>25</v>
          </cell>
          <cell r="F1582">
            <v>95497.17</v>
          </cell>
          <cell r="H1582">
            <v>6</v>
          </cell>
          <cell r="I1582">
            <v>2700</v>
          </cell>
          <cell r="J1582">
            <v>0</v>
          </cell>
          <cell r="K1582">
            <v>100</v>
          </cell>
          <cell r="L1582">
            <v>2800</v>
          </cell>
          <cell r="M1582">
            <v>0</v>
          </cell>
          <cell r="N1582">
            <v>0</v>
          </cell>
          <cell r="O1582" t="str">
            <v>"Inson manfaatlari uchun-2" lotereyasining to`langan chiptal</v>
          </cell>
        </row>
        <row r="1583">
          <cell r="A1583">
            <v>9</v>
          </cell>
          <cell r="B1583">
            <v>214</v>
          </cell>
          <cell r="C1583">
            <v>8533</v>
          </cell>
          <cell r="D1583">
            <v>9953.15</v>
          </cell>
          <cell r="E1583">
            <v>25</v>
          </cell>
          <cell r="F1583">
            <v>95497.17</v>
          </cell>
          <cell r="H1583">
            <v>6</v>
          </cell>
          <cell r="I1583">
            <v>1500</v>
          </cell>
          <cell r="J1583">
            <v>0</v>
          </cell>
          <cell r="K1583">
            <v>0</v>
          </cell>
          <cell r="L1583">
            <v>1500</v>
          </cell>
          <cell r="M1583">
            <v>0</v>
          </cell>
          <cell r="N1583">
            <v>0</v>
          </cell>
          <cell r="O1583" t="str">
            <v>"Inson manfaatlari uchun-2" lotereyasining to`langan chiptal</v>
          </cell>
        </row>
        <row r="1584">
          <cell r="A1584">
            <v>9</v>
          </cell>
          <cell r="B1584">
            <v>214</v>
          </cell>
          <cell r="C1584">
            <v>8659</v>
          </cell>
          <cell r="D1584">
            <v>9953.15</v>
          </cell>
          <cell r="E1584">
            <v>25</v>
          </cell>
          <cell r="F1584">
            <v>95497.17</v>
          </cell>
          <cell r="H1584">
            <v>6</v>
          </cell>
          <cell r="I1584">
            <v>100</v>
          </cell>
          <cell r="J1584">
            <v>0</v>
          </cell>
          <cell r="K1584">
            <v>900</v>
          </cell>
          <cell r="L1584">
            <v>1000</v>
          </cell>
          <cell r="M1584">
            <v>0</v>
          </cell>
          <cell r="N1584">
            <v>0</v>
          </cell>
          <cell r="O1584" t="str">
            <v>"Inson manfaatlari uchun-2" lotereyasining to`langan chiptal</v>
          </cell>
        </row>
        <row r="1585">
          <cell r="A1585">
            <v>9</v>
          </cell>
          <cell r="B1585">
            <v>214</v>
          </cell>
          <cell r="C1585">
            <v>3563</v>
          </cell>
          <cell r="D1585">
            <v>9953.17</v>
          </cell>
          <cell r="E1585">
            <v>25</v>
          </cell>
          <cell r="F1585">
            <v>95497.279999999999</v>
          </cell>
          <cell r="H1585">
            <v>6</v>
          </cell>
          <cell r="I1585">
            <v>40700</v>
          </cell>
          <cell r="J1585">
            <v>0</v>
          </cell>
          <cell r="K1585">
            <v>100</v>
          </cell>
          <cell r="L1585">
            <v>40800</v>
          </cell>
          <cell r="M1585">
            <v>0</v>
          </cell>
          <cell r="N1585">
            <v>0</v>
          </cell>
          <cell r="O1585" t="str">
            <v>"Oila quvonchi" lotereyasining to`langan chiptalari</v>
          </cell>
        </row>
        <row r="1586">
          <cell r="A1586">
            <v>9</v>
          </cell>
          <cell r="B1586">
            <v>214</v>
          </cell>
          <cell r="C1586">
            <v>5996</v>
          </cell>
          <cell r="D1586">
            <v>9953.17</v>
          </cell>
          <cell r="E1586">
            <v>25</v>
          </cell>
          <cell r="F1586">
            <v>95497.279999999999</v>
          </cell>
          <cell r="H1586">
            <v>6</v>
          </cell>
          <cell r="I1586">
            <v>300</v>
          </cell>
          <cell r="J1586">
            <v>0</v>
          </cell>
          <cell r="K1586">
            <v>0</v>
          </cell>
          <cell r="L1586">
            <v>300</v>
          </cell>
          <cell r="M1586">
            <v>0</v>
          </cell>
          <cell r="N1586">
            <v>0</v>
          </cell>
          <cell r="O1586" t="str">
            <v>"Oila quvonchi" lotereyasining to`langan chiptalari</v>
          </cell>
        </row>
        <row r="1587">
          <cell r="A1587">
            <v>9</v>
          </cell>
          <cell r="B1587">
            <v>214</v>
          </cell>
          <cell r="C1587">
            <v>7783</v>
          </cell>
          <cell r="D1587">
            <v>9953.17</v>
          </cell>
          <cell r="E1587">
            <v>25</v>
          </cell>
          <cell r="F1587">
            <v>95497.279999999999</v>
          </cell>
          <cell r="H1587">
            <v>6</v>
          </cell>
          <cell r="I1587">
            <v>300</v>
          </cell>
          <cell r="J1587">
            <v>0</v>
          </cell>
          <cell r="K1587">
            <v>0</v>
          </cell>
          <cell r="L1587">
            <v>300</v>
          </cell>
          <cell r="M1587">
            <v>0</v>
          </cell>
          <cell r="N1587">
            <v>0</v>
          </cell>
          <cell r="O1587" t="str">
            <v>"Oila quvonchi" lotereyasining to`langan chiptalari</v>
          </cell>
        </row>
        <row r="1588">
          <cell r="A1588">
            <v>9</v>
          </cell>
          <cell r="B1588">
            <v>214</v>
          </cell>
          <cell r="C1588">
            <v>7845</v>
          </cell>
          <cell r="D1588">
            <v>9953.17</v>
          </cell>
          <cell r="E1588">
            <v>25</v>
          </cell>
          <cell r="F1588">
            <v>95497.279999999999</v>
          </cell>
          <cell r="H1588">
            <v>6</v>
          </cell>
          <cell r="I1588">
            <v>2500</v>
          </cell>
          <cell r="J1588">
            <v>0</v>
          </cell>
          <cell r="K1588">
            <v>0</v>
          </cell>
          <cell r="L1588">
            <v>2500</v>
          </cell>
          <cell r="M1588">
            <v>0</v>
          </cell>
          <cell r="N1588">
            <v>0</v>
          </cell>
          <cell r="O1588" t="str">
            <v>"Oila quvonchi" lotereyasining to`langan chiptalari</v>
          </cell>
        </row>
        <row r="1589">
          <cell r="A1589">
            <v>9</v>
          </cell>
          <cell r="B1589">
            <v>214</v>
          </cell>
          <cell r="C1589">
            <v>7948</v>
          </cell>
          <cell r="D1589">
            <v>9953.17</v>
          </cell>
          <cell r="E1589">
            <v>25</v>
          </cell>
          <cell r="F1589">
            <v>95497.279999999999</v>
          </cell>
          <cell r="H1589">
            <v>6</v>
          </cell>
          <cell r="I1589">
            <v>200</v>
          </cell>
          <cell r="J1589">
            <v>0</v>
          </cell>
          <cell r="K1589">
            <v>0</v>
          </cell>
          <cell r="L1589">
            <v>200</v>
          </cell>
          <cell r="M1589">
            <v>0</v>
          </cell>
          <cell r="N1589">
            <v>0</v>
          </cell>
          <cell r="O1589" t="str">
            <v>"Oila quvonchi" lotereyasining to`langan chiptalari</v>
          </cell>
        </row>
        <row r="1590">
          <cell r="A1590">
            <v>9</v>
          </cell>
          <cell r="B1590">
            <v>214</v>
          </cell>
          <cell r="C1590">
            <v>8002</v>
          </cell>
          <cell r="D1590">
            <v>9953.17</v>
          </cell>
          <cell r="E1590">
            <v>25</v>
          </cell>
          <cell r="F1590">
            <v>95497.279999999999</v>
          </cell>
          <cell r="H1590">
            <v>6</v>
          </cell>
          <cell r="I1590">
            <v>900</v>
          </cell>
          <cell r="J1590">
            <v>0</v>
          </cell>
          <cell r="K1590">
            <v>600</v>
          </cell>
          <cell r="L1590">
            <v>1500</v>
          </cell>
          <cell r="M1590">
            <v>0</v>
          </cell>
          <cell r="N1590">
            <v>0</v>
          </cell>
          <cell r="O1590" t="str">
            <v>"Oila quvonchi" lotereyasining to`langan chiptalari</v>
          </cell>
        </row>
        <row r="1591">
          <cell r="A1591">
            <v>9</v>
          </cell>
          <cell r="B1591">
            <v>214</v>
          </cell>
          <cell r="C1591">
            <v>8104</v>
          </cell>
          <cell r="D1591">
            <v>9953.17</v>
          </cell>
          <cell r="E1591">
            <v>25</v>
          </cell>
          <cell r="F1591">
            <v>95497.279999999999</v>
          </cell>
          <cell r="H1591">
            <v>6</v>
          </cell>
          <cell r="I1591">
            <v>600</v>
          </cell>
          <cell r="J1591">
            <v>0</v>
          </cell>
          <cell r="K1591">
            <v>0</v>
          </cell>
          <cell r="L1591">
            <v>600</v>
          </cell>
          <cell r="M1591">
            <v>0</v>
          </cell>
          <cell r="N1591">
            <v>0</v>
          </cell>
          <cell r="O1591" t="str">
            <v>"Oila quvonchi" lotereyasining to`langan chiptalari</v>
          </cell>
        </row>
        <row r="1592">
          <cell r="A1592">
            <v>9</v>
          </cell>
          <cell r="B1592">
            <v>214</v>
          </cell>
          <cell r="C1592">
            <v>8137</v>
          </cell>
          <cell r="D1592">
            <v>9953.17</v>
          </cell>
          <cell r="E1592">
            <v>25</v>
          </cell>
          <cell r="F1592">
            <v>95497.279999999999</v>
          </cell>
          <cell r="H1592">
            <v>6</v>
          </cell>
          <cell r="I1592">
            <v>12200</v>
          </cell>
          <cell r="J1592">
            <v>0</v>
          </cell>
          <cell r="K1592">
            <v>200</v>
          </cell>
          <cell r="L1592">
            <v>12400</v>
          </cell>
          <cell r="M1592">
            <v>0</v>
          </cell>
          <cell r="N1592">
            <v>0</v>
          </cell>
          <cell r="O1592" t="str">
            <v>Оплаченные билеты - "Оила кувончи"</v>
          </cell>
        </row>
        <row r="1593">
          <cell r="A1593">
            <v>9</v>
          </cell>
          <cell r="B1593">
            <v>214</v>
          </cell>
          <cell r="C1593">
            <v>8298</v>
          </cell>
          <cell r="D1593">
            <v>9953.17</v>
          </cell>
          <cell r="E1593">
            <v>25</v>
          </cell>
          <cell r="F1593">
            <v>95497.279999999999</v>
          </cell>
          <cell r="H1593">
            <v>6</v>
          </cell>
          <cell r="I1593">
            <v>700</v>
          </cell>
          <cell r="J1593">
            <v>0</v>
          </cell>
          <cell r="K1593">
            <v>0</v>
          </cell>
          <cell r="L1593">
            <v>700</v>
          </cell>
          <cell r="M1593">
            <v>0</v>
          </cell>
          <cell r="N1593">
            <v>0</v>
          </cell>
          <cell r="O1593" t="str">
            <v>"Oila quvonchi" lotereyasining to`langan chiptalari</v>
          </cell>
        </row>
        <row r="1594">
          <cell r="A1594">
            <v>9</v>
          </cell>
          <cell r="B1594">
            <v>214</v>
          </cell>
          <cell r="C1594">
            <v>3563</v>
          </cell>
          <cell r="D1594">
            <v>9953.19</v>
          </cell>
          <cell r="E1594">
            <v>25</v>
          </cell>
          <cell r="F1594">
            <v>95497.3</v>
          </cell>
          <cell r="H1594">
            <v>6</v>
          </cell>
          <cell r="I1594">
            <v>73750</v>
          </cell>
          <cell r="J1594">
            <v>0</v>
          </cell>
          <cell r="K1594">
            <v>1750</v>
          </cell>
          <cell r="L1594">
            <v>75500</v>
          </cell>
          <cell r="M1594">
            <v>0</v>
          </cell>
          <cell r="N1594">
            <v>0</v>
          </cell>
          <cell r="O1594" t="str">
            <v>"Maxalla" lotereyasining to`langan chiptalari</v>
          </cell>
        </row>
        <row r="1595">
          <cell r="A1595">
            <v>9</v>
          </cell>
          <cell r="B1595">
            <v>214</v>
          </cell>
          <cell r="C1595">
            <v>5996</v>
          </cell>
          <cell r="D1595">
            <v>9953.19</v>
          </cell>
          <cell r="E1595">
            <v>25</v>
          </cell>
          <cell r="F1595">
            <v>95497.3</v>
          </cell>
          <cell r="H1595">
            <v>6</v>
          </cell>
          <cell r="I1595">
            <v>5000</v>
          </cell>
          <cell r="J1595">
            <v>0</v>
          </cell>
          <cell r="K1595">
            <v>900</v>
          </cell>
          <cell r="L1595">
            <v>5900</v>
          </cell>
          <cell r="M1595">
            <v>0</v>
          </cell>
          <cell r="N1595">
            <v>0</v>
          </cell>
          <cell r="O1595" t="str">
            <v>"Maxalla" lotereyasining to`langan chiptalari</v>
          </cell>
        </row>
        <row r="1596">
          <cell r="A1596">
            <v>9</v>
          </cell>
          <cell r="B1596">
            <v>214</v>
          </cell>
          <cell r="C1596">
            <v>7783</v>
          </cell>
          <cell r="D1596">
            <v>9953.19</v>
          </cell>
          <cell r="E1596">
            <v>25</v>
          </cell>
          <cell r="F1596">
            <v>95497.3</v>
          </cell>
          <cell r="H1596">
            <v>6</v>
          </cell>
          <cell r="I1596">
            <v>7450</v>
          </cell>
          <cell r="J1596">
            <v>0</v>
          </cell>
          <cell r="K1596">
            <v>1000</v>
          </cell>
          <cell r="L1596">
            <v>8450</v>
          </cell>
          <cell r="M1596">
            <v>0</v>
          </cell>
          <cell r="N1596">
            <v>0</v>
          </cell>
          <cell r="O1596" t="str">
            <v>"Maxalla" lotereyasining to`langan chiptalari</v>
          </cell>
        </row>
        <row r="1597">
          <cell r="A1597">
            <v>9</v>
          </cell>
          <cell r="B1597">
            <v>214</v>
          </cell>
          <cell r="C1597">
            <v>7845</v>
          </cell>
          <cell r="D1597">
            <v>9953.19</v>
          </cell>
          <cell r="E1597">
            <v>25</v>
          </cell>
          <cell r="F1597">
            <v>95497.3</v>
          </cell>
          <cell r="H1597">
            <v>6</v>
          </cell>
          <cell r="I1597">
            <v>61500</v>
          </cell>
          <cell r="J1597">
            <v>0</v>
          </cell>
          <cell r="K1597">
            <v>3250</v>
          </cell>
          <cell r="L1597">
            <v>64750</v>
          </cell>
          <cell r="M1597">
            <v>0</v>
          </cell>
          <cell r="N1597">
            <v>0</v>
          </cell>
          <cell r="O1597" t="str">
            <v>"Maxalla" lotereyasining to`langan chiptalari</v>
          </cell>
        </row>
        <row r="1598">
          <cell r="A1598">
            <v>9</v>
          </cell>
          <cell r="B1598">
            <v>214</v>
          </cell>
          <cell r="C1598">
            <v>7948</v>
          </cell>
          <cell r="D1598">
            <v>9953.19</v>
          </cell>
          <cell r="E1598">
            <v>25</v>
          </cell>
          <cell r="F1598">
            <v>95497.3</v>
          </cell>
          <cell r="H1598">
            <v>6</v>
          </cell>
          <cell r="I1598">
            <v>80700</v>
          </cell>
          <cell r="J1598">
            <v>0</v>
          </cell>
          <cell r="K1598">
            <v>1400</v>
          </cell>
          <cell r="L1598">
            <v>82100</v>
          </cell>
          <cell r="M1598">
            <v>0</v>
          </cell>
          <cell r="N1598">
            <v>0</v>
          </cell>
          <cell r="O1598" t="str">
            <v>"Maxalla" lotereyasining to`langan chiptalari</v>
          </cell>
        </row>
        <row r="1599">
          <cell r="A1599">
            <v>9</v>
          </cell>
          <cell r="B1599">
            <v>214</v>
          </cell>
          <cell r="C1599">
            <v>8002</v>
          </cell>
          <cell r="D1599">
            <v>9953.19</v>
          </cell>
          <cell r="E1599">
            <v>25</v>
          </cell>
          <cell r="F1599">
            <v>95497.3</v>
          </cell>
          <cell r="H1599">
            <v>6</v>
          </cell>
          <cell r="I1599">
            <v>59300</v>
          </cell>
          <cell r="J1599">
            <v>0</v>
          </cell>
          <cell r="K1599">
            <v>2650</v>
          </cell>
          <cell r="L1599">
            <v>61950</v>
          </cell>
          <cell r="M1599">
            <v>0</v>
          </cell>
          <cell r="N1599">
            <v>0</v>
          </cell>
          <cell r="O1599" t="str">
            <v>"Maxalla" lotereyasining to`langan chiptalari</v>
          </cell>
        </row>
        <row r="1600">
          <cell r="A1600">
            <v>9</v>
          </cell>
          <cell r="B1600">
            <v>214</v>
          </cell>
          <cell r="C1600">
            <v>8104</v>
          </cell>
          <cell r="D1600">
            <v>9953.19</v>
          </cell>
          <cell r="E1600">
            <v>25</v>
          </cell>
          <cell r="F1600">
            <v>95497.3</v>
          </cell>
          <cell r="H1600">
            <v>6</v>
          </cell>
          <cell r="I1600">
            <v>48250</v>
          </cell>
          <cell r="J1600">
            <v>0</v>
          </cell>
          <cell r="K1600">
            <v>1700</v>
          </cell>
          <cell r="L1600">
            <v>49950</v>
          </cell>
          <cell r="M1600">
            <v>0</v>
          </cell>
          <cell r="N1600">
            <v>0</v>
          </cell>
          <cell r="O1600" t="str">
            <v>"Maxalla" lotereyasining to`langan chiptalari</v>
          </cell>
        </row>
        <row r="1601">
          <cell r="A1601">
            <v>9</v>
          </cell>
          <cell r="B1601">
            <v>214</v>
          </cell>
          <cell r="C1601">
            <v>8137</v>
          </cell>
          <cell r="D1601">
            <v>9953.19</v>
          </cell>
          <cell r="E1601">
            <v>25</v>
          </cell>
          <cell r="F1601">
            <v>95497.3</v>
          </cell>
          <cell r="H1601">
            <v>6</v>
          </cell>
          <cell r="I1601">
            <v>8600</v>
          </cell>
          <cell r="J1601">
            <v>0</v>
          </cell>
          <cell r="K1601">
            <v>100</v>
          </cell>
          <cell r="L1601">
            <v>8700</v>
          </cell>
          <cell r="M1601">
            <v>0</v>
          </cell>
          <cell r="N1601">
            <v>0</v>
          </cell>
          <cell r="O1601" t="str">
            <v>Оплаченные билеты - "Махалла"</v>
          </cell>
        </row>
        <row r="1602">
          <cell r="A1602">
            <v>9</v>
          </cell>
          <cell r="B1602">
            <v>214</v>
          </cell>
          <cell r="C1602">
            <v>8298</v>
          </cell>
          <cell r="D1602">
            <v>9953.19</v>
          </cell>
          <cell r="E1602">
            <v>25</v>
          </cell>
          <cell r="F1602">
            <v>95497.3</v>
          </cell>
          <cell r="H1602">
            <v>6</v>
          </cell>
          <cell r="I1602">
            <v>43550</v>
          </cell>
          <cell r="J1602">
            <v>0</v>
          </cell>
          <cell r="K1602">
            <v>600</v>
          </cell>
          <cell r="L1602">
            <v>44150</v>
          </cell>
          <cell r="M1602">
            <v>0</v>
          </cell>
          <cell r="N1602">
            <v>0</v>
          </cell>
          <cell r="O1602" t="str">
            <v>"Maxalla" lotereyasining to`langan chiptalari</v>
          </cell>
        </row>
        <row r="1603">
          <cell r="A1603">
            <v>9</v>
          </cell>
          <cell r="B1603">
            <v>214</v>
          </cell>
          <cell r="C1603">
            <v>8533</v>
          </cell>
          <cell r="D1603">
            <v>9953.19</v>
          </cell>
          <cell r="E1603">
            <v>25</v>
          </cell>
          <cell r="F1603">
            <v>95497.3</v>
          </cell>
          <cell r="H1603">
            <v>6</v>
          </cell>
          <cell r="I1603">
            <v>15500</v>
          </cell>
          <cell r="J1603">
            <v>0</v>
          </cell>
          <cell r="K1603">
            <v>0</v>
          </cell>
          <cell r="L1603">
            <v>15500</v>
          </cell>
          <cell r="M1603">
            <v>0</v>
          </cell>
          <cell r="N1603">
            <v>0</v>
          </cell>
          <cell r="O1603" t="str">
            <v>"Maxalla" lotereyasining to`langan chiptalari</v>
          </cell>
        </row>
        <row r="1604">
          <cell r="A1604">
            <v>9</v>
          </cell>
          <cell r="B1604">
            <v>214</v>
          </cell>
          <cell r="C1604">
            <v>8659</v>
          </cell>
          <cell r="D1604">
            <v>9953.19</v>
          </cell>
          <cell r="E1604">
            <v>25</v>
          </cell>
          <cell r="F1604">
            <v>95497.3</v>
          </cell>
          <cell r="H1604">
            <v>6</v>
          </cell>
          <cell r="I1604">
            <v>400</v>
          </cell>
          <cell r="J1604">
            <v>0</v>
          </cell>
          <cell r="K1604">
            <v>0</v>
          </cell>
          <cell r="L1604">
            <v>400</v>
          </cell>
          <cell r="M1604">
            <v>0</v>
          </cell>
          <cell r="N1604">
            <v>0</v>
          </cell>
          <cell r="O1604" t="str">
            <v>"Maxalla" lotereyasining to`langan chiptalari</v>
          </cell>
        </row>
        <row r="1605">
          <cell r="A1605">
            <v>9</v>
          </cell>
          <cell r="B1605">
            <v>214</v>
          </cell>
          <cell r="C1605">
            <v>3563</v>
          </cell>
          <cell r="D1605">
            <v>9953.2000000000007</v>
          </cell>
          <cell r="E1605">
            <v>25</v>
          </cell>
          <cell r="F1605">
            <v>95497.31</v>
          </cell>
          <cell r="H1605">
            <v>6</v>
          </cell>
          <cell r="I1605">
            <v>89560</v>
          </cell>
          <cell r="J1605">
            <v>0</v>
          </cell>
          <cell r="K1605">
            <v>4040</v>
          </cell>
          <cell r="L1605">
            <v>93600</v>
          </cell>
          <cell r="M1605">
            <v>0</v>
          </cell>
          <cell r="N1605">
            <v>0</v>
          </cell>
          <cell r="O1605" t="str">
            <v>"Toshkent" lotereyasining to`langan chiptalari</v>
          </cell>
        </row>
        <row r="1606">
          <cell r="A1606">
            <v>9</v>
          </cell>
          <cell r="B1606">
            <v>214</v>
          </cell>
          <cell r="C1606">
            <v>5996</v>
          </cell>
          <cell r="D1606">
            <v>9953.2000000000007</v>
          </cell>
          <cell r="E1606">
            <v>25</v>
          </cell>
          <cell r="F1606">
            <v>95497.31</v>
          </cell>
          <cell r="H1606">
            <v>6</v>
          </cell>
          <cell r="I1606">
            <v>0</v>
          </cell>
          <cell r="J1606">
            <v>0</v>
          </cell>
          <cell r="K1606">
            <v>95560</v>
          </cell>
          <cell r="L1606">
            <v>94140</v>
          </cell>
          <cell r="M1606">
            <v>1420</v>
          </cell>
          <cell r="N1606">
            <v>0</v>
          </cell>
          <cell r="O1606" t="str">
            <v>"Toshkent" lotereyasining to`langan chiptalari</v>
          </cell>
        </row>
        <row r="1607">
          <cell r="A1607">
            <v>9</v>
          </cell>
          <cell r="B1607">
            <v>214</v>
          </cell>
          <cell r="C1607">
            <v>7783</v>
          </cell>
          <cell r="D1607">
            <v>9953.2000000000007</v>
          </cell>
          <cell r="E1607">
            <v>25</v>
          </cell>
          <cell r="F1607">
            <v>95497.31</v>
          </cell>
          <cell r="H1607">
            <v>6</v>
          </cell>
          <cell r="I1607">
            <v>9640</v>
          </cell>
          <cell r="J1607">
            <v>0</v>
          </cell>
          <cell r="K1607">
            <v>182340</v>
          </cell>
          <cell r="L1607">
            <v>173140</v>
          </cell>
          <cell r="M1607">
            <v>18840</v>
          </cell>
          <cell r="N1607">
            <v>0</v>
          </cell>
          <cell r="O1607" t="str">
            <v>"Toshkent" lotereyasining to`langan chiptalari</v>
          </cell>
        </row>
        <row r="1608">
          <cell r="A1608">
            <v>9</v>
          </cell>
          <cell r="B1608">
            <v>214</v>
          </cell>
          <cell r="C1608">
            <v>7845</v>
          </cell>
          <cell r="D1608">
            <v>9953.2000000000007</v>
          </cell>
          <cell r="E1608">
            <v>25</v>
          </cell>
          <cell r="F1608">
            <v>95497.31</v>
          </cell>
          <cell r="H1608">
            <v>6</v>
          </cell>
          <cell r="I1608">
            <v>13880</v>
          </cell>
          <cell r="J1608">
            <v>0</v>
          </cell>
          <cell r="K1608">
            <v>12140</v>
          </cell>
          <cell r="L1608">
            <v>23520</v>
          </cell>
          <cell r="M1608">
            <v>2500</v>
          </cell>
          <cell r="N1608">
            <v>0</v>
          </cell>
          <cell r="O1608" t="str">
            <v>"Toshkent" lotereyasining to`langan chiptalari</v>
          </cell>
        </row>
        <row r="1609">
          <cell r="A1609">
            <v>9</v>
          </cell>
          <cell r="B1609">
            <v>214</v>
          </cell>
          <cell r="C1609">
            <v>7948</v>
          </cell>
          <cell r="D1609">
            <v>9953.2000000000007</v>
          </cell>
          <cell r="E1609">
            <v>25</v>
          </cell>
          <cell r="F1609">
            <v>95497.31</v>
          </cell>
          <cell r="H1609">
            <v>6</v>
          </cell>
          <cell r="I1609">
            <v>35300</v>
          </cell>
          <cell r="J1609">
            <v>0</v>
          </cell>
          <cell r="K1609">
            <v>244520</v>
          </cell>
          <cell r="L1609">
            <v>275660</v>
          </cell>
          <cell r="M1609">
            <v>4160</v>
          </cell>
          <cell r="N1609">
            <v>0</v>
          </cell>
          <cell r="O1609" t="str">
            <v>"Toshkent" lotereyasining to`langan chiptalari</v>
          </cell>
        </row>
        <row r="1610">
          <cell r="A1610">
            <v>9</v>
          </cell>
          <cell r="B1610">
            <v>214</v>
          </cell>
          <cell r="C1610">
            <v>8002</v>
          </cell>
          <cell r="D1610">
            <v>9953.2000000000007</v>
          </cell>
          <cell r="E1610">
            <v>25</v>
          </cell>
          <cell r="F1610">
            <v>95497.31</v>
          </cell>
          <cell r="H1610">
            <v>6</v>
          </cell>
          <cell r="I1610">
            <v>10140</v>
          </cell>
          <cell r="J1610">
            <v>0</v>
          </cell>
          <cell r="K1610">
            <v>120160</v>
          </cell>
          <cell r="L1610">
            <v>130300</v>
          </cell>
          <cell r="M1610">
            <v>0</v>
          </cell>
          <cell r="N1610">
            <v>0</v>
          </cell>
          <cell r="O1610" t="str">
            <v>"Toshkent" lotereyasining to`langan chiptalari</v>
          </cell>
        </row>
        <row r="1611">
          <cell r="A1611">
            <v>9</v>
          </cell>
          <cell r="B1611">
            <v>214</v>
          </cell>
          <cell r="C1611">
            <v>8104</v>
          </cell>
          <cell r="D1611">
            <v>9953.2000000000007</v>
          </cell>
          <cell r="E1611">
            <v>25</v>
          </cell>
          <cell r="F1611">
            <v>95497.31</v>
          </cell>
          <cell r="H1611">
            <v>6</v>
          </cell>
          <cell r="I1611">
            <v>23900</v>
          </cell>
          <cell r="J1611">
            <v>0</v>
          </cell>
          <cell r="K1611">
            <v>98980</v>
          </cell>
          <cell r="L1611">
            <v>116420</v>
          </cell>
          <cell r="M1611">
            <v>6460</v>
          </cell>
          <cell r="N1611">
            <v>0</v>
          </cell>
          <cell r="O1611" t="str">
            <v>"Toshkent" lotereyasining to`langan chiptalari</v>
          </cell>
        </row>
        <row r="1612">
          <cell r="A1612">
            <v>9</v>
          </cell>
          <cell r="B1612">
            <v>214</v>
          </cell>
          <cell r="C1612">
            <v>8137</v>
          </cell>
          <cell r="D1612">
            <v>9953.2000000000007</v>
          </cell>
          <cell r="E1612">
            <v>25</v>
          </cell>
          <cell r="F1612">
            <v>95497.31</v>
          </cell>
          <cell r="H1612">
            <v>6</v>
          </cell>
          <cell r="I1612">
            <v>22160</v>
          </cell>
          <cell r="J1612">
            <v>0</v>
          </cell>
          <cell r="K1612">
            <v>78400</v>
          </cell>
          <cell r="L1612">
            <v>39780</v>
          </cell>
          <cell r="M1612">
            <v>60780</v>
          </cell>
          <cell r="N1612">
            <v>0</v>
          </cell>
          <cell r="O1612" t="str">
            <v>Оплаченные билеты - "Тошкент"</v>
          </cell>
        </row>
        <row r="1613">
          <cell r="A1613">
            <v>9</v>
          </cell>
          <cell r="B1613">
            <v>214</v>
          </cell>
          <cell r="C1613">
            <v>8298</v>
          </cell>
          <cell r="D1613">
            <v>9953.2000000000007</v>
          </cell>
          <cell r="E1613">
            <v>25</v>
          </cell>
          <cell r="F1613">
            <v>95497.31</v>
          </cell>
          <cell r="H1613">
            <v>6</v>
          </cell>
          <cell r="I1613">
            <v>580</v>
          </cell>
          <cell r="J1613">
            <v>0</v>
          </cell>
          <cell r="K1613">
            <v>0</v>
          </cell>
          <cell r="L1613">
            <v>580</v>
          </cell>
          <cell r="M1613">
            <v>0</v>
          </cell>
          <cell r="N1613">
            <v>0</v>
          </cell>
          <cell r="O1613" t="str">
            <v>"Toshkent" lotereyasining to`langan chiptalari</v>
          </cell>
        </row>
        <row r="1614">
          <cell r="A1614">
            <v>9</v>
          </cell>
          <cell r="B1614">
            <v>214</v>
          </cell>
          <cell r="C1614">
            <v>8533</v>
          </cell>
          <cell r="D1614">
            <v>9953.2000000000007</v>
          </cell>
          <cell r="E1614">
            <v>25</v>
          </cell>
          <cell r="F1614">
            <v>95497.31</v>
          </cell>
          <cell r="H1614">
            <v>6</v>
          </cell>
          <cell r="I1614">
            <v>22940</v>
          </cell>
          <cell r="J1614">
            <v>0</v>
          </cell>
          <cell r="K1614">
            <v>100</v>
          </cell>
          <cell r="L1614">
            <v>23040</v>
          </cell>
          <cell r="M1614">
            <v>0</v>
          </cell>
          <cell r="N1614">
            <v>0</v>
          </cell>
          <cell r="O1614" t="str">
            <v>"Toshkent" lotereyasining to`langan chiptalari</v>
          </cell>
        </row>
        <row r="1615">
          <cell r="A1615">
            <v>9</v>
          </cell>
          <cell r="B1615">
            <v>214</v>
          </cell>
          <cell r="C1615">
            <v>8659</v>
          </cell>
          <cell r="D1615">
            <v>9953.2000000000007</v>
          </cell>
          <cell r="E1615">
            <v>25</v>
          </cell>
          <cell r="F1615">
            <v>95497.31</v>
          </cell>
          <cell r="H1615">
            <v>6</v>
          </cell>
          <cell r="I1615">
            <v>2140</v>
          </cell>
          <cell r="J1615">
            <v>0</v>
          </cell>
          <cell r="K1615">
            <v>15520</v>
          </cell>
          <cell r="L1615">
            <v>14380</v>
          </cell>
          <cell r="M1615">
            <v>3280</v>
          </cell>
          <cell r="N1615">
            <v>0</v>
          </cell>
          <cell r="O1615" t="str">
            <v>"Toshkent" lotereyasining to`langan chiptalari</v>
          </cell>
        </row>
        <row r="1616">
          <cell r="A1616">
            <v>9</v>
          </cell>
          <cell r="B1616">
            <v>214</v>
          </cell>
          <cell r="C1616">
            <v>3563</v>
          </cell>
          <cell r="D1616">
            <v>9953.2099999999991</v>
          </cell>
          <cell r="E1616">
            <v>25</v>
          </cell>
          <cell r="F1616">
            <v>95497.32</v>
          </cell>
          <cell r="H1616">
            <v>6</v>
          </cell>
          <cell r="I1616">
            <v>550</v>
          </cell>
          <cell r="J1616">
            <v>0</v>
          </cell>
          <cell r="K1616">
            <v>0</v>
          </cell>
          <cell r="L1616">
            <v>550</v>
          </cell>
          <cell r="M1616">
            <v>0</v>
          </cell>
          <cell r="N1616">
            <v>0</v>
          </cell>
          <cell r="O1616" t="str">
            <v>"Ekolot-3" lotereyasining to`langan chiptalari</v>
          </cell>
        </row>
        <row r="1617">
          <cell r="A1617">
            <v>9</v>
          </cell>
          <cell r="B1617">
            <v>214</v>
          </cell>
          <cell r="C1617">
            <v>3563</v>
          </cell>
          <cell r="D1617">
            <v>9953.2199999999993</v>
          </cell>
          <cell r="E1617">
            <v>25</v>
          </cell>
          <cell r="F1617">
            <v>95497.33</v>
          </cell>
          <cell r="H1617">
            <v>6</v>
          </cell>
          <cell r="I1617">
            <v>4400</v>
          </cell>
          <cell r="J1617">
            <v>0</v>
          </cell>
          <cell r="K1617">
            <v>1650</v>
          </cell>
          <cell r="L1617">
            <v>6050</v>
          </cell>
          <cell r="M1617">
            <v>0</v>
          </cell>
          <cell r="N1617">
            <v>0</v>
          </cell>
          <cell r="O1617" t="str">
            <v>"Ekolot-4" lotereyasining to`langan chiptalari</v>
          </cell>
        </row>
        <row r="1618">
          <cell r="A1618">
            <v>9</v>
          </cell>
          <cell r="B1618">
            <v>214</v>
          </cell>
          <cell r="C1618">
            <v>5996</v>
          </cell>
          <cell r="D1618">
            <v>9953.2199999999993</v>
          </cell>
          <cell r="E1618">
            <v>25</v>
          </cell>
          <cell r="F1618">
            <v>95497.33</v>
          </cell>
          <cell r="H1618">
            <v>6</v>
          </cell>
          <cell r="I1618">
            <v>100</v>
          </cell>
          <cell r="J1618">
            <v>0</v>
          </cell>
          <cell r="K1618">
            <v>0</v>
          </cell>
          <cell r="L1618">
            <v>100</v>
          </cell>
          <cell r="M1618">
            <v>0</v>
          </cell>
          <cell r="N1618">
            <v>0</v>
          </cell>
          <cell r="O1618" t="str">
            <v>"Ekolot-4" lotereyasining to`langan chiptalari</v>
          </cell>
        </row>
        <row r="1619">
          <cell r="A1619">
            <v>9</v>
          </cell>
          <cell r="B1619">
            <v>214</v>
          </cell>
          <cell r="C1619">
            <v>7845</v>
          </cell>
          <cell r="D1619">
            <v>9953.2199999999993</v>
          </cell>
          <cell r="E1619">
            <v>25</v>
          </cell>
          <cell r="F1619">
            <v>95497.33</v>
          </cell>
          <cell r="H1619">
            <v>6</v>
          </cell>
          <cell r="I1619">
            <v>7200</v>
          </cell>
          <cell r="J1619">
            <v>0</v>
          </cell>
          <cell r="K1619">
            <v>37950</v>
          </cell>
          <cell r="L1619">
            <v>45100</v>
          </cell>
          <cell r="M1619">
            <v>50</v>
          </cell>
          <cell r="N1619">
            <v>0</v>
          </cell>
          <cell r="O1619" t="str">
            <v>"Ekolot-4" lotereyasining to`langan chiptalari</v>
          </cell>
        </row>
        <row r="1620">
          <cell r="A1620">
            <v>9</v>
          </cell>
          <cell r="B1620">
            <v>214</v>
          </cell>
          <cell r="C1620">
            <v>7948</v>
          </cell>
          <cell r="D1620">
            <v>9953.2199999999993</v>
          </cell>
          <cell r="E1620">
            <v>25</v>
          </cell>
          <cell r="F1620">
            <v>95497.33</v>
          </cell>
          <cell r="H1620">
            <v>6</v>
          </cell>
          <cell r="I1620">
            <v>18050</v>
          </cell>
          <cell r="J1620">
            <v>0</v>
          </cell>
          <cell r="K1620">
            <v>0</v>
          </cell>
          <cell r="L1620">
            <v>18050</v>
          </cell>
          <cell r="M1620">
            <v>0</v>
          </cell>
          <cell r="N1620">
            <v>0</v>
          </cell>
          <cell r="O1620" t="str">
            <v>"Ekolot-4" lotereyasining to`langan chiptalari</v>
          </cell>
        </row>
        <row r="1621">
          <cell r="A1621">
            <v>9</v>
          </cell>
          <cell r="B1621">
            <v>214</v>
          </cell>
          <cell r="C1621">
            <v>8104</v>
          </cell>
          <cell r="D1621">
            <v>9953.2199999999993</v>
          </cell>
          <cell r="E1621">
            <v>25</v>
          </cell>
          <cell r="F1621">
            <v>95497.33</v>
          </cell>
          <cell r="H1621">
            <v>6</v>
          </cell>
          <cell r="I1621">
            <v>53450</v>
          </cell>
          <cell r="J1621">
            <v>0</v>
          </cell>
          <cell r="K1621">
            <v>750</v>
          </cell>
          <cell r="L1621">
            <v>54200</v>
          </cell>
          <cell r="M1621">
            <v>0</v>
          </cell>
          <cell r="N1621">
            <v>0</v>
          </cell>
          <cell r="O1621" t="str">
            <v>"Ekolot-4" lotereyasining to`langan chiptalari</v>
          </cell>
        </row>
        <row r="1622">
          <cell r="A1622">
            <v>9</v>
          </cell>
          <cell r="B1622">
            <v>214</v>
          </cell>
          <cell r="C1622">
            <v>8137</v>
          </cell>
          <cell r="D1622">
            <v>9953.2199999999993</v>
          </cell>
          <cell r="E1622">
            <v>25</v>
          </cell>
          <cell r="F1622">
            <v>95497.33</v>
          </cell>
          <cell r="H1622">
            <v>6</v>
          </cell>
          <cell r="I1622">
            <v>15350</v>
          </cell>
          <cell r="J1622">
            <v>0</v>
          </cell>
          <cell r="K1622">
            <v>0</v>
          </cell>
          <cell r="L1622">
            <v>15350</v>
          </cell>
          <cell r="M1622">
            <v>0</v>
          </cell>
          <cell r="N1622">
            <v>0</v>
          </cell>
          <cell r="O1622" t="str">
            <v>Оплаченные билеты - "Эколот-4"</v>
          </cell>
        </row>
        <row r="1623">
          <cell r="A1623">
            <v>9</v>
          </cell>
          <cell r="B1623">
            <v>214</v>
          </cell>
          <cell r="C1623">
            <v>8298</v>
          </cell>
          <cell r="D1623">
            <v>9953.2199999999993</v>
          </cell>
          <cell r="E1623">
            <v>25</v>
          </cell>
          <cell r="F1623">
            <v>95497.33</v>
          </cell>
          <cell r="H1623">
            <v>6</v>
          </cell>
          <cell r="I1623">
            <v>0</v>
          </cell>
          <cell r="J1623">
            <v>0</v>
          </cell>
          <cell r="K1623">
            <v>6750</v>
          </cell>
          <cell r="L1623">
            <v>6750</v>
          </cell>
          <cell r="M1623">
            <v>0</v>
          </cell>
          <cell r="N1623">
            <v>0</v>
          </cell>
          <cell r="O1623" t="str">
            <v>"Ekolot-4" lotereyasining to`langan chiptalari</v>
          </cell>
        </row>
        <row r="1624">
          <cell r="A1624">
            <v>9</v>
          </cell>
          <cell r="B1624">
            <v>214</v>
          </cell>
          <cell r="C1624">
            <v>8659</v>
          </cell>
          <cell r="D1624">
            <v>9953.2199999999993</v>
          </cell>
          <cell r="E1624">
            <v>25</v>
          </cell>
          <cell r="F1624">
            <v>95497.33</v>
          </cell>
          <cell r="H1624">
            <v>6</v>
          </cell>
          <cell r="I1624">
            <v>0</v>
          </cell>
          <cell r="J1624">
            <v>0</v>
          </cell>
          <cell r="K1624">
            <v>16150</v>
          </cell>
          <cell r="L1624">
            <v>15850</v>
          </cell>
          <cell r="M1624">
            <v>300</v>
          </cell>
          <cell r="N1624">
            <v>0</v>
          </cell>
          <cell r="O1624" t="str">
            <v>"Ekolot-4" lotereyasining to`langan chiptalari</v>
          </cell>
        </row>
        <row r="1625">
          <cell r="A1625">
            <v>9</v>
          </cell>
          <cell r="B1625">
            <v>214</v>
          </cell>
          <cell r="C1625">
            <v>3563</v>
          </cell>
          <cell r="D1625">
            <v>9953.23</v>
          </cell>
          <cell r="E1625">
            <v>25</v>
          </cell>
          <cell r="F1625">
            <v>95497.34</v>
          </cell>
          <cell r="H1625">
            <v>6</v>
          </cell>
          <cell r="I1625">
            <v>0</v>
          </cell>
          <cell r="J1625">
            <v>0</v>
          </cell>
          <cell r="K1625">
            <v>42300</v>
          </cell>
          <cell r="L1625">
            <v>42300</v>
          </cell>
          <cell r="M1625">
            <v>0</v>
          </cell>
          <cell r="N1625">
            <v>0</v>
          </cell>
          <cell r="O1625" t="str">
            <v>"Ulug`bek yulduzlari" lotereyasining to`langan chiptalari</v>
          </cell>
        </row>
        <row r="1626">
          <cell r="A1626">
            <v>9</v>
          </cell>
          <cell r="B1626">
            <v>214</v>
          </cell>
          <cell r="C1626">
            <v>5996</v>
          </cell>
          <cell r="D1626">
            <v>9953.23</v>
          </cell>
          <cell r="E1626">
            <v>25</v>
          </cell>
          <cell r="F1626">
            <v>95497.34</v>
          </cell>
          <cell r="H1626">
            <v>6</v>
          </cell>
          <cell r="I1626">
            <v>0</v>
          </cell>
          <cell r="J1626">
            <v>0</v>
          </cell>
          <cell r="K1626">
            <v>10000</v>
          </cell>
          <cell r="L1626">
            <v>10000</v>
          </cell>
          <cell r="M1626">
            <v>0</v>
          </cell>
          <cell r="N1626">
            <v>0</v>
          </cell>
          <cell r="O1626" t="str">
            <v>"Ulug`bek yulduzlari" lotereyasining to`langan chiptalari</v>
          </cell>
        </row>
        <row r="1627">
          <cell r="A1627">
            <v>9</v>
          </cell>
          <cell r="B1627">
            <v>214</v>
          </cell>
          <cell r="C1627">
            <v>7783</v>
          </cell>
          <cell r="D1627">
            <v>9953.23</v>
          </cell>
          <cell r="E1627">
            <v>25</v>
          </cell>
          <cell r="F1627">
            <v>95497.34</v>
          </cell>
          <cell r="H1627">
            <v>6</v>
          </cell>
          <cell r="I1627">
            <v>0</v>
          </cell>
          <cell r="J1627">
            <v>0</v>
          </cell>
          <cell r="K1627">
            <v>14000</v>
          </cell>
          <cell r="L1627">
            <v>14000</v>
          </cell>
          <cell r="M1627">
            <v>0</v>
          </cell>
          <cell r="N1627">
            <v>0</v>
          </cell>
          <cell r="O1627" t="str">
            <v>"Ulug`bek yulduzlari" lotereyasining to`langan chiptalari</v>
          </cell>
        </row>
        <row r="1628">
          <cell r="A1628">
            <v>9</v>
          </cell>
          <cell r="B1628">
            <v>214</v>
          </cell>
          <cell r="C1628">
            <v>7845</v>
          </cell>
          <cell r="D1628">
            <v>9953.23</v>
          </cell>
          <cell r="E1628">
            <v>25</v>
          </cell>
          <cell r="F1628">
            <v>95497.34</v>
          </cell>
          <cell r="H1628">
            <v>6</v>
          </cell>
          <cell r="I1628">
            <v>0</v>
          </cell>
          <cell r="J1628">
            <v>0</v>
          </cell>
          <cell r="K1628">
            <v>47900</v>
          </cell>
          <cell r="L1628">
            <v>46800</v>
          </cell>
          <cell r="M1628">
            <v>1100</v>
          </cell>
          <cell r="N1628">
            <v>0</v>
          </cell>
          <cell r="O1628" t="str">
            <v>"Ulug`bek yulduzlari" lotereyasining to`langan chiptalari</v>
          </cell>
        </row>
        <row r="1629">
          <cell r="A1629">
            <v>9</v>
          </cell>
          <cell r="B1629">
            <v>214</v>
          </cell>
          <cell r="C1629">
            <v>7948</v>
          </cell>
          <cell r="D1629">
            <v>9953.23</v>
          </cell>
          <cell r="E1629">
            <v>25</v>
          </cell>
          <cell r="F1629">
            <v>95497.34</v>
          </cell>
          <cell r="H1629">
            <v>6</v>
          </cell>
          <cell r="I1629">
            <v>0</v>
          </cell>
          <cell r="J1629">
            <v>0</v>
          </cell>
          <cell r="K1629">
            <v>47350</v>
          </cell>
          <cell r="L1629">
            <v>46550</v>
          </cell>
          <cell r="M1629">
            <v>800</v>
          </cell>
          <cell r="N1629">
            <v>0</v>
          </cell>
          <cell r="O1629" t="str">
            <v>"Ulug`bek yulduzlari" lotereyasining to`langan chiptalari</v>
          </cell>
        </row>
        <row r="1630">
          <cell r="A1630">
            <v>9</v>
          </cell>
          <cell r="B1630">
            <v>214</v>
          </cell>
          <cell r="C1630">
            <v>8002</v>
          </cell>
          <cell r="D1630">
            <v>9953.23</v>
          </cell>
          <cell r="E1630">
            <v>25</v>
          </cell>
          <cell r="F1630">
            <v>95497.34</v>
          </cell>
          <cell r="H1630">
            <v>6</v>
          </cell>
          <cell r="I1630">
            <v>0</v>
          </cell>
          <cell r="J1630">
            <v>0</v>
          </cell>
          <cell r="K1630">
            <v>24250</v>
          </cell>
          <cell r="L1630">
            <v>24250</v>
          </cell>
          <cell r="M1630">
            <v>0</v>
          </cell>
          <cell r="N1630">
            <v>0</v>
          </cell>
          <cell r="O1630" t="str">
            <v>"Ulug`bek yulduzlari" lotereyasining to`langan chiptalari</v>
          </cell>
        </row>
        <row r="1631">
          <cell r="A1631">
            <v>9</v>
          </cell>
          <cell r="B1631">
            <v>214</v>
          </cell>
          <cell r="C1631">
            <v>8104</v>
          </cell>
          <cell r="D1631">
            <v>9953.23</v>
          </cell>
          <cell r="E1631">
            <v>25</v>
          </cell>
          <cell r="F1631">
            <v>95497.34</v>
          </cell>
          <cell r="H1631">
            <v>6</v>
          </cell>
          <cell r="I1631">
            <v>0</v>
          </cell>
          <cell r="J1631">
            <v>0</v>
          </cell>
          <cell r="K1631">
            <v>57000</v>
          </cell>
          <cell r="L1631">
            <v>57000</v>
          </cell>
          <cell r="M1631">
            <v>0</v>
          </cell>
          <cell r="N1631">
            <v>0</v>
          </cell>
          <cell r="O1631" t="str">
            <v>"Ulug`bek yulduzlari" lotereyasining to`langan chiptalari</v>
          </cell>
        </row>
        <row r="1632">
          <cell r="A1632">
            <v>9</v>
          </cell>
          <cell r="B1632">
            <v>214</v>
          </cell>
          <cell r="C1632">
            <v>8137</v>
          </cell>
          <cell r="D1632">
            <v>9953.23</v>
          </cell>
          <cell r="E1632">
            <v>25</v>
          </cell>
          <cell r="F1632">
            <v>95497.34</v>
          </cell>
          <cell r="H1632">
            <v>6</v>
          </cell>
          <cell r="I1632">
            <v>0</v>
          </cell>
          <cell r="J1632">
            <v>0</v>
          </cell>
          <cell r="K1632">
            <v>2450</v>
          </cell>
          <cell r="L1632">
            <v>2450</v>
          </cell>
          <cell r="M1632">
            <v>0</v>
          </cell>
          <cell r="N1632">
            <v>0</v>
          </cell>
          <cell r="O1632" t="str">
            <v>"Ulug`bek yulduzlari" lotereyasining to`langan chiptalari</v>
          </cell>
        </row>
        <row r="1633">
          <cell r="A1633">
            <v>9</v>
          </cell>
          <cell r="B1633">
            <v>214</v>
          </cell>
          <cell r="C1633">
            <v>8298</v>
          </cell>
          <cell r="D1633">
            <v>9953.23</v>
          </cell>
          <cell r="E1633">
            <v>25</v>
          </cell>
          <cell r="F1633">
            <v>95497.34</v>
          </cell>
          <cell r="H1633">
            <v>6</v>
          </cell>
          <cell r="I1633">
            <v>0</v>
          </cell>
          <cell r="J1633">
            <v>0</v>
          </cell>
          <cell r="K1633">
            <v>61500</v>
          </cell>
          <cell r="L1633">
            <v>61500</v>
          </cell>
          <cell r="M1633">
            <v>0</v>
          </cell>
          <cell r="N1633">
            <v>0</v>
          </cell>
          <cell r="O1633" t="str">
            <v>"Ulug`bek yulduzlari" lotereyasining to`langan chiptalari</v>
          </cell>
        </row>
        <row r="1634">
          <cell r="A1634">
            <v>9</v>
          </cell>
          <cell r="B1634">
            <v>214</v>
          </cell>
          <cell r="C1634">
            <v>8533</v>
          </cell>
          <cell r="D1634">
            <v>9953.23</v>
          </cell>
          <cell r="E1634">
            <v>25</v>
          </cell>
          <cell r="F1634">
            <v>95497.34</v>
          </cell>
          <cell r="H1634">
            <v>6</v>
          </cell>
          <cell r="I1634">
            <v>0</v>
          </cell>
          <cell r="J1634">
            <v>0</v>
          </cell>
          <cell r="K1634">
            <v>1450</v>
          </cell>
          <cell r="L1634">
            <v>1450</v>
          </cell>
          <cell r="M1634">
            <v>0</v>
          </cell>
          <cell r="N1634">
            <v>0</v>
          </cell>
          <cell r="O1634" t="str">
            <v>"Ulug`bek yulduzlari" lotereyasining to`langan chiptalari</v>
          </cell>
        </row>
        <row r="1635">
          <cell r="A1635">
            <v>9</v>
          </cell>
          <cell r="B1635">
            <v>214</v>
          </cell>
          <cell r="C1635">
            <v>8659</v>
          </cell>
          <cell r="D1635">
            <v>9953.23</v>
          </cell>
          <cell r="E1635">
            <v>25</v>
          </cell>
          <cell r="F1635">
            <v>95497.34</v>
          </cell>
          <cell r="H1635">
            <v>6</v>
          </cell>
          <cell r="I1635">
            <v>0</v>
          </cell>
          <cell r="J1635">
            <v>0</v>
          </cell>
          <cell r="K1635">
            <v>1650</v>
          </cell>
          <cell r="L1635">
            <v>1650</v>
          </cell>
          <cell r="M1635">
            <v>0</v>
          </cell>
          <cell r="N1635">
            <v>0</v>
          </cell>
          <cell r="O1635" t="str">
            <v>"Ulug`bek yulduzlari" lotereyasining to`langan chiptalari</v>
          </cell>
        </row>
        <row r="1636">
          <cell r="A1636">
            <v>9</v>
          </cell>
          <cell r="B1636">
            <v>214</v>
          </cell>
          <cell r="C1636">
            <v>3563</v>
          </cell>
          <cell r="D1636">
            <v>9953.24</v>
          </cell>
          <cell r="E1636">
            <v>25</v>
          </cell>
          <cell r="F1636">
            <v>95497.35</v>
          </cell>
          <cell r="H1636">
            <v>6</v>
          </cell>
          <cell r="I1636">
            <v>411700</v>
          </cell>
          <cell r="J1636">
            <v>0</v>
          </cell>
          <cell r="K1636">
            <v>2121150</v>
          </cell>
          <cell r="L1636">
            <v>2532750</v>
          </cell>
          <cell r="M1636">
            <v>100</v>
          </cell>
          <cell r="N1636">
            <v>0</v>
          </cell>
          <cell r="O1636" t="str">
            <v>"Omadli inson" lotereyasining to`langan chiptalari</v>
          </cell>
        </row>
        <row r="1637">
          <cell r="A1637">
            <v>9</v>
          </cell>
          <cell r="B1637">
            <v>214</v>
          </cell>
          <cell r="C1637">
            <v>5996</v>
          </cell>
          <cell r="D1637">
            <v>9953.24</v>
          </cell>
          <cell r="E1637">
            <v>25</v>
          </cell>
          <cell r="F1637">
            <v>95497.35</v>
          </cell>
          <cell r="H1637">
            <v>6</v>
          </cell>
          <cell r="I1637">
            <v>0</v>
          </cell>
          <cell r="J1637">
            <v>0</v>
          </cell>
          <cell r="K1637">
            <v>2032100</v>
          </cell>
          <cell r="L1637">
            <v>2032100</v>
          </cell>
          <cell r="M1637">
            <v>0</v>
          </cell>
          <cell r="N1637">
            <v>0</v>
          </cell>
          <cell r="O1637" t="str">
            <v>"Omadli inson" lotereyasining to`langan chiptalari</v>
          </cell>
        </row>
        <row r="1638">
          <cell r="A1638">
            <v>9</v>
          </cell>
          <cell r="B1638">
            <v>214</v>
          </cell>
          <cell r="C1638">
            <v>7783</v>
          </cell>
          <cell r="D1638">
            <v>9953.24</v>
          </cell>
          <cell r="E1638">
            <v>25</v>
          </cell>
          <cell r="F1638">
            <v>95497.35</v>
          </cell>
          <cell r="H1638">
            <v>6</v>
          </cell>
          <cell r="I1638">
            <v>370100</v>
          </cell>
          <cell r="J1638">
            <v>0</v>
          </cell>
          <cell r="K1638">
            <v>1732000</v>
          </cell>
          <cell r="L1638">
            <v>2102000</v>
          </cell>
          <cell r="M1638">
            <v>100</v>
          </cell>
          <cell r="N1638">
            <v>0</v>
          </cell>
          <cell r="O1638" t="str">
            <v>"Omadli inson" lotereyasining to`langan chiptalari</v>
          </cell>
        </row>
        <row r="1639">
          <cell r="A1639">
            <v>9</v>
          </cell>
          <cell r="B1639">
            <v>214</v>
          </cell>
          <cell r="C1639">
            <v>7845</v>
          </cell>
          <cell r="D1639">
            <v>9953.24</v>
          </cell>
          <cell r="E1639">
            <v>25</v>
          </cell>
          <cell r="F1639">
            <v>95497.35</v>
          </cell>
          <cell r="H1639">
            <v>6</v>
          </cell>
          <cell r="I1639">
            <v>795900</v>
          </cell>
          <cell r="J1639">
            <v>0</v>
          </cell>
          <cell r="K1639">
            <v>2525200</v>
          </cell>
          <cell r="L1639">
            <v>3293600</v>
          </cell>
          <cell r="M1639">
            <v>27500</v>
          </cell>
          <cell r="N1639">
            <v>0</v>
          </cell>
          <cell r="O1639" t="str">
            <v>"Omadli inson" lotereyasining to`langan chiptalari</v>
          </cell>
        </row>
        <row r="1640">
          <cell r="A1640">
            <v>9</v>
          </cell>
          <cell r="B1640">
            <v>214</v>
          </cell>
          <cell r="C1640">
            <v>7948</v>
          </cell>
          <cell r="D1640">
            <v>9953.24</v>
          </cell>
          <cell r="E1640">
            <v>25</v>
          </cell>
          <cell r="F1640">
            <v>95497.35</v>
          </cell>
          <cell r="H1640">
            <v>6</v>
          </cell>
          <cell r="I1640">
            <v>1678150</v>
          </cell>
          <cell r="J1640">
            <v>0</v>
          </cell>
          <cell r="K1640">
            <v>2347700</v>
          </cell>
          <cell r="L1640">
            <v>4016850</v>
          </cell>
          <cell r="M1640">
            <v>9000</v>
          </cell>
          <cell r="N1640">
            <v>0</v>
          </cell>
          <cell r="O1640" t="str">
            <v>"Omadli inson" lotereyasining to`langan chiptalari</v>
          </cell>
        </row>
        <row r="1641">
          <cell r="A1641">
            <v>9</v>
          </cell>
          <cell r="B1641">
            <v>214</v>
          </cell>
          <cell r="C1641">
            <v>8002</v>
          </cell>
          <cell r="D1641">
            <v>9953.24</v>
          </cell>
          <cell r="E1641">
            <v>25</v>
          </cell>
          <cell r="F1641">
            <v>95497.35</v>
          </cell>
          <cell r="H1641">
            <v>6</v>
          </cell>
          <cell r="I1641">
            <v>1313400</v>
          </cell>
          <cell r="J1641">
            <v>0</v>
          </cell>
          <cell r="K1641">
            <v>2107100</v>
          </cell>
          <cell r="L1641">
            <v>3420200</v>
          </cell>
          <cell r="M1641">
            <v>300</v>
          </cell>
          <cell r="N1641">
            <v>0</v>
          </cell>
          <cell r="O1641" t="str">
            <v>"Omadli inson" lotereyasining to`langan chiptalari</v>
          </cell>
        </row>
        <row r="1642">
          <cell r="A1642">
            <v>9</v>
          </cell>
          <cell r="B1642">
            <v>214</v>
          </cell>
          <cell r="C1642">
            <v>8104</v>
          </cell>
          <cell r="D1642">
            <v>9953.24</v>
          </cell>
          <cell r="E1642">
            <v>25</v>
          </cell>
          <cell r="F1642">
            <v>95497.35</v>
          </cell>
          <cell r="H1642">
            <v>6</v>
          </cell>
          <cell r="I1642">
            <v>990000</v>
          </cell>
          <cell r="J1642">
            <v>0</v>
          </cell>
          <cell r="K1642">
            <v>1654500</v>
          </cell>
          <cell r="L1642">
            <v>2641900</v>
          </cell>
          <cell r="M1642">
            <v>2600</v>
          </cell>
          <cell r="N1642">
            <v>0</v>
          </cell>
          <cell r="O1642" t="str">
            <v>"Omadli inson" lotereyasining to`langan chiptalari</v>
          </cell>
        </row>
        <row r="1643">
          <cell r="A1643">
            <v>9</v>
          </cell>
          <cell r="B1643">
            <v>214</v>
          </cell>
          <cell r="C1643">
            <v>8137</v>
          </cell>
          <cell r="D1643">
            <v>9953.24</v>
          </cell>
          <cell r="E1643">
            <v>25</v>
          </cell>
          <cell r="F1643">
            <v>95497.35</v>
          </cell>
          <cell r="H1643">
            <v>6</v>
          </cell>
          <cell r="I1643">
            <v>680400</v>
          </cell>
          <cell r="J1643">
            <v>0</v>
          </cell>
          <cell r="K1643">
            <v>1263900</v>
          </cell>
          <cell r="L1643">
            <v>1905700</v>
          </cell>
          <cell r="M1643">
            <v>38600</v>
          </cell>
          <cell r="N1643">
            <v>0</v>
          </cell>
          <cell r="O1643" t="str">
            <v>Оплаченные билеты - "Омадли инсон"</v>
          </cell>
        </row>
        <row r="1644">
          <cell r="A1644">
            <v>9</v>
          </cell>
          <cell r="B1644">
            <v>214</v>
          </cell>
          <cell r="C1644">
            <v>8298</v>
          </cell>
          <cell r="D1644">
            <v>9953.24</v>
          </cell>
          <cell r="E1644">
            <v>25</v>
          </cell>
          <cell r="F1644">
            <v>95497.35</v>
          </cell>
          <cell r="H1644">
            <v>6</v>
          </cell>
          <cell r="I1644">
            <v>571400</v>
          </cell>
          <cell r="J1644">
            <v>0</v>
          </cell>
          <cell r="K1644">
            <v>2471100</v>
          </cell>
          <cell r="L1644">
            <v>3042100</v>
          </cell>
          <cell r="M1644">
            <v>400</v>
          </cell>
          <cell r="N1644">
            <v>0</v>
          </cell>
          <cell r="O1644" t="str">
            <v>"Omadli inson" lotereyasining to`langan chiptalari</v>
          </cell>
        </row>
        <row r="1645">
          <cell r="A1645">
            <v>9</v>
          </cell>
          <cell r="B1645">
            <v>214</v>
          </cell>
          <cell r="C1645">
            <v>8533</v>
          </cell>
          <cell r="D1645">
            <v>9953.24</v>
          </cell>
          <cell r="E1645">
            <v>25</v>
          </cell>
          <cell r="F1645">
            <v>95497.35</v>
          </cell>
          <cell r="H1645">
            <v>6</v>
          </cell>
          <cell r="I1645">
            <v>122200</v>
          </cell>
          <cell r="J1645">
            <v>0</v>
          </cell>
          <cell r="K1645">
            <v>198000</v>
          </cell>
          <cell r="L1645">
            <v>320000</v>
          </cell>
          <cell r="M1645">
            <v>200</v>
          </cell>
          <cell r="N1645">
            <v>0</v>
          </cell>
          <cell r="O1645" t="str">
            <v>"Omadli inson" lotereyasining to`langan chiptalari</v>
          </cell>
        </row>
        <row r="1646">
          <cell r="A1646">
            <v>9</v>
          </cell>
          <cell r="B1646">
            <v>214</v>
          </cell>
          <cell r="C1646">
            <v>8659</v>
          </cell>
          <cell r="D1646">
            <v>9953.24</v>
          </cell>
          <cell r="E1646">
            <v>25</v>
          </cell>
          <cell r="F1646">
            <v>95497.35</v>
          </cell>
          <cell r="H1646">
            <v>6</v>
          </cell>
          <cell r="I1646">
            <v>334200</v>
          </cell>
          <cell r="J1646">
            <v>0</v>
          </cell>
          <cell r="K1646">
            <v>2029400</v>
          </cell>
          <cell r="L1646">
            <v>2360700</v>
          </cell>
          <cell r="M1646">
            <v>2900</v>
          </cell>
          <cell r="N1646">
            <v>0</v>
          </cell>
          <cell r="O1646" t="str">
            <v>"Omadli inson" lotereyasining to`langan chiptalari</v>
          </cell>
        </row>
        <row r="1647">
          <cell r="A1647">
            <v>9</v>
          </cell>
          <cell r="B1647">
            <v>214</v>
          </cell>
          <cell r="C1647">
            <v>3563</v>
          </cell>
          <cell r="D1647">
            <v>9953.25</v>
          </cell>
          <cell r="E1647">
            <v>25</v>
          </cell>
          <cell r="F1647">
            <v>95497.36</v>
          </cell>
          <cell r="H1647">
            <v>6</v>
          </cell>
          <cell r="I1647">
            <v>49200</v>
          </cell>
          <cell r="J1647">
            <v>0</v>
          </cell>
          <cell r="K1647">
            <v>71900</v>
          </cell>
          <cell r="L1647">
            <v>121100</v>
          </cell>
          <cell r="M1647">
            <v>0</v>
          </cell>
          <cell r="N1647">
            <v>0</v>
          </cell>
          <cell r="O1647" t="str">
            <v>"Ekolot-5" lotereyasining to`langan chiptalari</v>
          </cell>
        </row>
        <row r="1648">
          <cell r="A1648">
            <v>9</v>
          </cell>
          <cell r="B1648">
            <v>214</v>
          </cell>
          <cell r="C1648">
            <v>5996</v>
          </cell>
          <cell r="D1648">
            <v>9953.25</v>
          </cell>
          <cell r="E1648">
            <v>25</v>
          </cell>
          <cell r="F1648">
            <v>95497.36</v>
          </cell>
          <cell r="H1648">
            <v>6</v>
          </cell>
          <cell r="I1648">
            <v>0</v>
          </cell>
          <cell r="J1648">
            <v>0</v>
          </cell>
          <cell r="K1648">
            <v>21200</v>
          </cell>
          <cell r="L1648">
            <v>21200</v>
          </cell>
          <cell r="M1648">
            <v>0</v>
          </cell>
          <cell r="N1648">
            <v>0</v>
          </cell>
          <cell r="O1648" t="str">
            <v>"Ekolot-5" lotereyasining to`langan chiptalari</v>
          </cell>
        </row>
        <row r="1649">
          <cell r="A1649">
            <v>9</v>
          </cell>
          <cell r="B1649">
            <v>214</v>
          </cell>
          <cell r="C1649">
            <v>7783</v>
          </cell>
          <cell r="D1649">
            <v>9953.25</v>
          </cell>
          <cell r="E1649">
            <v>25</v>
          </cell>
          <cell r="F1649">
            <v>95497.36</v>
          </cell>
          <cell r="H1649">
            <v>6</v>
          </cell>
          <cell r="I1649">
            <v>27200</v>
          </cell>
          <cell r="J1649">
            <v>0</v>
          </cell>
          <cell r="K1649">
            <v>46900</v>
          </cell>
          <cell r="L1649">
            <v>74100</v>
          </cell>
          <cell r="M1649">
            <v>0</v>
          </cell>
          <cell r="N1649">
            <v>0</v>
          </cell>
          <cell r="O1649" t="str">
            <v>"Ekolot-5" lotereyasining to`langan chiptalari</v>
          </cell>
        </row>
        <row r="1650">
          <cell r="A1650">
            <v>9</v>
          </cell>
          <cell r="B1650">
            <v>214</v>
          </cell>
          <cell r="C1650">
            <v>7845</v>
          </cell>
          <cell r="D1650">
            <v>9953.25</v>
          </cell>
          <cell r="E1650">
            <v>25</v>
          </cell>
          <cell r="F1650">
            <v>95497.36</v>
          </cell>
          <cell r="H1650">
            <v>6</v>
          </cell>
          <cell r="I1650">
            <v>0</v>
          </cell>
          <cell r="J1650">
            <v>0</v>
          </cell>
          <cell r="K1650">
            <v>22700</v>
          </cell>
          <cell r="L1650">
            <v>22600</v>
          </cell>
          <cell r="M1650">
            <v>100</v>
          </cell>
          <cell r="N1650">
            <v>0</v>
          </cell>
          <cell r="O1650" t="str">
            <v>"Ekolot-5" lotereyasining to`langan chiptalari</v>
          </cell>
        </row>
        <row r="1651">
          <cell r="A1651">
            <v>9</v>
          </cell>
          <cell r="B1651">
            <v>214</v>
          </cell>
          <cell r="C1651">
            <v>7948</v>
          </cell>
          <cell r="D1651">
            <v>9953.25</v>
          </cell>
          <cell r="E1651">
            <v>25</v>
          </cell>
          <cell r="F1651">
            <v>95497.36</v>
          </cell>
          <cell r="H1651">
            <v>6</v>
          </cell>
          <cell r="I1651">
            <v>59700</v>
          </cell>
          <cell r="J1651">
            <v>0</v>
          </cell>
          <cell r="K1651">
            <v>53400</v>
          </cell>
          <cell r="L1651">
            <v>113100</v>
          </cell>
          <cell r="M1651">
            <v>0</v>
          </cell>
          <cell r="N1651">
            <v>0</v>
          </cell>
          <cell r="O1651" t="str">
            <v>"Ekolot-5" lotereyasining to`langan chiptalari</v>
          </cell>
        </row>
        <row r="1652">
          <cell r="A1652">
            <v>9</v>
          </cell>
          <cell r="B1652">
            <v>214</v>
          </cell>
          <cell r="C1652">
            <v>8002</v>
          </cell>
          <cell r="D1652">
            <v>9953.25</v>
          </cell>
          <cell r="E1652">
            <v>25</v>
          </cell>
          <cell r="F1652">
            <v>95497.36</v>
          </cell>
          <cell r="H1652">
            <v>6</v>
          </cell>
          <cell r="I1652">
            <v>64400</v>
          </cell>
          <cell r="J1652">
            <v>0</v>
          </cell>
          <cell r="K1652">
            <v>44400</v>
          </cell>
          <cell r="L1652">
            <v>108800</v>
          </cell>
          <cell r="M1652">
            <v>0</v>
          </cell>
          <cell r="N1652">
            <v>0</v>
          </cell>
          <cell r="O1652" t="str">
            <v>"Ekolot-5" lotereyasining to`langan chiptalari</v>
          </cell>
        </row>
        <row r="1653">
          <cell r="A1653">
            <v>9</v>
          </cell>
          <cell r="B1653">
            <v>214</v>
          </cell>
          <cell r="C1653">
            <v>8104</v>
          </cell>
          <cell r="D1653">
            <v>9953.25</v>
          </cell>
          <cell r="E1653">
            <v>25</v>
          </cell>
          <cell r="F1653">
            <v>95497.36</v>
          </cell>
          <cell r="H1653">
            <v>6</v>
          </cell>
          <cell r="I1653">
            <v>234000</v>
          </cell>
          <cell r="J1653">
            <v>0</v>
          </cell>
          <cell r="K1653">
            <v>198600</v>
          </cell>
          <cell r="L1653">
            <v>432600</v>
          </cell>
          <cell r="M1653">
            <v>0</v>
          </cell>
          <cell r="N1653">
            <v>0</v>
          </cell>
          <cell r="O1653" t="str">
            <v>"Ekolot-5" lotereyasining to`langan chiptalari</v>
          </cell>
        </row>
        <row r="1654">
          <cell r="A1654">
            <v>9</v>
          </cell>
          <cell r="B1654">
            <v>214</v>
          </cell>
          <cell r="C1654">
            <v>8137</v>
          </cell>
          <cell r="D1654">
            <v>9953.25</v>
          </cell>
          <cell r="E1654">
            <v>25</v>
          </cell>
          <cell r="F1654">
            <v>95497.36</v>
          </cell>
          <cell r="H1654">
            <v>6</v>
          </cell>
          <cell r="I1654">
            <v>20400</v>
          </cell>
          <cell r="J1654">
            <v>0</v>
          </cell>
          <cell r="K1654">
            <v>53500</v>
          </cell>
          <cell r="L1654">
            <v>73900</v>
          </cell>
          <cell r="M1654">
            <v>0</v>
          </cell>
          <cell r="N1654">
            <v>0</v>
          </cell>
          <cell r="O1654" t="str">
            <v>Оплаченные билеты - "</v>
          </cell>
        </row>
        <row r="1655">
          <cell r="A1655">
            <v>9</v>
          </cell>
          <cell r="B1655">
            <v>214</v>
          </cell>
          <cell r="C1655">
            <v>8298</v>
          </cell>
          <cell r="D1655">
            <v>9953.25</v>
          </cell>
          <cell r="E1655">
            <v>25</v>
          </cell>
          <cell r="F1655">
            <v>95497.36</v>
          </cell>
          <cell r="H1655">
            <v>6</v>
          </cell>
          <cell r="I1655">
            <v>21500</v>
          </cell>
          <cell r="J1655">
            <v>0</v>
          </cell>
          <cell r="K1655">
            <v>42500</v>
          </cell>
          <cell r="L1655">
            <v>64000</v>
          </cell>
          <cell r="M1655">
            <v>0</v>
          </cell>
          <cell r="N1655">
            <v>0</v>
          </cell>
          <cell r="O1655" t="str">
            <v>"Ekolot-5" lotereyasining to`langan chiptalari</v>
          </cell>
        </row>
        <row r="1656">
          <cell r="A1656">
            <v>9</v>
          </cell>
          <cell r="B1656">
            <v>214</v>
          </cell>
          <cell r="C1656">
            <v>8533</v>
          </cell>
          <cell r="D1656">
            <v>9953.25</v>
          </cell>
          <cell r="E1656">
            <v>25</v>
          </cell>
          <cell r="F1656">
            <v>95497.36</v>
          </cell>
          <cell r="H1656">
            <v>6</v>
          </cell>
          <cell r="I1656">
            <v>10700</v>
          </cell>
          <cell r="J1656">
            <v>0</v>
          </cell>
          <cell r="K1656">
            <v>34000</v>
          </cell>
          <cell r="L1656">
            <v>44700</v>
          </cell>
          <cell r="M1656">
            <v>0</v>
          </cell>
          <cell r="N1656">
            <v>0</v>
          </cell>
          <cell r="O1656" t="str">
            <v>"Ekolot-5" lotereyasining to`langan chiptalari</v>
          </cell>
        </row>
        <row r="1657">
          <cell r="A1657">
            <v>9</v>
          </cell>
          <cell r="B1657">
            <v>214</v>
          </cell>
          <cell r="C1657">
            <v>8659</v>
          </cell>
          <cell r="D1657">
            <v>9953.25</v>
          </cell>
          <cell r="E1657">
            <v>25</v>
          </cell>
          <cell r="F1657">
            <v>95497.36</v>
          </cell>
          <cell r="H1657">
            <v>6</v>
          </cell>
          <cell r="I1657">
            <v>2400</v>
          </cell>
          <cell r="J1657">
            <v>0</v>
          </cell>
          <cell r="K1657">
            <v>9600</v>
          </cell>
          <cell r="L1657">
            <v>12000</v>
          </cell>
          <cell r="M1657">
            <v>0</v>
          </cell>
          <cell r="N1657">
            <v>0</v>
          </cell>
          <cell r="O1657" t="str">
            <v>"Ekolot-5" lotereyasining to`langan chiptalari</v>
          </cell>
        </row>
        <row r="1658">
          <cell r="A1658">
            <v>9</v>
          </cell>
          <cell r="B1658">
            <v>214</v>
          </cell>
          <cell r="C1658">
            <v>3563</v>
          </cell>
          <cell r="D1658">
            <v>9953.26</v>
          </cell>
          <cell r="E1658">
            <v>25</v>
          </cell>
          <cell r="F1658">
            <v>95497.37</v>
          </cell>
          <cell r="H1658">
            <v>6</v>
          </cell>
          <cell r="I1658">
            <v>0</v>
          </cell>
          <cell r="J1658">
            <v>0</v>
          </cell>
          <cell r="K1658">
            <v>34300</v>
          </cell>
          <cell r="L1658">
            <v>0</v>
          </cell>
          <cell r="M1658">
            <v>34300</v>
          </cell>
          <cell r="N1658">
            <v>0</v>
          </cell>
          <cell r="O1658" t="str">
            <v>"Инсон манфаатлари учун" (5 разряд) lotereyasining to`langan</v>
          </cell>
        </row>
        <row r="1659">
          <cell r="A1659">
            <v>9</v>
          </cell>
          <cell r="B1659">
            <v>214</v>
          </cell>
          <cell r="C1659">
            <v>5996</v>
          </cell>
          <cell r="D1659">
            <v>9953.26</v>
          </cell>
          <cell r="E1659">
            <v>25</v>
          </cell>
          <cell r="F1659">
            <v>95497.37</v>
          </cell>
          <cell r="H1659">
            <v>6</v>
          </cell>
          <cell r="I1659">
            <v>0</v>
          </cell>
          <cell r="J1659">
            <v>0</v>
          </cell>
          <cell r="K1659">
            <v>58650</v>
          </cell>
          <cell r="L1659">
            <v>0</v>
          </cell>
          <cell r="M1659">
            <v>58650</v>
          </cell>
          <cell r="N1659">
            <v>0</v>
          </cell>
          <cell r="O1659" t="str">
            <v>"Инсон манфаатлари учун" (5 разряд) lotereyasining to`langan</v>
          </cell>
        </row>
        <row r="1660">
          <cell r="A1660">
            <v>9</v>
          </cell>
          <cell r="B1660">
            <v>214</v>
          </cell>
          <cell r="C1660">
            <v>7845</v>
          </cell>
          <cell r="D1660">
            <v>9953.26</v>
          </cell>
          <cell r="E1660">
            <v>25</v>
          </cell>
          <cell r="F1660">
            <v>95497.37</v>
          </cell>
          <cell r="H1660">
            <v>6</v>
          </cell>
          <cell r="I1660">
            <v>0</v>
          </cell>
          <cell r="J1660">
            <v>0</v>
          </cell>
          <cell r="K1660">
            <v>46450</v>
          </cell>
          <cell r="L1660">
            <v>0</v>
          </cell>
          <cell r="M1660">
            <v>46450</v>
          </cell>
          <cell r="N1660">
            <v>0</v>
          </cell>
          <cell r="O1660" t="str">
            <v>"Инсон манфаатлари учун" (5 разряд) lotereyasining to`langan</v>
          </cell>
        </row>
        <row r="1661">
          <cell r="A1661">
            <v>9</v>
          </cell>
          <cell r="B1661">
            <v>214</v>
          </cell>
          <cell r="C1661">
            <v>7948</v>
          </cell>
          <cell r="D1661">
            <v>9953.26</v>
          </cell>
          <cell r="E1661">
            <v>25</v>
          </cell>
          <cell r="F1661">
            <v>95497.37</v>
          </cell>
          <cell r="H1661">
            <v>6</v>
          </cell>
          <cell r="I1661">
            <v>0</v>
          </cell>
          <cell r="J1661">
            <v>0</v>
          </cell>
          <cell r="K1661">
            <v>47850</v>
          </cell>
          <cell r="L1661">
            <v>0</v>
          </cell>
          <cell r="M1661">
            <v>47850</v>
          </cell>
          <cell r="N1661">
            <v>0</v>
          </cell>
          <cell r="O1661" t="str">
            <v>"Инсон манфаатлари учун" (5 разряд) lotereyasining to`langan</v>
          </cell>
        </row>
        <row r="1662">
          <cell r="A1662">
            <v>9</v>
          </cell>
          <cell r="B1662">
            <v>214</v>
          </cell>
          <cell r="C1662">
            <v>8002</v>
          </cell>
          <cell r="D1662">
            <v>9953.26</v>
          </cell>
          <cell r="E1662">
            <v>25</v>
          </cell>
          <cell r="F1662">
            <v>95497.37</v>
          </cell>
          <cell r="H1662">
            <v>6</v>
          </cell>
          <cell r="I1662">
            <v>0</v>
          </cell>
          <cell r="J1662">
            <v>0</v>
          </cell>
          <cell r="K1662">
            <v>7350</v>
          </cell>
          <cell r="L1662">
            <v>0</v>
          </cell>
          <cell r="M1662">
            <v>7350</v>
          </cell>
          <cell r="N1662">
            <v>0</v>
          </cell>
          <cell r="O1662" t="str">
            <v>"Инсон манфаатлари учун" (5 разряд) lotereyasining to`langan</v>
          </cell>
        </row>
        <row r="1663">
          <cell r="A1663">
            <v>9</v>
          </cell>
          <cell r="B1663">
            <v>214</v>
          </cell>
          <cell r="C1663">
            <v>8104</v>
          </cell>
          <cell r="D1663">
            <v>9953.26</v>
          </cell>
          <cell r="E1663">
            <v>25</v>
          </cell>
          <cell r="F1663">
            <v>95497.37</v>
          </cell>
          <cell r="H1663">
            <v>6</v>
          </cell>
          <cell r="I1663">
            <v>0</v>
          </cell>
          <cell r="J1663">
            <v>0</v>
          </cell>
          <cell r="K1663">
            <v>6150</v>
          </cell>
          <cell r="L1663">
            <v>0</v>
          </cell>
          <cell r="M1663">
            <v>6150</v>
          </cell>
          <cell r="N1663">
            <v>0</v>
          </cell>
          <cell r="O1663" t="str">
            <v>"Инсон манфаатлари учун" (5 разряд) lotereyasining to`langan</v>
          </cell>
        </row>
        <row r="1664">
          <cell r="A1664">
            <v>9</v>
          </cell>
          <cell r="B1664">
            <v>214</v>
          </cell>
          <cell r="C1664">
            <v>8137</v>
          </cell>
          <cell r="D1664">
            <v>9953.26</v>
          </cell>
          <cell r="E1664">
            <v>25</v>
          </cell>
          <cell r="F1664">
            <v>95497.37</v>
          </cell>
          <cell r="H1664">
            <v>6</v>
          </cell>
          <cell r="I1664">
            <v>0</v>
          </cell>
          <cell r="J1664">
            <v>0</v>
          </cell>
          <cell r="K1664">
            <v>6300</v>
          </cell>
          <cell r="L1664">
            <v>0</v>
          </cell>
          <cell r="M1664">
            <v>6300</v>
          </cell>
          <cell r="N1664">
            <v>0</v>
          </cell>
          <cell r="O1664" t="str">
            <v>"Инсон манфаатлари учун" (5 разряд) lotereyasining to`langan</v>
          </cell>
        </row>
        <row r="1665">
          <cell r="A1665">
            <v>9</v>
          </cell>
          <cell r="B1665">
            <v>214</v>
          </cell>
          <cell r="C1665">
            <v>8298</v>
          </cell>
          <cell r="D1665">
            <v>9953.26</v>
          </cell>
          <cell r="E1665">
            <v>25</v>
          </cell>
          <cell r="F1665">
            <v>95497.37</v>
          </cell>
          <cell r="H1665">
            <v>6</v>
          </cell>
          <cell r="I1665">
            <v>0</v>
          </cell>
          <cell r="J1665">
            <v>0</v>
          </cell>
          <cell r="K1665">
            <v>29000</v>
          </cell>
          <cell r="L1665">
            <v>0</v>
          </cell>
          <cell r="M1665">
            <v>29000</v>
          </cell>
          <cell r="N1665">
            <v>0</v>
          </cell>
          <cell r="O1665" t="str">
            <v>"Инсон манфаатлари учун" (5 разряд) lotereyasining to`langan</v>
          </cell>
        </row>
        <row r="1666">
          <cell r="A1666">
            <v>9</v>
          </cell>
          <cell r="B1666">
            <v>214</v>
          </cell>
          <cell r="C1666">
            <v>8533</v>
          </cell>
          <cell r="D1666">
            <v>9953.26</v>
          </cell>
          <cell r="E1666">
            <v>25</v>
          </cell>
          <cell r="F1666">
            <v>95497.37</v>
          </cell>
          <cell r="H1666">
            <v>6</v>
          </cell>
          <cell r="I1666">
            <v>0</v>
          </cell>
          <cell r="J1666">
            <v>0</v>
          </cell>
          <cell r="K1666">
            <v>37950</v>
          </cell>
          <cell r="L1666">
            <v>0</v>
          </cell>
          <cell r="M1666">
            <v>37950</v>
          </cell>
          <cell r="N1666">
            <v>0</v>
          </cell>
          <cell r="O1666" t="str">
            <v>"Инсон манфаатлари учун" (5 разряд) lotereyasining to`langan</v>
          </cell>
        </row>
        <row r="1667">
          <cell r="A1667">
            <v>9</v>
          </cell>
          <cell r="B1667">
            <v>214</v>
          </cell>
          <cell r="C1667">
            <v>8659</v>
          </cell>
          <cell r="D1667">
            <v>9953.26</v>
          </cell>
          <cell r="E1667">
            <v>25</v>
          </cell>
          <cell r="F1667">
            <v>95497.37</v>
          </cell>
          <cell r="H1667">
            <v>6</v>
          </cell>
          <cell r="I1667">
            <v>0</v>
          </cell>
          <cell r="J1667">
            <v>0</v>
          </cell>
          <cell r="K1667">
            <v>31150</v>
          </cell>
          <cell r="L1667">
            <v>0</v>
          </cell>
          <cell r="M1667">
            <v>31150</v>
          </cell>
          <cell r="N1667">
            <v>0</v>
          </cell>
          <cell r="O1667" t="str">
            <v>"Инсон манфаатлари учун" (5 разряд) lotereyasining to`langan</v>
          </cell>
        </row>
        <row r="1668">
          <cell r="A1668">
            <v>9</v>
          </cell>
          <cell r="B1668">
            <v>214</v>
          </cell>
          <cell r="C1668">
            <v>3563</v>
          </cell>
          <cell r="D1668">
            <v>9953.27</v>
          </cell>
          <cell r="E1668">
            <v>0</v>
          </cell>
          <cell r="F1668">
            <v>95497.38</v>
          </cell>
          <cell r="H1668">
            <v>0</v>
          </cell>
          <cell r="I1668">
            <v>0</v>
          </cell>
          <cell r="J1668">
            <v>0</v>
          </cell>
          <cell r="K1668">
            <v>132450</v>
          </cell>
          <cell r="L1668">
            <v>132450</v>
          </cell>
          <cell r="M1668">
            <v>0</v>
          </cell>
          <cell r="N1668">
            <v>0</v>
          </cell>
          <cell r="O1668" t="str">
            <v>"Эколот-6" lotereyasining to`langan chiptalari</v>
          </cell>
        </row>
        <row r="1669">
          <cell r="A1669">
            <v>9</v>
          </cell>
          <cell r="B1669">
            <v>214</v>
          </cell>
          <cell r="C1669">
            <v>7783</v>
          </cell>
          <cell r="D1669">
            <v>9953.27</v>
          </cell>
          <cell r="E1669">
            <v>0</v>
          </cell>
          <cell r="F1669">
            <v>95497.38</v>
          </cell>
          <cell r="H1669">
            <v>0</v>
          </cell>
          <cell r="I1669">
            <v>0</v>
          </cell>
          <cell r="J1669">
            <v>0</v>
          </cell>
          <cell r="K1669">
            <v>86900</v>
          </cell>
          <cell r="L1669">
            <v>86900</v>
          </cell>
          <cell r="M1669">
            <v>0</v>
          </cell>
          <cell r="N1669">
            <v>0</v>
          </cell>
          <cell r="O1669" t="str">
            <v>"Эколот-6" lotereyasining to`langan chiptalari</v>
          </cell>
        </row>
        <row r="1670">
          <cell r="A1670">
            <v>9</v>
          </cell>
          <cell r="B1670">
            <v>214</v>
          </cell>
          <cell r="C1670">
            <v>7948</v>
          </cell>
          <cell r="D1670">
            <v>9953.27</v>
          </cell>
          <cell r="E1670">
            <v>0</v>
          </cell>
          <cell r="F1670">
            <v>95497.38</v>
          </cell>
          <cell r="H1670">
            <v>0</v>
          </cell>
          <cell r="I1670">
            <v>0</v>
          </cell>
          <cell r="J1670">
            <v>0</v>
          </cell>
          <cell r="K1670">
            <v>66850</v>
          </cell>
          <cell r="L1670">
            <v>66850</v>
          </cell>
          <cell r="M1670">
            <v>0</v>
          </cell>
          <cell r="N1670">
            <v>0</v>
          </cell>
          <cell r="O1670" t="str">
            <v>"Эколот-6" lotereyasining to`langan chiptalari</v>
          </cell>
        </row>
        <row r="1671">
          <cell r="A1671">
            <v>9</v>
          </cell>
          <cell r="B1671">
            <v>214</v>
          </cell>
          <cell r="C1671">
            <v>8104</v>
          </cell>
          <cell r="D1671">
            <v>9953.27</v>
          </cell>
          <cell r="E1671">
            <v>0</v>
          </cell>
          <cell r="F1671">
            <v>95497.38</v>
          </cell>
          <cell r="H1671">
            <v>0</v>
          </cell>
          <cell r="I1671">
            <v>0</v>
          </cell>
          <cell r="J1671">
            <v>0</v>
          </cell>
          <cell r="K1671">
            <v>121500</v>
          </cell>
          <cell r="L1671">
            <v>121500</v>
          </cell>
          <cell r="M1671">
            <v>0</v>
          </cell>
          <cell r="N1671">
            <v>0</v>
          </cell>
          <cell r="O1671" t="str">
            <v>"Эколот-6" lotereyasining to`langan chiptalari</v>
          </cell>
        </row>
        <row r="1672">
          <cell r="A1672">
            <v>9</v>
          </cell>
          <cell r="B1672">
            <v>214</v>
          </cell>
          <cell r="C1672">
            <v>8137</v>
          </cell>
          <cell r="D1672">
            <v>9953.27</v>
          </cell>
          <cell r="E1672">
            <v>0</v>
          </cell>
          <cell r="F1672">
            <v>95497.38</v>
          </cell>
          <cell r="H1672">
            <v>0</v>
          </cell>
          <cell r="I1672">
            <v>0</v>
          </cell>
          <cell r="J1672">
            <v>0</v>
          </cell>
          <cell r="K1672">
            <v>55550</v>
          </cell>
          <cell r="L1672">
            <v>55550</v>
          </cell>
          <cell r="M1672">
            <v>0</v>
          </cell>
          <cell r="N1672">
            <v>0</v>
          </cell>
          <cell r="O1672" t="str">
            <v>"Эколот-6" lotereyasining to`langan chiptalari</v>
          </cell>
        </row>
        <row r="1673">
          <cell r="A1673">
            <v>9</v>
          </cell>
          <cell r="B1673">
            <v>214</v>
          </cell>
          <cell r="C1673">
            <v>3563</v>
          </cell>
          <cell r="D1673">
            <v>9953.2800000000007</v>
          </cell>
          <cell r="E1673">
            <v>0</v>
          </cell>
          <cell r="F1673">
            <v>95497.39</v>
          </cell>
          <cell r="H1673">
            <v>0</v>
          </cell>
          <cell r="I1673">
            <v>0</v>
          </cell>
          <cell r="J1673">
            <v>0</v>
          </cell>
          <cell r="K1673">
            <v>312950</v>
          </cell>
          <cell r="L1673">
            <v>260450</v>
          </cell>
          <cell r="M1673">
            <v>52500</v>
          </cell>
          <cell r="N1673">
            <v>0</v>
          </cell>
          <cell r="O1673" t="str">
            <v>"Эколот-7" lotereyasining to`langan chiptalari</v>
          </cell>
        </row>
        <row r="1674">
          <cell r="A1674">
            <v>9</v>
          </cell>
          <cell r="B1674">
            <v>214</v>
          </cell>
          <cell r="C1674">
            <v>5996</v>
          </cell>
          <cell r="D1674">
            <v>9953.2800000000007</v>
          </cell>
          <cell r="E1674">
            <v>0</v>
          </cell>
          <cell r="F1674">
            <v>95497.39</v>
          </cell>
          <cell r="H1674">
            <v>0</v>
          </cell>
          <cell r="I1674">
            <v>0</v>
          </cell>
          <cell r="J1674">
            <v>0</v>
          </cell>
          <cell r="K1674">
            <v>70000</v>
          </cell>
          <cell r="L1674">
            <v>10000</v>
          </cell>
          <cell r="M1674">
            <v>60000</v>
          </cell>
          <cell r="N1674">
            <v>0</v>
          </cell>
          <cell r="O1674" t="str">
            <v>"Эколот-7" lotereyasining to`langan chiptalari</v>
          </cell>
        </row>
        <row r="1675">
          <cell r="A1675">
            <v>9</v>
          </cell>
          <cell r="B1675">
            <v>214</v>
          </cell>
          <cell r="C1675">
            <v>7783</v>
          </cell>
          <cell r="D1675">
            <v>9953.2800000000007</v>
          </cell>
          <cell r="E1675">
            <v>0</v>
          </cell>
          <cell r="F1675">
            <v>95497.39</v>
          </cell>
          <cell r="H1675">
            <v>0</v>
          </cell>
          <cell r="I1675">
            <v>0</v>
          </cell>
          <cell r="J1675">
            <v>0</v>
          </cell>
          <cell r="K1675">
            <v>435000</v>
          </cell>
          <cell r="L1675">
            <v>434000</v>
          </cell>
          <cell r="M1675">
            <v>1000</v>
          </cell>
          <cell r="N1675">
            <v>0</v>
          </cell>
          <cell r="O1675" t="str">
            <v>"Эколот-7" lotereyasining to`langan chiptalari</v>
          </cell>
        </row>
        <row r="1676">
          <cell r="A1676">
            <v>9</v>
          </cell>
          <cell r="B1676">
            <v>214</v>
          </cell>
          <cell r="C1676">
            <v>7948</v>
          </cell>
          <cell r="D1676">
            <v>9953.2800000000007</v>
          </cell>
          <cell r="E1676">
            <v>0</v>
          </cell>
          <cell r="F1676">
            <v>95497.39</v>
          </cell>
          <cell r="H1676">
            <v>0</v>
          </cell>
          <cell r="I1676">
            <v>0</v>
          </cell>
          <cell r="J1676">
            <v>0</v>
          </cell>
          <cell r="K1676">
            <v>442000</v>
          </cell>
          <cell r="L1676">
            <v>328500</v>
          </cell>
          <cell r="M1676">
            <v>113500</v>
          </cell>
          <cell r="N1676">
            <v>0</v>
          </cell>
          <cell r="O1676" t="str">
            <v>"Эколот-7" lotereyasining to`langan chiptalari</v>
          </cell>
        </row>
        <row r="1677">
          <cell r="A1677">
            <v>9</v>
          </cell>
          <cell r="B1677">
            <v>214</v>
          </cell>
          <cell r="C1677">
            <v>8002</v>
          </cell>
          <cell r="D1677">
            <v>9953.2800000000007</v>
          </cell>
          <cell r="E1677">
            <v>0</v>
          </cell>
          <cell r="F1677">
            <v>95497.39</v>
          </cell>
          <cell r="H1677">
            <v>0</v>
          </cell>
          <cell r="I1677">
            <v>0</v>
          </cell>
          <cell r="J1677">
            <v>0</v>
          </cell>
          <cell r="K1677">
            <v>411000</v>
          </cell>
          <cell r="L1677">
            <v>0</v>
          </cell>
          <cell r="M1677">
            <v>411000</v>
          </cell>
          <cell r="N1677">
            <v>0</v>
          </cell>
          <cell r="O1677" t="str">
            <v>"Эколот-7" lotereyasining to`langan chiptalari</v>
          </cell>
        </row>
        <row r="1678">
          <cell r="A1678">
            <v>9</v>
          </cell>
          <cell r="B1678">
            <v>214</v>
          </cell>
          <cell r="C1678">
            <v>8104</v>
          </cell>
          <cell r="D1678">
            <v>9953.2800000000007</v>
          </cell>
          <cell r="E1678">
            <v>0</v>
          </cell>
          <cell r="F1678">
            <v>95497.39</v>
          </cell>
          <cell r="H1678">
            <v>0</v>
          </cell>
          <cell r="I1678">
            <v>0</v>
          </cell>
          <cell r="J1678">
            <v>0</v>
          </cell>
          <cell r="K1678">
            <v>452000</v>
          </cell>
          <cell r="L1678">
            <v>452000</v>
          </cell>
          <cell r="M1678">
            <v>0</v>
          </cell>
          <cell r="N1678">
            <v>0</v>
          </cell>
          <cell r="O1678" t="str">
            <v>"Эколот-7" lotereyasining to`langan chiptalari</v>
          </cell>
        </row>
        <row r="1679">
          <cell r="A1679">
            <v>9</v>
          </cell>
          <cell r="B1679">
            <v>214</v>
          </cell>
          <cell r="C1679">
            <v>8137</v>
          </cell>
          <cell r="D1679">
            <v>9953.2800000000007</v>
          </cell>
          <cell r="E1679">
            <v>0</v>
          </cell>
          <cell r="F1679">
            <v>95497.39</v>
          </cell>
          <cell r="H1679">
            <v>0</v>
          </cell>
          <cell r="I1679">
            <v>0</v>
          </cell>
          <cell r="J1679">
            <v>0</v>
          </cell>
          <cell r="K1679">
            <v>261000</v>
          </cell>
          <cell r="L1679">
            <v>206500</v>
          </cell>
          <cell r="M1679">
            <v>54500</v>
          </cell>
          <cell r="N1679">
            <v>0</v>
          </cell>
          <cell r="O1679" t="str">
            <v>"" lotereyasining to`langan chiptalari</v>
          </cell>
        </row>
        <row r="1680">
          <cell r="A1680">
            <v>9</v>
          </cell>
          <cell r="B1680">
            <v>214</v>
          </cell>
          <cell r="C1680">
            <v>8298</v>
          </cell>
          <cell r="D1680">
            <v>9953.2800000000007</v>
          </cell>
          <cell r="E1680">
            <v>0</v>
          </cell>
          <cell r="F1680">
            <v>95497.39</v>
          </cell>
          <cell r="H1680">
            <v>0</v>
          </cell>
          <cell r="I1680">
            <v>0</v>
          </cell>
          <cell r="J1680">
            <v>0</v>
          </cell>
          <cell r="K1680">
            <v>10000</v>
          </cell>
          <cell r="L1680">
            <v>10000</v>
          </cell>
          <cell r="M1680">
            <v>0</v>
          </cell>
          <cell r="N1680">
            <v>0</v>
          </cell>
          <cell r="O1680" t="str">
            <v>"Эколот-7" lotereyasining to`langan chiptalari</v>
          </cell>
        </row>
        <row r="1681">
          <cell r="A1681">
            <v>9</v>
          </cell>
          <cell r="B1681">
            <v>214</v>
          </cell>
          <cell r="C1681">
            <v>3563</v>
          </cell>
          <cell r="D1681">
            <v>9953.2999999999993</v>
          </cell>
          <cell r="E1681">
            <v>0</v>
          </cell>
          <cell r="F1681">
            <v>95497.41</v>
          </cell>
          <cell r="H1681">
            <v>0</v>
          </cell>
          <cell r="I1681">
            <v>0</v>
          </cell>
          <cell r="J1681">
            <v>0</v>
          </cell>
          <cell r="K1681">
            <v>401700</v>
          </cell>
          <cell r="L1681">
            <v>302000</v>
          </cell>
          <cell r="M1681">
            <v>99700</v>
          </cell>
          <cell r="N1681">
            <v>0</v>
          </cell>
          <cell r="O1681" t="str">
            <v>"Эколот-8" lotereyasining to`langan chiptalari</v>
          </cell>
        </row>
        <row r="1682">
          <cell r="A1682">
            <v>9</v>
          </cell>
          <cell r="B1682">
            <v>214</v>
          </cell>
          <cell r="C1682">
            <v>5996</v>
          </cell>
          <cell r="D1682">
            <v>9953.2999999999993</v>
          </cell>
          <cell r="E1682">
            <v>0</v>
          </cell>
          <cell r="F1682">
            <v>95497.41</v>
          </cell>
          <cell r="H1682">
            <v>0</v>
          </cell>
          <cell r="I1682">
            <v>0</v>
          </cell>
          <cell r="J1682">
            <v>0</v>
          </cell>
          <cell r="K1682">
            <v>77800</v>
          </cell>
          <cell r="L1682">
            <v>55800</v>
          </cell>
          <cell r="M1682">
            <v>22000</v>
          </cell>
          <cell r="N1682">
            <v>0</v>
          </cell>
          <cell r="O1682" t="str">
            <v>"Эколот-8" lotereyasining to`langan chiptalari</v>
          </cell>
        </row>
        <row r="1683">
          <cell r="A1683">
            <v>9</v>
          </cell>
          <cell r="B1683">
            <v>214</v>
          </cell>
          <cell r="C1683">
            <v>7783</v>
          </cell>
          <cell r="D1683">
            <v>9953.2999999999993</v>
          </cell>
          <cell r="E1683">
            <v>0</v>
          </cell>
          <cell r="F1683">
            <v>95497.41</v>
          </cell>
          <cell r="H1683">
            <v>0</v>
          </cell>
          <cell r="I1683">
            <v>0</v>
          </cell>
          <cell r="J1683">
            <v>0</v>
          </cell>
          <cell r="K1683">
            <v>174600</v>
          </cell>
          <cell r="L1683">
            <v>165700</v>
          </cell>
          <cell r="M1683">
            <v>8900</v>
          </cell>
          <cell r="N1683">
            <v>0</v>
          </cell>
          <cell r="O1683" t="str">
            <v>"Эколот-8" lotereyasining to`langan chiptalari</v>
          </cell>
        </row>
        <row r="1684">
          <cell r="A1684">
            <v>9</v>
          </cell>
          <cell r="B1684">
            <v>214</v>
          </cell>
          <cell r="C1684">
            <v>7948</v>
          </cell>
          <cell r="D1684">
            <v>9953.2999999999993</v>
          </cell>
          <cell r="E1684">
            <v>0</v>
          </cell>
          <cell r="F1684">
            <v>95497.41</v>
          </cell>
          <cell r="H1684">
            <v>0</v>
          </cell>
          <cell r="I1684">
            <v>0</v>
          </cell>
          <cell r="J1684">
            <v>0</v>
          </cell>
          <cell r="K1684">
            <v>455500</v>
          </cell>
          <cell r="L1684">
            <v>0</v>
          </cell>
          <cell r="M1684">
            <v>455500</v>
          </cell>
          <cell r="N1684">
            <v>0</v>
          </cell>
          <cell r="O1684" t="str">
            <v>"Эколот-8" lotereyasining to`langan chiptalari</v>
          </cell>
        </row>
        <row r="1685">
          <cell r="A1685">
            <v>9</v>
          </cell>
          <cell r="B1685">
            <v>214</v>
          </cell>
          <cell r="C1685">
            <v>8002</v>
          </cell>
          <cell r="D1685">
            <v>9953.2999999999993</v>
          </cell>
          <cell r="E1685">
            <v>0</v>
          </cell>
          <cell r="F1685">
            <v>95497.41</v>
          </cell>
          <cell r="H1685">
            <v>0</v>
          </cell>
          <cell r="I1685">
            <v>0</v>
          </cell>
          <cell r="J1685">
            <v>0</v>
          </cell>
          <cell r="K1685">
            <v>176800</v>
          </cell>
          <cell r="L1685">
            <v>167100</v>
          </cell>
          <cell r="M1685">
            <v>9700</v>
          </cell>
          <cell r="N1685">
            <v>0</v>
          </cell>
          <cell r="O1685" t="str">
            <v>"Эколот-8" lotereyasining to`langan chiptalari</v>
          </cell>
        </row>
        <row r="1686">
          <cell r="A1686">
            <v>9</v>
          </cell>
          <cell r="B1686">
            <v>214</v>
          </cell>
          <cell r="C1686">
            <v>8104</v>
          </cell>
          <cell r="D1686">
            <v>9953.2999999999993</v>
          </cell>
          <cell r="E1686">
            <v>0</v>
          </cell>
          <cell r="F1686">
            <v>95497.41</v>
          </cell>
          <cell r="H1686">
            <v>0</v>
          </cell>
          <cell r="I1686">
            <v>0</v>
          </cell>
          <cell r="J1686">
            <v>0</v>
          </cell>
          <cell r="K1686">
            <v>223300</v>
          </cell>
          <cell r="L1686">
            <v>203700</v>
          </cell>
          <cell r="M1686">
            <v>19600</v>
          </cell>
          <cell r="N1686">
            <v>0</v>
          </cell>
          <cell r="O1686" t="str">
            <v>"Эколот-8" lotereyasining to`langan chiptalari</v>
          </cell>
        </row>
        <row r="1687">
          <cell r="A1687">
            <v>9</v>
          </cell>
          <cell r="B1687">
            <v>214</v>
          </cell>
          <cell r="C1687">
            <v>8137</v>
          </cell>
          <cell r="D1687">
            <v>9953.2999999999993</v>
          </cell>
          <cell r="E1687">
            <v>0</v>
          </cell>
          <cell r="F1687">
            <v>95497.41</v>
          </cell>
          <cell r="H1687">
            <v>0</v>
          </cell>
          <cell r="I1687">
            <v>0</v>
          </cell>
          <cell r="J1687">
            <v>0</v>
          </cell>
          <cell r="K1687">
            <v>179200</v>
          </cell>
          <cell r="L1687">
            <v>0</v>
          </cell>
          <cell r="M1687">
            <v>179200</v>
          </cell>
          <cell r="N1687">
            <v>0</v>
          </cell>
          <cell r="O1687" t="str">
            <v>"Эколот-8" lotereyasining to`langan chiptalari</v>
          </cell>
        </row>
        <row r="1688">
          <cell r="A1688">
            <v>9</v>
          </cell>
          <cell r="B1688">
            <v>214</v>
          </cell>
          <cell r="C1688">
            <v>8298</v>
          </cell>
          <cell r="D1688">
            <v>9953.2999999999993</v>
          </cell>
          <cell r="E1688">
            <v>0</v>
          </cell>
          <cell r="F1688">
            <v>95497.41</v>
          </cell>
          <cell r="H1688">
            <v>0</v>
          </cell>
          <cell r="I1688">
            <v>0</v>
          </cell>
          <cell r="J1688">
            <v>0</v>
          </cell>
          <cell r="K1688">
            <v>209400</v>
          </cell>
          <cell r="L1688">
            <v>32000</v>
          </cell>
          <cell r="M1688">
            <v>177400</v>
          </cell>
          <cell r="N1688">
            <v>0</v>
          </cell>
          <cell r="O1688" t="str">
            <v>"Эколот-8" lotereyasining to`langan chiptalari</v>
          </cell>
        </row>
        <row r="1689">
          <cell r="A1689">
            <v>9</v>
          </cell>
          <cell r="B1689">
            <v>214</v>
          </cell>
          <cell r="C1689">
            <v>3563</v>
          </cell>
          <cell r="D1689">
            <v>9953.31</v>
          </cell>
          <cell r="E1689">
            <v>0</v>
          </cell>
          <cell r="F1689">
            <v>95497.42</v>
          </cell>
          <cell r="H1689">
            <v>0</v>
          </cell>
          <cell r="I1689">
            <v>0</v>
          </cell>
          <cell r="J1689">
            <v>0</v>
          </cell>
          <cell r="K1689">
            <v>451975</v>
          </cell>
          <cell r="L1689">
            <v>271350</v>
          </cell>
          <cell r="M1689">
            <v>180625</v>
          </cell>
          <cell r="N1689">
            <v>0</v>
          </cell>
          <cell r="O1689" t="str">
            <v>"Эколот-9" lotereyasining to`langan chiptalari</v>
          </cell>
        </row>
        <row r="1690">
          <cell r="A1690">
            <v>9</v>
          </cell>
          <cell r="B1690">
            <v>214</v>
          </cell>
          <cell r="C1690">
            <v>5996</v>
          </cell>
          <cell r="D1690">
            <v>9953.31</v>
          </cell>
          <cell r="E1690">
            <v>0</v>
          </cell>
          <cell r="F1690">
            <v>95497.42</v>
          </cell>
          <cell r="H1690">
            <v>0</v>
          </cell>
          <cell r="I1690">
            <v>0</v>
          </cell>
          <cell r="J1690">
            <v>0</v>
          </cell>
          <cell r="K1690">
            <v>634900</v>
          </cell>
          <cell r="L1690">
            <v>509775</v>
          </cell>
          <cell r="M1690">
            <v>125125</v>
          </cell>
          <cell r="N1690">
            <v>0</v>
          </cell>
          <cell r="O1690" t="str">
            <v>"Эколот-9" lotereyasining to`langan chiptalari</v>
          </cell>
        </row>
        <row r="1691">
          <cell r="A1691">
            <v>9</v>
          </cell>
          <cell r="B1691">
            <v>214</v>
          </cell>
          <cell r="C1691">
            <v>7783</v>
          </cell>
          <cell r="D1691">
            <v>9953.31</v>
          </cell>
          <cell r="E1691">
            <v>0</v>
          </cell>
          <cell r="F1691">
            <v>95497.42</v>
          </cell>
          <cell r="H1691">
            <v>0</v>
          </cell>
          <cell r="I1691">
            <v>0</v>
          </cell>
          <cell r="J1691">
            <v>0</v>
          </cell>
          <cell r="K1691">
            <v>435550</v>
          </cell>
          <cell r="L1691">
            <v>270550</v>
          </cell>
          <cell r="M1691">
            <v>165000</v>
          </cell>
          <cell r="N1691">
            <v>0</v>
          </cell>
          <cell r="O1691" t="str">
            <v>"Эколот-9" lotereyasining to`langan chiptalari</v>
          </cell>
        </row>
        <row r="1692">
          <cell r="A1692">
            <v>9</v>
          </cell>
          <cell r="B1692">
            <v>214</v>
          </cell>
          <cell r="C1692">
            <v>7845</v>
          </cell>
          <cell r="D1692">
            <v>9953.31</v>
          </cell>
          <cell r="E1692">
            <v>0</v>
          </cell>
          <cell r="F1692">
            <v>95497.42</v>
          </cell>
          <cell r="H1692">
            <v>0</v>
          </cell>
          <cell r="I1692">
            <v>0</v>
          </cell>
          <cell r="J1692">
            <v>0</v>
          </cell>
          <cell r="K1692">
            <v>851475</v>
          </cell>
          <cell r="L1692">
            <v>0</v>
          </cell>
          <cell r="M1692">
            <v>851475</v>
          </cell>
          <cell r="N1692">
            <v>0</v>
          </cell>
          <cell r="O1692" t="str">
            <v>"Эколот-9" lotereyasining to`langan chiptalari</v>
          </cell>
        </row>
        <row r="1693">
          <cell r="A1693">
            <v>9</v>
          </cell>
          <cell r="B1693">
            <v>214</v>
          </cell>
          <cell r="C1693">
            <v>7948</v>
          </cell>
          <cell r="D1693">
            <v>9953.31</v>
          </cell>
          <cell r="E1693">
            <v>0</v>
          </cell>
          <cell r="F1693">
            <v>95497.42</v>
          </cell>
          <cell r="H1693">
            <v>0</v>
          </cell>
          <cell r="I1693">
            <v>0</v>
          </cell>
          <cell r="J1693">
            <v>0</v>
          </cell>
          <cell r="K1693">
            <v>934900</v>
          </cell>
          <cell r="L1693">
            <v>0</v>
          </cell>
          <cell r="M1693">
            <v>934900</v>
          </cell>
          <cell r="N1693">
            <v>0</v>
          </cell>
          <cell r="O1693" t="str">
            <v>"Эколот-9" lotereyasining to`langan chiptalari</v>
          </cell>
        </row>
        <row r="1694">
          <cell r="A1694">
            <v>9</v>
          </cell>
          <cell r="B1694">
            <v>214</v>
          </cell>
          <cell r="C1694">
            <v>8002</v>
          </cell>
          <cell r="D1694">
            <v>9953.31</v>
          </cell>
          <cell r="E1694">
            <v>0</v>
          </cell>
          <cell r="F1694">
            <v>95497.42</v>
          </cell>
          <cell r="H1694">
            <v>0</v>
          </cell>
          <cell r="I1694">
            <v>0</v>
          </cell>
          <cell r="J1694">
            <v>0</v>
          </cell>
          <cell r="K1694">
            <v>677500</v>
          </cell>
          <cell r="L1694">
            <v>638050</v>
          </cell>
          <cell r="M1694">
            <v>39450</v>
          </cell>
          <cell r="N1694">
            <v>0</v>
          </cell>
          <cell r="O1694" t="str">
            <v>"Эколот-9" lotereyasining to`langan chiptalari</v>
          </cell>
        </row>
        <row r="1695">
          <cell r="A1695">
            <v>9</v>
          </cell>
          <cell r="B1695">
            <v>214</v>
          </cell>
          <cell r="C1695">
            <v>8104</v>
          </cell>
          <cell r="D1695">
            <v>9953.31</v>
          </cell>
          <cell r="E1695">
            <v>0</v>
          </cell>
          <cell r="F1695">
            <v>95497.42</v>
          </cell>
          <cell r="H1695">
            <v>0</v>
          </cell>
          <cell r="I1695">
            <v>0</v>
          </cell>
          <cell r="J1695">
            <v>0</v>
          </cell>
          <cell r="K1695">
            <v>140500</v>
          </cell>
          <cell r="L1695">
            <v>105100</v>
          </cell>
          <cell r="M1695">
            <v>35400</v>
          </cell>
          <cell r="N1695">
            <v>0</v>
          </cell>
          <cell r="O1695" t="str">
            <v>"Эколот-9" lotereyasining to`langan chiptalari</v>
          </cell>
        </row>
        <row r="1696">
          <cell r="A1696">
            <v>9</v>
          </cell>
          <cell r="B1696">
            <v>214</v>
          </cell>
          <cell r="C1696">
            <v>8137</v>
          </cell>
          <cell r="D1696">
            <v>9953.31</v>
          </cell>
          <cell r="E1696">
            <v>0</v>
          </cell>
          <cell r="F1696">
            <v>95497.42</v>
          </cell>
          <cell r="H1696">
            <v>0</v>
          </cell>
          <cell r="I1696">
            <v>0</v>
          </cell>
          <cell r="J1696">
            <v>0</v>
          </cell>
          <cell r="K1696">
            <v>221850</v>
          </cell>
          <cell r="L1696">
            <v>0</v>
          </cell>
          <cell r="M1696">
            <v>221850</v>
          </cell>
          <cell r="N1696">
            <v>0</v>
          </cell>
          <cell r="O1696" t="str">
            <v>"Эколот-9" lotereyasining to`langan chiptalari</v>
          </cell>
        </row>
        <row r="1697">
          <cell r="A1697">
            <v>9</v>
          </cell>
          <cell r="B1697">
            <v>214</v>
          </cell>
          <cell r="C1697">
            <v>8298</v>
          </cell>
          <cell r="D1697">
            <v>9953.31</v>
          </cell>
          <cell r="E1697">
            <v>0</v>
          </cell>
          <cell r="F1697">
            <v>95497.42</v>
          </cell>
          <cell r="H1697">
            <v>0</v>
          </cell>
          <cell r="I1697">
            <v>0</v>
          </cell>
          <cell r="J1697">
            <v>0</v>
          </cell>
          <cell r="K1697">
            <v>362300</v>
          </cell>
          <cell r="L1697">
            <v>15900</v>
          </cell>
          <cell r="M1697">
            <v>346400</v>
          </cell>
          <cell r="N1697">
            <v>0</v>
          </cell>
          <cell r="O1697" t="str">
            <v>"Эколот-9" lotereyasining to`langan chiptalari</v>
          </cell>
        </row>
        <row r="1698">
          <cell r="A1698">
            <v>9</v>
          </cell>
          <cell r="B1698">
            <v>214</v>
          </cell>
          <cell r="C1698">
            <v>8533</v>
          </cell>
          <cell r="D1698">
            <v>9953.31</v>
          </cell>
          <cell r="E1698">
            <v>0</v>
          </cell>
          <cell r="F1698">
            <v>95497.42</v>
          </cell>
          <cell r="H1698">
            <v>0</v>
          </cell>
          <cell r="I1698">
            <v>0</v>
          </cell>
          <cell r="J1698">
            <v>0</v>
          </cell>
          <cell r="K1698">
            <v>61600</v>
          </cell>
          <cell r="L1698">
            <v>0</v>
          </cell>
          <cell r="M1698">
            <v>61600</v>
          </cell>
          <cell r="N1698">
            <v>0</v>
          </cell>
          <cell r="O1698" t="str">
            <v>"Эколот-9" lotereyasining to`langan chiptalari</v>
          </cell>
        </row>
        <row r="1699">
          <cell r="A1699">
            <v>9</v>
          </cell>
          <cell r="B1699">
            <v>214</v>
          </cell>
          <cell r="C1699">
            <v>8659</v>
          </cell>
          <cell r="D1699">
            <v>9953.31</v>
          </cell>
          <cell r="E1699">
            <v>0</v>
          </cell>
          <cell r="F1699">
            <v>95497.42</v>
          </cell>
          <cell r="H1699">
            <v>0</v>
          </cell>
          <cell r="I1699">
            <v>0</v>
          </cell>
          <cell r="J1699">
            <v>0</v>
          </cell>
          <cell r="K1699">
            <v>431350</v>
          </cell>
          <cell r="L1699">
            <v>0</v>
          </cell>
          <cell r="M1699">
            <v>431350</v>
          </cell>
          <cell r="N1699">
            <v>0</v>
          </cell>
          <cell r="O1699" t="str">
            <v>"Эколот-9" lotereyasining to`langan chiptalari</v>
          </cell>
        </row>
        <row r="1700">
          <cell r="A1700">
            <v>9</v>
          </cell>
          <cell r="B1700">
            <v>214</v>
          </cell>
          <cell r="C1700">
            <v>3563</v>
          </cell>
          <cell r="D1700">
            <v>9959</v>
          </cell>
          <cell r="E1700">
            <v>25</v>
          </cell>
          <cell r="F1700">
            <v>93609.04</v>
          </cell>
          <cell r="H1700">
            <v>6</v>
          </cell>
          <cell r="I1700">
            <v>339203</v>
          </cell>
          <cell r="J1700">
            <v>0</v>
          </cell>
          <cell r="K1700">
            <v>4310</v>
          </cell>
          <cell r="L1700">
            <v>12846</v>
          </cell>
          <cell r="M1700">
            <v>330667</v>
          </cell>
          <cell r="N1700">
            <v>0</v>
          </cell>
          <cell r="O1700" t="str">
            <v>Бланки строгой отчетности</v>
          </cell>
        </row>
        <row r="1701">
          <cell r="A1701">
            <v>9</v>
          </cell>
          <cell r="B1701">
            <v>214</v>
          </cell>
          <cell r="C1701">
            <v>5996</v>
          </cell>
          <cell r="D1701">
            <v>9959</v>
          </cell>
          <cell r="E1701">
            <v>25</v>
          </cell>
          <cell r="F1701">
            <v>93609.04</v>
          </cell>
          <cell r="H1701">
            <v>6</v>
          </cell>
          <cell r="I1701">
            <v>133029</v>
          </cell>
          <cell r="J1701">
            <v>0</v>
          </cell>
          <cell r="K1701">
            <v>4775</v>
          </cell>
          <cell r="L1701">
            <v>7272</v>
          </cell>
          <cell r="M1701">
            <v>130532</v>
          </cell>
          <cell r="N1701">
            <v>0</v>
          </cell>
          <cell r="O1701" t="str">
            <v>Бланки строгой отчетности</v>
          </cell>
        </row>
        <row r="1702">
          <cell r="A1702">
            <v>9</v>
          </cell>
          <cell r="B1702">
            <v>214</v>
          </cell>
          <cell r="C1702">
            <v>7783</v>
          </cell>
          <cell r="D1702">
            <v>9959</v>
          </cell>
          <cell r="E1702">
            <v>25</v>
          </cell>
          <cell r="F1702">
            <v>93609.04</v>
          </cell>
          <cell r="H1702">
            <v>6</v>
          </cell>
          <cell r="I1702">
            <v>131080</v>
          </cell>
          <cell r="J1702">
            <v>0</v>
          </cell>
          <cell r="K1702">
            <v>3076</v>
          </cell>
          <cell r="L1702">
            <v>4968</v>
          </cell>
          <cell r="M1702">
            <v>129188</v>
          </cell>
          <cell r="N1702">
            <v>0</v>
          </cell>
          <cell r="O1702" t="str">
            <v>Бланки строгой отчетности</v>
          </cell>
        </row>
        <row r="1703">
          <cell r="A1703">
            <v>9</v>
          </cell>
          <cell r="B1703">
            <v>214</v>
          </cell>
          <cell r="C1703">
            <v>7845</v>
          </cell>
          <cell r="D1703">
            <v>9959</v>
          </cell>
          <cell r="E1703">
            <v>25</v>
          </cell>
          <cell r="F1703">
            <v>93609.04</v>
          </cell>
          <cell r="H1703">
            <v>6</v>
          </cell>
          <cell r="I1703">
            <v>45377</v>
          </cell>
          <cell r="J1703">
            <v>0</v>
          </cell>
          <cell r="K1703">
            <v>7524</v>
          </cell>
          <cell r="L1703">
            <v>7877</v>
          </cell>
          <cell r="M1703">
            <v>45024</v>
          </cell>
          <cell r="N1703">
            <v>0</v>
          </cell>
          <cell r="O1703" t="str">
            <v>Бланки строгой отчетности</v>
          </cell>
        </row>
        <row r="1704">
          <cell r="A1704">
            <v>9</v>
          </cell>
          <cell r="B1704">
            <v>214</v>
          </cell>
          <cell r="C1704">
            <v>7948</v>
          </cell>
          <cell r="D1704">
            <v>9959</v>
          </cell>
          <cell r="E1704">
            <v>25</v>
          </cell>
          <cell r="F1704">
            <v>93609.04</v>
          </cell>
          <cell r="H1704">
            <v>6</v>
          </cell>
          <cell r="I1704">
            <v>80378</v>
          </cell>
          <cell r="J1704">
            <v>0</v>
          </cell>
          <cell r="K1704">
            <v>1680</v>
          </cell>
          <cell r="L1704">
            <v>2869</v>
          </cell>
          <cell r="M1704">
            <v>79189</v>
          </cell>
          <cell r="N1704">
            <v>0</v>
          </cell>
          <cell r="O1704" t="str">
            <v>Бланки строгой отчетности</v>
          </cell>
        </row>
        <row r="1705">
          <cell r="A1705">
            <v>9</v>
          </cell>
          <cell r="B1705">
            <v>214</v>
          </cell>
          <cell r="C1705">
            <v>8002</v>
          </cell>
          <cell r="D1705">
            <v>9959</v>
          </cell>
          <cell r="E1705">
            <v>25</v>
          </cell>
          <cell r="F1705">
            <v>93609.04</v>
          </cell>
          <cell r="H1705">
            <v>6</v>
          </cell>
          <cell r="I1705">
            <v>87603</v>
          </cell>
          <cell r="J1705">
            <v>0</v>
          </cell>
          <cell r="K1705">
            <v>639</v>
          </cell>
          <cell r="L1705">
            <v>883</v>
          </cell>
          <cell r="M1705">
            <v>87359</v>
          </cell>
          <cell r="N1705">
            <v>0</v>
          </cell>
          <cell r="O1705" t="str">
            <v>Бланки строгой отчетности</v>
          </cell>
        </row>
        <row r="1706">
          <cell r="A1706">
            <v>9</v>
          </cell>
          <cell r="B1706">
            <v>214</v>
          </cell>
          <cell r="C1706">
            <v>8104</v>
          </cell>
          <cell r="D1706">
            <v>9959</v>
          </cell>
          <cell r="E1706">
            <v>25</v>
          </cell>
          <cell r="F1706">
            <v>93609.04</v>
          </cell>
          <cell r="H1706">
            <v>6</v>
          </cell>
          <cell r="I1706">
            <v>75451</v>
          </cell>
          <cell r="J1706">
            <v>0</v>
          </cell>
          <cell r="K1706">
            <v>302</v>
          </cell>
          <cell r="L1706">
            <v>522</v>
          </cell>
          <cell r="M1706">
            <v>75231</v>
          </cell>
          <cell r="N1706">
            <v>0</v>
          </cell>
          <cell r="O1706" t="str">
            <v>Бланки строгой отчетности</v>
          </cell>
        </row>
        <row r="1707">
          <cell r="A1707">
            <v>9</v>
          </cell>
          <cell r="B1707">
            <v>214</v>
          </cell>
          <cell r="C1707">
            <v>8137</v>
          </cell>
          <cell r="D1707">
            <v>9959</v>
          </cell>
          <cell r="E1707">
            <v>25</v>
          </cell>
          <cell r="F1707">
            <v>93609.04</v>
          </cell>
          <cell r="H1707">
            <v>6</v>
          </cell>
          <cell r="I1707">
            <v>80104</v>
          </cell>
          <cell r="J1707">
            <v>0</v>
          </cell>
          <cell r="K1707">
            <v>3434</v>
          </cell>
          <cell r="L1707">
            <v>3102</v>
          </cell>
          <cell r="M1707">
            <v>80436</v>
          </cell>
          <cell r="N1707">
            <v>0</v>
          </cell>
          <cell r="O1707" t="str">
            <v>Бланки строгой отчетности</v>
          </cell>
        </row>
        <row r="1708">
          <cell r="A1708">
            <v>9</v>
          </cell>
          <cell r="B1708">
            <v>214</v>
          </cell>
          <cell r="C1708">
            <v>8298</v>
          </cell>
          <cell r="D1708">
            <v>9959</v>
          </cell>
          <cell r="E1708">
            <v>25</v>
          </cell>
          <cell r="F1708">
            <v>93609.04</v>
          </cell>
          <cell r="H1708">
            <v>6</v>
          </cell>
          <cell r="I1708">
            <v>42255</v>
          </cell>
          <cell r="J1708">
            <v>0</v>
          </cell>
          <cell r="K1708">
            <v>1393</v>
          </cell>
          <cell r="L1708">
            <v>2325</v>
          </cell>
          <cell r="M1708">
            <v>41323</v>
          </cell>
          <cell r="N1708">
            <v>0</v>
          </cell>
          <cell r="O1708" t="str">
            <v>Бланки строгой отчетности</v>
          </cell>
        </row>
        <row r="1709">
          <cell r="A1709">
            <v>9</v>
          </cell>
          <cell r="B1709">
            <v>214</v>
          </cell>
          <cell r="C1709">
            <v>8533</v>
          </cell>
          <cell r="D1709">
            <v>9959</v>
          </cell>
          <cell r="E1709">
            <v>25</v>
          </cell>
          <cell r="F1709">
            <v>93609.04</v>
          </cell>
          <cell r="H1709">
            <v>6</v>
          </cell>
          <cell r="I1709">
            <v>92278</v>
          </cell>
          <cell r="J1709">
            <v>0</v>
          </cell>
          <cell r="K1709">
            <v>1100</v>
          </cell>
          <cell r="L1709">
            <v>1755</v>
          </cell>
          <cell r="M1709">
            <v>91623</v>
          </cell>
          <cell r="N1709">
            <v>0</v>
          </cell>
          <cell r="O1709" t="str">
            <v>Бланки строгой отчетности</v>
          </cell>
        </row>
        <row r="1710">
          <cell r="A1710">
            <v>9</v>
          </cell>
          <cell r="B1710">
            <v>214</v>
          </cell>
          <cell r="C1710">
            <v>8659</v>
          </cell>
          <cell r="D1710">
            <v>9959</v>
          </cell>
          <cell r="E1710">
            <v>25</v>
          </cell>
          <cell r="F1710">
            <v>93609.04</v>
          </cell>
          <cell r="H1710">
            <v>6</v>
          </cell>
          <cell r="I1710">
            <v>13995</v>
          </cell>
          <cell r="J1710">
            <v>0</v>
          </cell>
          <cell r="K1710">
            <v>2709</v>
          </cell>
          <cell r="L1710">
            <v>3172</v>
          </cell>
          <cell r="M1710">
            <v>13532</v>
          </cell>
          <cell r="N1710">
            <v>0</v>
          </cell>
          <cell r="O1710" t="str">
            <v>Бланки строгой отчетности</v>
          </cell>
        </row>
        <row r="1711">
          <cell r="A1711">
            <v>9</v>
          </cell>
          <cell r="B1711">
            <v>214</v>
          </cell>
          <cell r="C1711">
            <v>3563</v>
          </cell>
          <cell r="D1711">
            <v>9960.01</v>
          </cell>
          <cell r="E1711">
            <v>25</v>
          </cell>
          <cell r="F1711">
            <v>93609.05</v>
          </cell>
          <cell r="H1711">
            <v>6</v>
          </cell>
          <cell r="I1711">
            <v>214</v>
          </cell>
          <cell r="J1711">
            <v>0</v>
          </cell>
          <cell r="K1711">
            <v>0</v>
          </cell>
          <cell r="L1711">
            <v>0</v>
          </cell>
          <cell r="M1711">
            <v>214</v>
          </cell>
          <cell r="N1711">
            <v>0</v>
          </cell>
          <cell r="O1711" t="str">
            <v>Разные ценности</v>
          </cell>
        </row>
        <row r="1712">
          <cell r="A1712">
            <v>9</v>
          </cell>
          <cell r="B1712">
            <v>214</v>
          </cell>
          <cell r="C1712">
            <v>5996</v>
          </cell>
          <cell r="D1712">
            <v>9960.01</v>
          </cell>
          <cell r="E1712">
            <v>25</v>
          </cell>
          <cell r="F1712">
            <v>93609.05</v>
          </cell>
          <cell r="H1712">
            <v>6</v>
          </cell>
          <cell r="I1712">
            <v>56</v>
          </cell>
          <cell r="J1712">
            <v>0</v>
          </cell>
          <cell r="K1712">
            <v>0</v>
          </cell>
          <cell r="L1712">
            <v>0</v>
          </cell>
          <cell r="M1712">
            <v>56</v>
          </cell>
          <cell r="N1712">
            <v>0</v>
          </cell>
          <cell r="O1712" t="str">
            <v>Разные ценности</v>
          </cell>
        </row>
        <row r="1713">
          <cell r="A1713">
            <v>9</v>
          </cell>
          <cell r="B1713">
            <v>214</v>
          </cell>
          <cell r="C1713">
            <v>7783</v>
          </cell>
          <cell r="D1713">
            <v>9960.01</v>
          </cell>
          <cell r="E1713">
            <v>25</v>
          </cell>
          <cell r="F1713">
            <v>93609.05</v>
          </cell>
          <cell r="H1713">
            <v>6</v>
          </cell>
          <cell r="I1713">
            <v>332</v>
          </cell>
          <cell r="J1713">
            <v>0</v>
          </cell>
          <cell r="K1713">
            <v>0</v>
          </cell>
          <cell r="L1713">
            <v>1</v>
          </cell>
          <cell r="M1713">
            <v>331</v>
          </cell>
          <cell r="N1713">
            <v>0</v>
          </cell>
          <cell r="O1713" t="str">
            <v>Разные ценности</v>
          </cell>
        </row>
        <row r="1714">
          <cell r="A1714">
            <v>9</v>
          </cell>
          <cell r="B1714">
            <v>214</v>
          </cell>
          <cell r="C1714">
            <v>7845</v>
          </cell>
          <cell r="D1714">
            <v>9960.01</v>
          </cell>
          <cell r="E1714">
            <v>25</v>
          </cell>
          <cell r="F1714">
            <v>93609.05</v>
          </cell>
          <cell r="H1714">
            <v>6</v>
          </cell>
          <cell r="I1714">
            <v>34.520000000000003</v>
          </cell>
          <cell r="J1714">
            <v>0</v>
          </cell>
          <cell r="K1714">
            <v>51</v>
          </cell>
          <cell r="L1714">
            <v>24.52</v>
          </cell>
          <cell r="M1714">
            <v>61</v>
          </cell>
          <cell r="N1714">
            <v>0</v>
          </cell>
          <cell r="O1714" t="str">
            <v>Разные ценности</v>
          </cell>
        </row>
        <row r="1715">
          <cell r="A1715">
            <v>9</v>
          </cell>
          <cell r="B1715">
            <v>214</v>
          </cell>
          <cell r="C1715">
            <v>7948</v>
          </cell>
          <cell r="D1715">
            <v>9960.01</v>
          </cell>
          <cell r="E1715">
            <v>25</v>
          </cell>
          <cell r="F1715">
            <v>93609.05</v>
          </cell>
          <cell r="H1715">
            <v>6</v>
          </cell>
          <cell r="I1715">
            <v>173</v>
          </cell>
          <cell r="J1715">
            <v>0</v>
          </cell>
          <cell r="K1715">
            <v>9</v>
          </cell>
          <cell r="L1715">
            <v>12</v>
          </cell>
          <cell r="M1715">
            <v>170</v>
          </cell>
          <cell r="N1715">
            <v>0</v>
          </cell>
          <cell r="O1715" t="str">
            <v>Разные ценности</v>
          </cell>
        </row>
        <row r="1716">
          <cell r="A1716">
            <v>9</v>
          </cell>
          <cell r="B1716">
            <v>214</v>
          </cell>
          <cell r="C1716">
            <v>8104</v>
          </cell>
          <cell r="D1716">
            <v>9960.01</v>
          </cell>
          <cell r="E1716">
            <v>25</v>
          </cell>
          <cell r="F1716">
            <v>93609.05</v>
          </cell>
          <cell r="H1716">
            <v>6</v>
          </cell>
          <cell r="I1716">
            <v>143</v>
          </cell>
          <cell r="J1716">
            <v>0</v>
          </cell>
          <cell r="K1716">
            <v>145</v>
          </cell>
          <cell r="L1716">
            <v>126</v>
          </cell>
          <cell r="M1716">
            <v>162</v>
          </cell>
          <cell r="N1716">
            <v>0</v>
          </cell>
          <cell r="O1716" t="str">
            <v>Разные ценности</v>
          </cell>
        </row>
        <row r="1717">
          <cell r="A1717">
            <v>9</v>
          </cell>
          <cell r="B1717">
            <v>214</v>
          </cell>
          <cell r="C1717">
            <v>8137</v>
          </cell>
          <cell r="D1717">
            <v>9960.01</v>
          </cell>
          <cell r="E1717">
            <v>25</v>
          </cell>
          <cell r="F1717">
            <v>93609.05</v>
          </cell>
          <cell r="H1717">
            <v>6</v>
          </cell>
          <cell r="I1717">
            <v>7</v>
          </cell>
          <cell r="J1717">
            <v>0</v>
          </cell>
          <cell r="K1717">
            <v>0</v>
          </cell>
          <cell r="L1717">
            <v>0</v>
          </cell>
          <cell r="M1717">
            <v>7</v>
          </cell>
          <cell r="N1717">
            <v>0</v>
          </cell>
          <cell r="O1717" t="str">
            <v>Разные ценности</v>
          </cell>
        </row>
        <row r="1718">
          <cell r="A1718">
            <v>9</v>
          </cell>
          <cell r="B1718">
            <v>214</v>
          </cell>
          <cell r="C1718">
            <v>8533</v>
          </cell>
          <cell r="D1718">
            <v>9960.01</v>
          </cell>
          <cell r="E1718">
            <v>25</v>
          </cell>
          <cell r="F1718">
            <v>93609.05</v>
          </cell>
          <cell r="H1718">
            <v>6</v>
          </cell>
          <cell r="I1718">
            <v>8</v>
          </cell>
          <cell r="J1718">
            <v>0</v>
          </cell>
          <cell r="K1718">
            <v>2</v>
          </cell>
          <cell r="L1718">
            <v>9</v>
          </cell>
          <cell r="M1718">
            <v>1</v>
          </cell>
          <cell r="N1718">
            <v>0</v>
          </cell>
          <cell r="O1718" t="str">
            <v>Разные ценности</v>
          </cell>
        </row>
        <row r="1719">
          <cell r="A1719">
            <v>9</v>
          </cell>
          <cell r="B1719">
            <v>214</v>
          </cell>
          <cell r="C1719">
            <v>8659</v>
          </cell>
          <cell r="D1719">
            <v>9960.01</v>
          </cell>
          <cell r="E1719">
            <v>25</v>
          </cell>
          <cell r="F1719">
            <v>93609.05</v>
          </cell>
          <cell r="H1719">
            <v>6</v>
          </cell>
          <cell r="I1719">
            <v>1</v>
          </cell>
          <cell r="J1719">
            <v>0</v>
          </cell>
          <cell r="K1719">
            <v>0</v>
          </cell>
          <cell r="L1719">
            <v>0</v>
          </cell>
          <cell r="M1719">
            <v>1</v>
          </cell>
          <cell r="N1719">
            <v>0</v>
          </cell>
          <cell r="O1719" t="str">
            <v>Разные ценности</v>
          </cell>
        </row>
        <row r="1720">
          <cell r="A1720">
            <v>9</v>
          </cell>
          <cell r="B1720">
            <v>214</v>
          </cell>
          <cell r="C1720">
            <v>3563</v>
          </cell>
          <cell r="D1720">
            <v>9960.02</v>
          </cell>
          <cell r="E1720">
            <v>25</v>
          </cell>
          <cell r="F1720">
            <v>93609.06</v>
          </cell>
          <cell r="H1720">
            <v>6</v>
          </cell>
          <cell r="I1720">
            <v>10000</v>
          </cell>
          <cell r="J1720">
            <v>0</v>
          </cell>
          <cell r="K1720">
            <v>10000</v>
          </cell>
          <cell r="L1720">
            <v>10000</v>
          </cell>
          <cell r="M1720">
            <v>10000</v>
          </cell>
          <cell r="N1720">
            <v>0</v>
          </cell>
          <cell r="O1720" t="str">
            <v>Ценности принятые для экспертизы</v>
          </cell>
        </row>
        <row r="1721">
          <cell r="A1721">
            <v>9</v>
          </cell>
          <cell r="B1721">
            <v>214</v>
          </cell>
          <cell r="C1721">
            <v>7783</v>
          </cell>
          <cell r="D1721">
            <v>9960.02</v>
          </cell>
          <cell r="E1721">
            <v>25</v>
          </cell>
          <cell r="F1721">
            <v>93609.06</v>
          </cell>
          <cell r="H1721">
            <v>6</v>
          </cell>
          <cell r="I1721">
            <v>5000</v>
          </cell>
          <cell r="J1721">
            <v>0</v>
          </cell>
          <cell r="K1721">
            <v>235000</v>
          </cell>
          <cell r="L1721">
            <v>240000</v>
          </cell>
          <cell r="M1721">
            <v>0</v>
          </cell>
          <cell r="N1721">
            <v>0</v>
          </cell>
          <cell r="O1721" t="str">
            <v>Ценности принятые для экспертизы</v>
          </cell>
        </row>
        <row r="1722">
          <cell r="A1722">
            <v>9</v>
          </cell>
          <cell r="B1722">
            <v>214</v>
          </cell>
          <cell r="C1722">
            <v>7845</v>
          </cell>
          <cell r="D1722">
            <v>9960.02</v>
          </cell>
          <cell r="E1722">
            <v>25</v>
          </cell>
          <cell r="F1722">
            <v>93609.06</v>
          </cell>
          <cell r="H1722">
            <v>6</v>
          </cell>
          <cell r="I1722">
            <v>0</v>
          </cell>
          <cell r="J1722">
            <v>0</v>
          </cell>
          <cell r="K1722">
            <v>55000</v>
          </cell>
          <cell r="L1722">
            <v>45000</v>
          </cell>
          <cell r="M1722">
            <v>10000</v>
          </cell>
          <cell r="N1722">
            <v>0</v>
          </cell>
          <cell r="O1722" t="str">
            <v>Ценности принятые для экспертизы</v>
          </cell>
        </row>
        <row r="1723">
          <cell r="A1723">
            <v>9</v>
          </cell>
          <cell r="B1723">
            <v>214</v>
          </cell>
          <cell r="C1723">
            <v>7948</v>
          </cell>
          <cell r="D1723">
            <v>9960.02</v>
          </cell>
          <cell r="E1723">
            <v>25</v>
          </cell>
          <cell r="F1723">
            <v>93609.06</v>
          </cell>
          <cell r="H1723">
            <v>6</v>
          </cell>
          <cell r="I1723">
            <v>10000</v>
          </cell>
          <cell r="J1723">
            <v>0</v>
          </cell>
          <cell r="K1723">
            <v>460000</v>
          </cell>
          <cell r="L1723">
            <v>470000</v>
          </cell>
          <cell r="M1723">
            <v>0</v>
          </cell>
          <cell r="N1723">
            <v>0</v>
          </cell>
          <cell r="O1723" t="str">
            <v>Ценности принятые для экспертизы</v>
          </cell>
        </row>
        <row r="1724">
          <cell r="A1724">
            <v>9</v>
          </cell>
          <cell r="B1724">
            <v>214</v>
          </cell>
          <cell r="C1724">
            <v>8137</v>
          </cell>
          <cell r="D1724">
            <v>9960.02</v>
          </cell>
          <cell r="E1724">
            <v>25</v>
          </cell>
          <cell r="F1724">
            <v>93609.06</v>
          </cell>
          <cell r="H1724">
            <v>6</v>
          </cell>
          <cell r="I1724">
            <v>0</v>
          </cell>
          <cell r="J1724">
            <v>0</v>
          </cell>
          <cell r="K1724">
            <v>150000</v>
          </cell>
          <cell r="L1724">
            <v>150000</v>
          </cell>
          <cell r="M1724">
            <v>0</v>
          </cell>
          <cell r="N1724">
            <v>0</v>
          </cell>
          <cell r="O1724" t="str">
            <v>Ценности принятые для экспертизы</v>
          </cell>
        </row>
        <row r="1725">
          <cell r="A1725">
            <v>9</v>
          </cell>
          <cell r="B1725">
            <v>214</v>
          </cell>
          <cell r="C1725">
            <v>8298</v>
          </cell>
          <cell r="D1725">
            <v>9960.02</v>
          </cell>
          <cell r="E1725">
            <v>25</v>
          </cell>
          <cell r="F1725">
            <v>93609.06</v>
          </cell>
          <cell r="H1725">
            <v>6</v>
          </cell>
          <cell r="I1725">
            <v>10000</v>
          </cell>
          <cell r="J1725">
            <v>0</v>
          </cell>
          <cell r="K1725">
            <v>35000</v>
          </cell>
          <cell r="L1725">
            <v>45000</v>
          </cell>
          <cell r="M1725">
            <v>0</v>
          </cell>
          <cell r="N1725">
            <v>0</v>
          </cell>
          <cell r="O1725" t="str">
            <v>Ценности принятые для экспертизы</v>
          </cell>
        </row>
        <row r="1726">
          <cell r="A1726">
            <v>9</v>
          </cell>
          <cell r="B1726">
            <v>214</v>
          </cell>
          <cell r="C1726">
            <v>8002</v>
          </cell>
          <cell r="D1726">
            <v>9960.01</v>
          </cell>
          <cell r="E1726">
            <v>25</v>
          </cell>
          <cell r="F1726">
            <v>93609.05</v>
          </cell>
          <cell r="H1726">
            <v>0</v>
          </cell>
          <cell r="I1726">
            <v>115.27</v>
          </cell>
          <cell r="J1726">
            <v>0</v>
          </cell>
          <cell r="K1726">
            <v>0</v>
          </cell>
          <cell r="L1726">
            <v>50.27</v>
          </cell>
          <cell r="M1726">
            <v>65</v>
          </cell>
          <cell r="N1726">
            <v>0</v>
          </cell>
          <cell r="O1726" t="str">
            <v>Оплаченные бланки сертификатов</v>
          </cell>
        </row>
        <row r="1727">
          <cell r="A1727">
            <v>9</v>
          </cell>
          <cell r="B1727">
            <v>214</v>
          </cell>
          <cell r="C1727">
            <v>8298</v>
          </cell>
          <cell r="D1727">
            <v>9960.0400000000009</v>
          </cell>
          <cell r="E1727">
            <v>0</v>
          </cell>
          <cell r="F1727">
            <v>90327.01</v>
          </cell>
          <cell r="H1727">
            <v>0</v>
          </cell>
          <cell r="I1727">
            <v>0</v>
          </cell>
          <cell r="J1727">
            <v>0</v>
          </cell>
          <cell r="K1727">
            <v>3281780</v>
          </cell>
          <cell r="L1727">
            <v>3281780</v>
          </cell>
          <cell r="M1727">
            <v>0</v>
          </cell>
          <cell r="N1727">
            <v>0</v>
          </cell>
          <cell r="O1727" t="str">
            <v>Оплаченные бланки сертификатов</v>
          </cell>
        </row>
        <row r="1728">
          <cell r="A1728">
            <v>9</v>
          </cell>
          <cell r="B1728">
            <v>214</v>
          </cell>
          <cell r="C1728">
            <v>3563</v>
          </cell>
          <cell r="D1728">
            <v>9960.06</v>
          </cell>
          <cell r="E1728">
            <v>25</v>
          </cell>
          <cell r="F1728">
            <v>93609.43</v>
          </cell>
          <cell r="H1728">
            <v>6</v>
          </cell>
          <cell r="I1728">
            <v>5</v>
          </cell>
          <cell r="J1728">
            <v>0</v>
          </cell>
          <cell r="K1728">
            <v>86</v>
          </cell>
          <cell r="L1728">
            <v>91</v>
          </cell>
          <cell r="M1728">
            <v>0</v>
          </cell>
          <cell r="N1728">
            <v>0</v>
          </cell>
          <cell r="O1728" t="str">
            <v>30 shakildagi ma`lumotnomalar</v>
          </cell>
        </row>
        <row r="1729">
          <cell r="A1729">
            <v>9</v>
          </cell>
          <cell r="B1729">
            <v>214</v>
          </cell>
          <cell r="C1729">
            <v>5996</v>
          </cell>
          <cell r="D1729">
            <v>9960.06</v>
          </cell>
          <cell r="E1729">
            <v>25</v>
          </cell>
          <cell r="F1729">
            <v>93609.43</v>
          </cell>
          <cell r="H1729">
            <v>6</v>
          </cell>
          <cell r="I1729">
            <v>186</v>
          </cell>
          <cell r="J1729">
            <v>0</v>
          </cell>
          <cell r="K1729">
            <v>331</v>
          </cell>
          <cell r="L1729">
            <v>458</v>
          </cell>
          <cell r="M1729">
            <v>59</v>
          </cell>
          <cell r="N1729">
            <v>0</v>
          </cell>
          <cell r="O1729" t="str">
            <v>30 shakildagi ma`lumotnomalar</v>
          </cell>
        </row>
        <row r="1730">
          <cell r="A1730">
            <v>9</v>
          </cell>
          <cell r="B1730">
            <v>214</v>
          </cell>
          <cell r="C1730">
            <v>7783</v>
          </cell>
          <cell r="D1730">
            <v>9960.06</v>
          </cell>
          <cell r="E1730">
            <v>25</v>
          </cell>
          <cell r="F1730">
            <v>93609.43</v>
          </cell>
          <cell r="H1730">
            <v>6</v>
          </cell>
          <cell r="I1730">
            <v>95</v>
          </cell>
          <cell r="J1730">
            <v>0</v>
          </cell>
          <cell r="K1730">
            <v>93</v>
          </cell>
          <cell r="L1730">
            <v>188</v>
          </cell>
          <cell r="M1730">
            <v>0</v>
          </cell>
          <cell r="N1730">
            <v>0</v>
          </cell>
          <cell r="O1730" t="str">
            <v>30 shakildagi ma`lumotnomalar</v>
          </cell>
        </row>
        <row r="1731">
          <cell r="A1731">
            <v>9</v>
          </cell>
          <cell r="B1731">
            <v>214</v>
          </cell>
          <cell r="C1731">
            <v>7845</v>
          </cell>
          <cell r="D1731">
            <v>9960.06</v>
          </cell>
          <cell r="E1731">
            <v>25</v>
          </cell>
          <cell r="F1731">
            <v>93609.43</v>
          </cell>
          <cell r="H1731">
            <v>6</v>
          </cell>
          <cell r="I1731">
            <v>0</v>
          </cell>
          <cell r="J1731">
            <v>0</v>
          </cell>
          <cell r="K1731">
            <v>184</v>
          </cell>
          <cell r="L1731">
            <v>184</v>
          </cell>
          <cell r="M1731">
            <v>0</v>
          </cell>
          <cell r="N1731">
            <v>0</v>
          </cell>
          <cell r="O1731" t="str">
            <v>30 shakildagi ma`lumotnomalar</v>
          </cell>
        </row>
        <row r="1732">
          <cell r="A1732">
            <v>9</v>
          </cell>
          <cell r="B1732">
            <v>214</v>
          </cell>
          <cell r="C1732">
            <v>7948</v>
          </cell>
          <cell r="D1732">
            <v>9960.06</v>
          </cell>
          <cell r="E1732">
            <v>25</v>
          </cell>
          <cell r="F1732">
            <v>93609.43</v>
          </cell>
          <cell r="H1732">
            <v>6</v>
          </cell>
          <cell r="I1732">
            <v>0</v>
          </cell>
          <cell r="J1732">
            <v>0</v>
          </cell>
          <cell r="K1732">
            <v>42</v>
          </cell>
          <cell r="L1732">
            <v>36</v>
          </cell>
          <cell r="M1732">
            <v>6</v>
          </cell>
          <cell r="N1732">
            <v>0</v>
          </cell>
          <cell r="O1732" t="str">
            <v>30 shakildagi ma`lumotnomalar</v>
          </cell>
        </row>
        <row r="1733">
          <cell r="A1733">
            <v>9</v>
          </cell>
          <cell r="B1733">
            <v>214</v>
          </cell>
          <cell r="C1733">
            <v>8002</v>
          </cell>
          <cell r="D1733">
            <v>9960.06</v>
          </cell>
          <cell r="E1733">
            <v>25</v>
          </cell>
          <cell r="F1733">
            <v>93609.43</v>
          </cell>
          <cell r="H1733">
            <v>6</v>
          </cell>
          <cell r="I1733">
            <v>0</v>
          </cell>
          <cell r="J1733">
            <v>0</v>
          </cell>
          <cell r="K1733">
            <v>15</v>
          </cell>
          <cell r="L1733">
            <v>15</v>
          </cell>
          <cell r="M1733">
            <v>0</v>
          </cell>
          <cell r="N1733">
            <v>0</v>
          </cell>
          <cell r="O1733" t="str">
            <v>30 shakildagi ma`lumotnomalar</v>
          </cell>
        </row>
        <row r="1734">
          <cell r="A1734">
            <v>9</v>
          </cell>
          <cell r="B1734">
            <v>214</v>
          </cell>
          <cell r="C1734">
            <v>8104</v>
          </cell>
          <cell r="D1734">
            <v>9960.06</v>
          </cell>
          <cell r="E1734">
            <v>25</v>
          </cell>
          <cell r="F1734">
            <v>93609.43</v>
          </cell>
          <cell r="H1734">
            <v>6</v>
          </cell>
          <cell r="I1734">
            <v>0</v>
          </cell>
          <cell r="J1734">
            <v>0</v>
          </cell>
          <cell r="K1734">
            <v>116</v>
          </cell>
          <cell r="L1734">
            <v>116</v>
          </cell>
          <cell r="M1734">
            <v>0</v>
          </cell>
          <cell r="N1734">
            <v>0</v>
          </cell>
          <cell r="O1734" t="str">
            <v>30 shakildagi ma`lumotnomalar</v>
          </cell>
        </row>
        <row r="1735">
          <cell r="A1735">
            <v>9</v>
          </cell>
          <cell r="B1735">
            <v>214</v>
          </cell>
          <cell r="C1735">
            <v>8137</v>
          </cell>
          <cell r="D1735">
            <v>9960.06</v>
          </cell>
          <cell r="E1735">
            <v>25</v>
          </cell>
          <cell r="F1735">
            <v>93609.43</v>
          </cell>
          <cell r="H1735">
            <v>6</v>
          </cell>
          <cell r="I1735">
            <v>6</v>
          </cell>
          <cell r="J1735">
            <v>0</v>
          </cell>
          <cell r="K1735">
            <v>16</v>
          </cell>
          <cell r="L1735">
            <v>22</v>
          </cell>
          <cell r="M1735">
            <v>0</v>
          </cell>
          <cell r="N1735">
            <v>0</v>
          </cell>
          <cell r="O1735" t="str">
            <v>30 shakildagi ma`lumotnomalar</v>
          </cell>
        </row>
        <row r="1736">
          <cell r="A1736">
            <v>9</v>
          </cell>
          <cell r="B1736">
            <v>214</v>
          </cell>
          <cell r="C1736">
            <v>8298</v>
          </cell>
          <cell r="D1736">
            <v>9960.06</v>
          </cell>
          <cell r="E1736">
            <v>25</v>
          </cell>
          <cell r="F1736">
            <v>93609.43</v>
          </cell>
          <cell r="H1736">
            <v>6</v>
          </cell>
          <cell r="I1736">
            <v>0</v>
          </cell>
          <cell r="J1736">
            <v>0</v>
          </cell>
          <cell r="K1736">
            <v>61</v>
          </cell>
          <cell r="L1736">
            <v>61</v>
          </cell>
          <cell r="M1736">
            <v>0</v>
          </cell>
          <cell r="N1736">
            <v>0</v>
          </cell>
          <cell r="O1736" t="str">
            <v>30 shakildagi ma`lumotnomalar</v>
          </cell>
        </row>
        <row r="1737">
          <cell r="A1737">
            <v>9</v>
          </cell>
          <cell r="B1737">
            <v>214</v>
          </cell>
          <cell r="C1737">
            <v>8533</v>
          </cell>
          <cell r="D1737">
            <v>9960.06</v>
          </cell>
          <cell r="E1737">
            <v>25</v>
          </cell>
          <cell r="F1737">
            <v>93609.43</v>
          </cell>
          <cell r="H1737">
            <v>6</v>
          </cell>
          <cell r="I1737">
            <v>10</v>
          </cell>
          <cell r="J1737">
            <v>0</v>
          </cell>
          <cell r="K1737">
            <v>15</v>
          </cell>
          <cell r="L1737">
            <v>24</v>
          </cell>
          <cell r="M1737">
            <v>1</v>
          </cell>
          <cell r="N1737">
            <v>0</v>
          </cell>
          <cell r="O1737" t="str">
            <v>30 shakildagi ma`lumotnomalar</v>
          </cell>
        </row>
        <row r="1738">
          <cell r="A1738">
            <v>9</v>
          </cell>
          <cell r="B1738">
            <v>214</v>
          </cell>
          <cell r="C1738">
            <v>8659</v>
          </cell>
          <cell r="D1738">
            <v>9960.06</v>
          </cell>
          <cell r="E1738">
            <v>25</v>
          </cell>
          <cell r="F1738">
            <v>93609.43</v>
          </cell>
          <cell r="H1738">
            <v>6</v>
          </cell>
          <cell r="I1738">
            <v>0</v>
          </cell>
          <cell r="J1738">
            <v>0</v>
          </cell>
          <cell r="K1738">
            <v>32</v>
          </cell>
          <cell r="L1738">
            <v>32</v>
          </cell>
          <cell r="M1738">
            <v>0</v>
          </cell>
          <cell r="N1738">
            <v>0</v>
          </cell>
          <cell r="O1738" t="str">
            <v>30 shakildagi ma`lumotnomalar</v>
          </cell>
        </row>
        <row r="1739">
          <cell r="A1739">
            <v>9</v>
          </cell>
          <cell r="B1739">
            <v>214</v>
          </cell>
          <cell r="C1739">
            <v>3563</v>
          </cell>
          <cell r="D1739">
            <v>9961.01</v>
          </cell>
          <cell r="E1739">
            <v>25</v>
          </cell>
          <cell r="F1739">
            <v>93609.1</v>
          </cell>
          <cell r="H1739">
            <v>6</v>
          </cell>
          <cell r="I1739">
            <v>0</v>
          </cell>
          <cell r="J1739">
            <v>0</v>
          </cell>
          <cell r="K1739">
            <v>2083800</v>
          </cell>
          <cell r="L1739">
            <v>1828850</v>
          </cell>
          <cell r="M1739">
            <v>254950</v>
          </cell>
          <cell r="N1739">
            <v>0</v>
          </cell>
          <cell r="O1739" t="str">
            <v>Билеты ДВЛ, выданные подотчет</v>
          </cell>
        </row>
        <row r="1740">
          <cell r="A1740">
            <v>9</v>
          </cell>
          <cell r="B1740">
            <v>214</v>
          </cell>
          <cell r="C1740">
            <v>5996</v>
          </cell>
          <cell r="D1740">
            <v>9961.01</v>
          </cell>
          <cell r="E1740">
            <v>25</v>
          </cell>
          <cell r="F1740">
            <v>93609.1</v>
          </cell>
          <cell r="H1740">
            <v>6</v>
          </cell>
          <cell r="I1740">
            <v>0</v>
          </cell>
          <cell r="J1740">
            <v>0</v>
          </cell>
          <cell r="K1740">
            <v>626800</v>
          </cell>
          <cell r="L1740">
            <v>626800</v>
          </cell>
          <cell r="M1740">
            <v>0</v>
          </cell>
          <cell r="N1740">
            <v>0</v>
          </cell>
          <cell r="O1740" t="str">
            <v>Билеты ДВЛ, выданные подотчет</v>
          </cell>
        </row>
        <row r="1741">
          <cell r="A1741">
            <v>9</v>
          </cell>
          <cell r="B1741">
            <v>214</v>
          </cell>
          <cell r="C1741">
            <v>7948</v>
          </cell>
          <cell r="D1741">
            <v>9961.01</v>
          </cell>
          <cell r="E1741">
            <v>25</v>
          </cell>
          <cell r="F1741">
            <v>93609.1</v>
          </cell>
          <cell r="H1741">
            <v>0</v>
          </cell>
          <cell r="I1741">
            <v>0</v>
          </cell>
          <cell r="J1741">
            <v>0</v>
          </cell>
          <cell r="K1741">
            <v>902460</v>
          </cell>
          <cell r="L1741">
            <v>902460</v>
          </cell>
          <cell r="M1741">
            <v>0</v>
          </cell>
          <cell r="N1741">
            <v>0</v>
          </cell>
          <cell r="O1741" t="str">
            <v>Билеты ДВЛ, выданные подотчет</v>
          </cell>
        </row>
        <row r="1742">
          <cell r="A1742">
            <v>9</v>
          </cell>
          <cell r="B1742">
            <v>214</v>
          </cell>
          <cell r="C1742">
            <v>8002</v>
          </cell>
          <cell r="D1742">
            <v>9961.01</v>
          </cell>
          <cell r="E1742">
            <v>25</v>
          </cell>
          <cell r="F1742">
            <v>93609.1</v>
          </cell>
          <cell r="H1742">
            <v>6</v>
          </cell>
          <cell r="I1742">
            <v>0</v>
          </cell>
          <cell r="J1742">
            <v>0</v>
          </cell>
          <cell r="K1742">
            <v>52300</v>
          </cell>
          <cell r="L1742">
            <v>52300</v>
          </cell>
          <cell r="M1742">
            <v>0</v>
          </cell>
          <cell r="N1742">
            <v>0</v>
          </cell>
          <cell r="O1742" t="str">
            <v>Билеты ДВЛ, выданные подотчет</v>
          </cell>
        </row>
        <row r="1743">
          <cell r="A1743">
            <v>9</v>
          </cell>
          <cell r="B1743">
            <v>214</v>
          </cell>
          <cell r="C1743">
            <v>8104</v>
          </cell>
          <cell r="D1743">
            <v>9961.01</v>
          </cell>
          <cell r="E1743">
            <v>25</v>
          </cell>
          <cell r="F1743">
            <v>93609.1</v>
          </cell>
          <cell r="H1743">
            <v>6</v>
          </cell>
          <cell r="I1743">
            <v>190000</v>
          </cell>
          <cell r="J1743">
            <v>0</v>
          </cell>
          <cell r="K1743">
            <v>776900</v>
          </cell>
          <cell r="L1743">
            <v>235400</v>
          </cell>
          <cell r="M1743">
            <v>731500</v>
          </cell>
          <cell r="N1743">
            <v>0</v>
          </cell>
          <cell r="O1743" t="str">
            <v>Билеты ДВЛ, выданные подотчет</v>
          </cell>
        </row>
        <row r="1744">
          <cell r="A1744">
            <v>9</v>
          </cell>
          <cell r="B1744">
            <v>214</v>
          </cell>
          <cell r="C1744">
            <v>8137</v>
          </cell>
          <cell r="D1744">
            <v>9961.01</v>
          </cell>
          <cell r="E1744">
            <v>25</v>
          </cell>
          <cell r="F1744">
            <v>93609.1</v>
          </cell>
          <cell r="H1744">
            <v>6</v>
          </cell>
          <cell r="I1744">
            <v>0</v>
          </cell>
          <cell r="J1744">
            <v>0</v>
          </cell>
          <cell r="K1744">
            <v>4758725</v>
          </cell>
          <cell r="L1744">
            <v>4758725</v>
          </cell>
          <cell r="M1744">
            <v>0</v>
          </cell>
          <cell r="N1744">
            <v>0</v>
          </cell>
          <cell r="O1744" t="str">
            <v>Билеты ДВЛ, выданные подотчет</v>
          </cell>
        </row>
        <row r="1745">
          <cell r="A1745">
            <v>9</v>
          </cell>
          <cell r="B1745">
            <v>214</v>
          </cell>
          <cell r="C1745">
            <v>8533</v>
          </cell>
          <cell r="D1745">
            <v>9961.01</v>
          </cell>
          <cell r="E1745">
            <v>25</v>
          </cell>
          <cell r="F1745">
            <v>93609.1</v>
          </cell>
          <cell r="H1745">
            <v>0</v>
          </cell>
          <cell r="I1745">
            <v>68625</v>
          </cell>
          <cell r="J1745">
            <v>0</v>
          </cell>
          <cell r="K1745">
            <v>0</v>
          </cell>
          <cell r="L1745">
            <v>68625</v>
          </cell>
          <cell r="M1745">
            <v>0</v>
          </cell>
          <cell r="N1745">
            <v>0</v>
          </cell>
          <cell r="O1745" t="str">
            <v>Билеты ДВЛ, выданные подотчет</v>
          </cell>
        </row>
        <row r="1746">
          <cell r="A1746">
            <v>9</v>
          </cell>
          <cell r="B1746">
            <v>214</v>
          </cell>
          <cell r="C1746">
            <v>8137</v>
          </cell>
          <cell r="D1746">
            <v>9961.02</v>
          </cell>
          <cell r="E1746">
            <v>25</v>
          </cell>
          <cell r="F1746">
            <v>93609.11</v>
          </cell>
          <cell r="H1746">
            <v>6</v>
          </cell>
          <cell r="I1746">
            <v>0</v>
          </cell>
          <cell r="J1746">
            <v>0</v>
          </cell>
          <cell r="K1746">
            <v>150000</v>
          </cell>
          <cell r="L1746">
            <v>150000</v>
          </cell>
          <cell r="M1746">
            <v>0</v>
          </cell>
          <cell r="N1746">
            <v>0</v>
          </cell>
          <cell r="O1746" t="str">
            <v>Оплаченные выигравшие и вышедшие в тиражи погашения облигаци</v>
          </cell>
        </row>
        <row r="1747">
          <cell r="A1747">
            <v>9</v>
          </cell>
          <cell r="B1747">
            <v>214</v>
          </cell>
          <cell r="C1747">
            <v>3563</v>
          </cell>
          <cell r="D1747">
            <v>9961.0400000000009</v>
          </cell>
          <cell r="E1747">
            <v>25</v>
          </cell>
          <cell r="F1747">
            <v>93609.13</v>
          </cell>
          <cell r="H1747">
            <v>6</v>
          </cell>
          <cell r="I1747">
            <v>0</v>
          </cell>
          <cell r="J1747">
            <v>0</v>
          </cell>
          <cell r="K1747">
            <v>4024300</v>
          </cell>
          <cell r="L1747">
            <v>4024300</v>
          </cell>
          <cell r="M1747">
            <v>0</v>
          </cell>
          <cell r="N1747">
            <v>0</v>
          </cell>
          <cell r="O1747" t="str">
            <v>Погашенные ценные бумаги, отосланные для проверки и уничтоже</v>
          </cell>
        </row>
        <row r="1748">
          <cell r="A1748">
            <v>9</v>
          </cell>
          <cell r="B1748">
            <v>214</v>
          </cell>
          <cell r="C1748">
            <v>5996</v>
          </cell>
          <cell r="D1748">
            <v>9961.0400000000009</v>
          </cell>
          <cell r="E1748">
            <v>25</v>
          </cell>
          <cell r="F1748">
            <v>93609.13</v>
          </cell>
          <cell r="H1748">
            <v>6</v>
          </cell>
          <cell r="I1748">
            <v>0</v>
          </cell>
          <cell r="J1748">
            <v>0</v>
          </cell>
          <cell r="K1748">
            <v>2744615</v>
          </cell>
          <cell r="L1748">
            <v>2107000</v>
          </cell>
          <cell r="M1748">
            <v>637615</v>
          </cell>
          <cell r="N1748">
            <v>0</v>
          </cell>
          <cell r="O1748" t="str">
            <v>Погашенные ценные бумаги, отосланные для проверки и уничтоже</v>
          </cell>
        </row>
        <row r="1749">
          <cell r="A1749">
            <v>9</v>
          </cell>
          <cell r="B1749">
            <v>214</v>
          </cell>
          <cell r="C1749">
            <v>7783</v>
          </cell>
          <cell r="D1749">
            <v>9961.0400000000009</v>
          </cell>
          <cell r="E1749">
            <v>25</v>
          </cell>
          <cell r="F1749">
            <v>93609.13</v>
          </cell>
          <cell r="H1749">
            <v>6</v>
          </cell>
          <cell r="I1749">
            <v>678230</v>
          </cell>
          <cell r="J1749">
            <v>0</v>
          </cell>
          <cell r="K1749">
            <v>3329140</v>
          </cell>
          <cell r="L1749">
            <v>3467120</v>
          </cell>
          <cell r="M1749">
            <v>540250</v>
          </cell>
          <cell r="N1749">
            <v>0</v>
          </cell>
          <cell r="O1749" t="str">
            <v>Погашенные ценные бумаги, отосланные для проверки и уничтоже</v>
          </cell>
        </row>
        <row r="1750">
          <cell r="A1750">
            <v>9</v>
          </cell>
          <cell r="B1750">
            <v>214</v>
          </cell>
          <cell r="C1750">
            <v>7845</v>
          </cell>
          <cell r="D1750">
            <v>9961.0400000000009</v>
          </cell>
          <cell r="E1750">
            <v>25</v>
          </cell>
          <cell r="F1750">
            <v>93609.13</v>
          </cell>
          <cell r="H1750">
            <v>6</v>
          </cell>
          <cell r="I1750">
            <v>0</v>
          </cell>
          <cell r="J1750">
            <v>0</v>
          </cell>
          <cell r="K1750">
            <v>3514970</v>
          </cell>
          <cell r="L1750">
            <v>3514970</v>
          </cell>
          <cell r="M1750">
            <v>0</v>
          </cell>
          <cell r="N1750">
            <v>0</v>
          </cell>
          <cell r="O1750" t="str">
            <v>Погашенные ценные бумаги, отосланные для проверки и уничтоже</v>
          </cell>
        </row>
        <row r="1751">
          <cell r="A1751">
            <v>9</v>
          </cell>
          <cell r="B1751">
            <v>214</v>
          </cell>
          <cell r="C1751">
            <v>7948</v>
          </cell>
          <cell r="D1751">
            <v>9961.0400000000009</v>
          </cell>
          <cell r="E1751">
            <v>25</v>
          </cell>
          <cell r="F1751">
            <v>93609.13</v>
          </cell>
          <cell r="H1751">
            <v>6</v>
          </cell>
          <cell r="I1751">
            <v>543645</v>
          </cell>
          <cell r="J1751">
            <v>0</v>
          </cell>
          <cell r="K1751">
            <v>4984800</v>
          </cell>
          <cell r="L1751">
            <v>5352645</v>
          </cell>
          <cell r="M1751">
            <v>175800</v>
          </cell>
          <cell r="N1751">
            <v>0</v>
          </cell>
          <cell r="O1751" t="str">
            <v>Погашенные ценные бумаги, отосланные для проверки и уничтоже</v>
          </cell>
        </row>
        <row r="1752">
          <cell r="A1752">
            <v>9</v>
          </cell>
          <cell r="B1752">
            <v>214</v>
          </cell>
          <cell r="C1752">
            <v>8002</v>
          </cell>
          <cell r="D1752">
            <v>9961.0400000000009</v>
          </cell>
          <cell r="E1752">
            <v>25</v>
          </cell>
          <cell r="F1752">
            <v>93609.13</v>
          </cell>
          <cell r="H1752">
            <v>6</v>
          </cell>
          <cell r="I1752">
            <v>0</v>
          </cell>
          <cell r="J1752">
            <v>0</v>
          </cell>
          <cell r="K1752">
            <v>4563250</v>
          </cell>
          <cell r="L1752">
            <v>4152025</v>
          </cell>
          <cell r="M1752">
            <v>411225</v>
          </cell>
          <cell r="N1752">
            <v>0</v>
          </cell>
          <cell r="O1752" t="str">
            <v>Погашенные ценные бумаги, отосланные для проверки и уничтоже</v>
          </cell>
        </row>
        <row r="1753">
          <cell r="A1753">
            <v>9</v>
          </cell>
          <cell r="B1753">
            <v>214</v>
          </cell>
          <cell r="C1753">
            <v>8104</v>
          </cell>
          <cell r="D1753">
            <v>9961.0400000000009</v>
          </cell>
          <cell r="E1753">
            <v>25</v>
          </cell>
          <cell r="F1753">
            <v>93609.13</v>
          </cell>
          <cell r="H1753">
            <v>6</v>
          </cell>
          <cell r="I1753">
            <v>0</v>
          </cell>
          <cell r="J1753">
            <v>0</v>
          </cell>
          <cell r="K1753">
            <v>4275145</v>
          </cell>
          <cell r="L1753">
            <v>4275145</v>
          </cell>
          <cell r="M1753">
            <v>0</v>
          </cell>
          <cell r="N1753">
            <v>0</v>
          </cell>
          <cell r="O1753" t="str">
            <v>Погашенные ценные бумаги, отосланные для проверки и уничтоже</v>
          </cell>
        </row>
        <row r="1754">
          <cell r="A1754">
            <v>9</v>
          </cell>
          <cell r="B1754">
            <v>214</v>
          </cell>
          <cell r="C1754">
            <v>8137</v>
          </cell>
          <cell r="D1754">
            <v>9961.0400000000009</v>
          </cell>
          <cell r="E1754">
            <v>25</v>
          </cell>
          <cell r="F1754">
            <v>93609.13</v>
          </cell>
          <cell r="H1754">
            <v>6</v>
          </cell>
          <cell r="I1754">
            <v>0</v>
          </cell>
          <cell r="J1754">
            <v>0</v>
          </cell>
          <cell r="K1754">
            <v>2330555</v>
          </cell>
          <cell r="L1754">
            <v>2330555</v>
          </cell>
          <cell r="M1754">
            <v>0</v>
          </cell>
          <cell r="N1754">
            <v>0</v>
          </cell>
          <cell r="O1754" t="str">
            <v>Погашенные ценные бумаги, отосланные для проверки и уничтоже</v>
          </cell>
        </row>
        <row r="1755">
          <cell r="A1755">
            <v>9</v>
          </cell>
          <cell r="B1755">
            <v>214</v>
          </cell>
          <cell r="C1755">
            <v>8533</v>
          </cell>
          <cell r="D1755">
            <v>9961.0400000000009</v>
          </cell>
          <cell r="E1755">
            <v>25</v>
          </cell>
          <cell r="F1755">
            <v>93609.13</v>
          </cell>
          <cell r="H1755">
            <v>6</v>
          </cell>
          <cell r="I1755">
            <v>218800</v>
          </cell>
          <cell r="J1755">
            <v>0</v>
          </cell>
          <cell r="K1755">
            <v>406590</v>
          </cell>
          <cell r="L1755">
            <v>470740</v>
          </cell>
          <cell r="M1755">
            <v>154650</v>
          </cell>
          <cell r="N1755">
            <v>0</v>
          </cell>
          <cell r="O1755" t="str">
            <v>Погашенные ценные бумаги, отосланные для проверки и уничтоже</v>
          </cell>
        </row>
        <row r="1756">
          <cell r="A1756">
            <v>9</v>
          </cell>
          <cell r="B1756">
            <v>214</v>
          </cell>
          <cell r="C1756">
            <v>8659</v>
          </cell>
          <cell r="D1756">
            <v>9961.0400000000009</v>
          </cell>
          <cell r="E1756">
            <v>25</v>
          </cell>
          <cell r="F1756">
            <v>93609.13</v>
          </cell>
          <cell r="H1756">
            <v>6</v>
          </cell>
          <cell r="I1756">
            <v>1297055</v>
          </cell>
          <cell r="J1756">
            <v>0</v>
          </cell>
          <cell r="K1756">
            <v>2405980</v>
          </cell>
          <cell r="L1756">
            <v>1750395</v>
          </cell>
          <cell r="M1756">
            <v>1952640</v>
          </cell>
          <cell r="N1756">
            <v>0</v>
          </cell>
          <cell r="O1756" t="str">
            <v>Погашенные ценные бумаги, отосланные для проверки и уничтоже</v>
          </cell>
        </row>
        <row r="1757">
          <cell r="A1757">
            <v>9</v>
          </cell>
          <cell r="B1757">
            <v>214</v>
          </cell>
          <cell r="C1757">
            <v>8137</v>
          </cell>
          <cell r="D1757">
            <v>9961.0499999999993</v>
          </cell>
          <cell r="E1757">
            <v>25</v>
          </cell>
          <cell r="F1757">
            <v>93609.14</v>
          </cell>
          <cell r="H1757">
            <v>6</v>
          </cell>
          <cell r="I1757">
            <v>0</v>
          </cell>
          <cell r="J1757">
            <v>0</v>
          </cell>
          <cell r="K1757">
            <v>12303255</v>
          </cell>
          <cell r="L1757">
            <v>12303255</v>
          </cell>
          <cell r="M1757">
            <v>0</v>
          </cell>
          <cell r="N1757">
            <v>0</v>
          </cell>
          <cell r="O1757" t="str">
            <v>Разные ценности в пути</v>
          </cell>
        </row>
        <row r="1758">
          <cell r="A1758">
            <v>9</v>
          </cell>
          <cell r="B1758">
            <v>214</v>
          </cell>
          <cell r="C1758">
            <v>8137</v>
          </cell>
          <cell r="D1758">
            <v>9961.07</v>
          </cell>
          <cell r="E1758">
            <v>25</v>
          </cell>
          <cell r="F1758">
            <v>93609.16</v>
          </cell>
          <cell r="H1758">
            <v>6</v>
          </cell>
          <cell r="I1758">
            <v>0</v>
          </cell>
          <cell r="J1758">
            <v>0</v>
          </cell>
          <cell r="K1758">
            <v>1934</v>
          </cell>
          <cell r="L1758">
            <v>1934</v>
          </cell>
          <cell r="M1758">
            <v>0</v>
          </cell>
          <cell r="N1758">
            <v>0</v>
          </cell>
          <cell r="O1758" t="str">
            <v>Ценные бланки в пути</v>
          </cell>
        </row>
        <row r="1759">
          <cell r="A1759">
            <v>9</v>
          </cell>
          <cell r="B1759">
            <v>214</v>
          </cell>
          <cell r="C1759">
            <v>3563</v>
          </cell>
          <cell r="D1759">
            <v>9973</v>
          </cell>
          <cell r="E1759">
            <v>25</v>
          </cell>
          <cell r="F1759">
            <v>90317.01</v>
          </cell>
          <cell r="H1759">
            <v>6</v>
          </cell>
          <cell r="I1759">
            <v>9795.75</v>
          </cell>
          <cell r="J1759">
            <v>0</v>
          </cell>
          <cell r="K1759">
            <v>0</v>
          </cell>
          <cell r="L1759">
            <v>0</v>
          </cell>
          <cell r="M1759">
            <v>9795.75</v>
          </cell>
          <cell r="N1759">
            <v>0</v>
          </cell>
          <cell r="O1759" t="str">
            <v>Бланки сберегательных сертификатов</v>
          </cell>
        </row>
        <row r="1760">
          <cell r="A1760">
            <v>9</v>
          </cell>
          <cell r="B1760">
            <v>214</v>
          </cell>
          <cell r="C1760">
            <v>7948</v>
          </cell>
          <cell r="D1760">
            <v>9973</v>
          </cell>
          <cell r="E1760">
            <v>25</v>
          </cell>
          <cell r="F1760">
            <v>90317.01</v>
          </cell>
          <cell r="H1760">
            <v>6</v>
          </cell>
          <cell r="I1760">
            <v>923.5</v>
          </cell>
          <cell r="J1760">
            <v>0</v>
          </cell>
          <cell r="K1760">
            <v>0</v>
          </cell>
          <cell r="L1760">
            <v>923.5</v>
          </cell>
          <cell r="M1760">
            <v>0</v>
          </cell>
          <cell r="N1760">
            <v>0</v>
          </cell>
          <cell r="O1760" t="str">
            <v>Бланки сберегательных сертификатов</v>
          </cell>
        </row>
        <row r="1761">
          <cell r="A1761">
            <v>9</v>
          </cell>
          <cell r="B1761">
            <v>214</v>
          </cell>
          <cell r="C1761">
            <v>7948</v>
          </cell>
          <cell r="D1761">
            <v>9987</v>
          </cell>
          <cell r="E1761">
            <v>25</v>
          </cell>
          <cell r="F1761">
            <v>93623.06</v>
          </cell>
          <cell r="H1761">
            <v>6</v>
          </cell>
          <cell r="I1761">
            <v>27100</v>
          </cell>
          <cell r="J1761">
            <v>0</v>
          </cell>
          <cell r="K1761">
            <v>0</v>
          </cell>
          <cell r="L1761">
            <v>27100</v>
          </cell>
          <cell r="M1761">
            <v>0</v>
          </cell>
          <cell r="N1761">
            <v>0</v>
          </cell>
          <cell r="O1761" t="str">
            <v>Акции на хранении</v>
          </cell>
        </row>
        <row r="1762">
          <cell r="A1762">
            <v>9</v>
          </cell>
          <cell r="B1762">
            <v>214</v>
          </cell>
          <cell r="C1762">
            <v>3563</v>
          </cell>
          <cell r="D1762">
            <v>9995</v>
          </cell>
          <cell r="E1762">
            <v>25</v>
          </cell>
          <cell r="F1762">
            <v>90303.039999999994</v>
          </cell>
          <cell r="H1762">
            <v>6</v>
          </cell>
          <cell r="I1762">
            <v>35466.400000000001</v>
          </cell>
          <cell r="J1762">
            <v>0</v>
          </cell>
          <cell r="K1762">
            <v>0</v>
          </cell>
          <cell r="L1762">
            <v>0</v>
          </cell>
          <cell r="M1762">
            <v>35466.400000000001</v>
          </cell>
          <cell r="N1762">
            <v>0</v>
          </cell>
          <cell r="O1762" t="str">
            <v>Бланки облигаций гос.займов</v>
          </cell>
        </row>
        <row r="1763">
          <cell r="A1763">
            <v>9</v>
          </cell>
          <cell r="B1763">
            <v>214</v>
          </cell>
          <cell r="C1763">
            <v>7948</v>
          </cell>
          <cell r="D1763">
            <v>9995</v>
          </cell>
          <cell r="E1763">
            <v>25</v>
          </cell>
          <cell r="F1763">
            <v>90303.039999999994</v>
          </cell>
          <cell r="H1763">
            <v>6</v>
          </cell>
          <cell r="I1763">
            <v>106.5</v>
          </cell>
          <cell r="J1763">
            <v>0</v>
          </cell>
          <cell r="K1763">
            <v>0</v>
          </cell>
          <cell r="L1763">
            <v>106.5</v>
          </cell>
          <cell r="M1763">
            <v>0</v>
          </cell>
          <cell r="N1763">
            <v>0</v>
          </cell>
          <cell r="O1763" t="str">
            <v>Бланки облигаций гос.займов</v>
          </cell>
        </row>
        <row r="1764">
          <cell r="A1764">
            <v>9</v>
          </cell>
          <cell r="B1764">
            <v>214</v>
          </cell>
          <cell r="C1764">
            <v>8298</v>
          </cell>
          <cell r="D1764">
            <v>9995</v>
          </cell>
          <cell r="E1764">
            <v>25</v>
          </cell>
          <cell r="F1764">
            <v>90303.039999999994</v>
          </cell>
          <cell r="H1764">
            <v>6</v>
          </cell>
          <cell r="I1764">
            <v>15</v>
          </cell>
          <cell r="J1764">
            <v>0</v>
          </cell>
          <cell r="K1764">
            <v>0</v>
          </cell>
          <cell r="L1764">
            <v>0</v>
          </cell>
          <cell r="M1764">
            <v>15</v>
          </cell>
          <cell r="N1764">
            <v>0</v>
          </cell>
          <cell r="O1764" t="str">
            <v>Бланки облигаций гос.займов</v>
          </cell>
        </row>
        <row r="1765">
          <cell r="A1765">
            <v>9</v>
          </cell>
          <cell r="B1765">
            <v>214</v>
          </cell>
          <cell r="C1765">
            <v>5996</v>
          </cell>
          <cell r="D1765">
            <v>9998</v>
          </cell>
          <cell r="E1765">
            <v>25</v>
          </cell>
          <cell r="F1765">
            <v>93616.04</v>
          </cell>
          <cell r="H1765">
            <v>6</v>
          </cell>
          <cell r="I1765">
            <v>270.3</v>
          </cell>
          <cell r="J1765">
            <v>0</v>
          </cell>
          <cell r="K1765">
            <v>0</v>
          </cell>
          <cell r="L1765">
            <v>0</v>
          </cell>
          <cell r="M1765">
            <v>270.3</v>
          </cell>
          <cell r="N1765">
            <v>0</v>
          </cell>
          <cell r="O1765" t="str">
            <v>Облигации на хранении</v>
          </cell>
        </row>
        <row r="1766">
          <cell r="A1766">
            <v>9</v>
          </cell>
          <cell r="B1766">
            <v>214</v>
          </cell>
          <cell r="C1766">
            <v>7783</v>
          </cell>
          <cell r="D1766">
            <v>9998</v>
          </cell>
          <cell r="E1766">
            <v>25</v>
          </cell>
          <cell r="F1766">
            <v>93616.04</v>
          </cell>
          <cell r="H1766">
            <v>6</v>
          </cell>
          <cell r="I1766">
            <v>536.29999999999995</v>
          </cell>
          <cell r="J1766">
            <v>0</v>
          </cell>
          <cell r="K1766">
            <v>0</v>
          </cell>
          <cell r="L1766">
            <v>0</v>
          </cell>
          <cell r="M1766">
            <v>536.29999999999995</v>
          </cell>
          <cell r="N1766">
            <v>0</v>
          </cell>
          <cell r="O1766" t="str">
            <v>Облигации на хранении</v>
          </cell>
        </row>
        <row r="1767">
          <cell r="A1767">
            <v>9</v>
          </cell>
          <cell r="B1767">
            <v>214</v>
          </cell>
          <cell r="C1767">
            <v>7948</v>
          </cell>
          <cell r="D1767">
            <v>9998</v>
          </cell>
          <cell r="E1767">
            <v>25</v>
          </cell>
          <cell r="F1767">
            <v>93616.04</v>
          </cell>
          <cell r="H1767">
            <v>6</v>
          </cell>
          <cell r="I1767">
            <v>349</v>
          </cell>
          <cell r="J1767">
            <v>0</v>
          </cell>
          <cell r="K1767">
            <v>0</v>
          </cell>
          <cell r="L1767">
            <v>0</v>
          </cell>
          <cell r="M1767">
            <v>349</v>
          </cell>
          <cell r="N1767">
            <v>0</v>
          </cell>
          <cell r="O1767" t="str">
            <v>Облигации на хранении</v>
          </cell>
        </row>
        <row r="1768">
          <cell r="A1768">
            <v>9</v>
          </cell>
          <cell r="B1768">
            <v>214</v>
          </cell>
          <cell r="C1768">
            <v>8137</v>
          </cell>
          <cell r="D1768">
            <v>9998</v>
          </cell>
          <cell r="E1768">
            <v>25</v>
          </cell>
          <cell r="F1768">
            <v>93616.04</v>
          </cell>
          <cell r="H1768">
            <v>6</v>
          </cell>
          <cell r="I1768">
            <v>10</v>
          </cell>
          <cell r="J1768">
            <v>0</v>
          </cell>
          <cell r="K1768">
            <v>0</v>
          </cell>
          <cell r="L1768">
            <v>0</v>
          </cell>
          <cell r="M1768">
            <v>10</v>
          </cell>
          <cell r="N1768">
            <v>0</v>
          </cell>
          <cell r="O1768" t="str">
            <v>Облигации на хранении</v>
          </cell>
        </row>
        <row r="1769">
          <cell r="A1769">
            <v>9</v>
          </cell>
          <cell r="B1769">
            <v>214</v>
          </cell>
          <cell r="C1769">
            <v>3563</v>
          </cell>
          <cell r="D1769">
            <v>9999.2000000000007</v>
          </cell>
          <cell r="E1769">
            <v>0</v>
          </cell>
          <cell r="F1769">
            <v>90317.13</v>
          </cell>
          <cell r="H1769">
            <v>0</v>
          </cell>
          <cell r="I1769">
            <v>52440</v>
          </cell>
          <cell r="J1769">
            <v>0</v>
          </cell>
          <cell r="K1769">
            <v>55320</v>
          </cell>
          <cell r="L1769">
            <v>107760</v>
          </cell>
          <cell r="M1769">
            <v>0</v>
          </cell>
          <cell r="N1769">
            <v>0</v>
          </cell>
          <cell r="O1769" t="str">
            <v>Билеты ДВЛ - Тошкент</v>
          </cell>
        </row>
        <row r="1770">
          <cell r="A1770">
            <v>9</v>
          </cell>
          <cell r="B1770">
            <v>214</v>
          </cell>
          <cell r="C1770">
            <v>5996</v>
          </cell>
          <cell r="D1770">
            <v>9999.2000000000007</v>
          </cell>
          <cell r="E1770">
            <v>0</v>
          </cell>
          <cell r="F1770">
            <v>90317.13</v>
          </cell>
          <cell r="H1770">
            <v>0</v>
          </cell>
          <cell r="I1770">
            <v>0</v>
          </cell>
          <cell r="J1770">
            <v>0</v>
          </cell>
          <cell r="K1770">
            <v>410160</v>
          </cell>
          <cell r="L1770">
            <v>410160</v>
          </cell>
          <cell r="M1770">
            <v>0</v>
          </cell>
          <cell r="N1770">
            <v>0</v>
          </cell>
          <cell r="O1770" t="str">
            <v>Билеты ДВЛ - Тошкент</v>
          </cell>
        </row>
        <row r="1771">
          <cell r="A1771">
            <v>9</v>
          </cell>
          <cell r="B1771">
            <v>214</v>
          </cell>
          <cell r="C1771">
            <v>7783</v>
          </cell>
          <cell r="D1771">
            <v>9999.2000000000007</v>
          </cell>
          <cell r="E1771">
            <v>0</v>
          </cell>
          <cell r="F1771">
            <v>90317.13</v>
          </cell>
          <cell r="H1771">
            <v>0</v>
          </cell>
          <cell r="I1771">
            <v>415320</v>
          </cell>
          <cell r="J1771">
            <v>0</v>
          </cell>
          <cell r="K1771">
            <v>410000</v>
          </cell>
          <cell r="L1771">
            <v>825320</v>
          </cell>
          <cell r="M1771">
            <v>0</v>
          </cell>
          <cell r="N1771">
            <v>0</v>
          </cell>
          <cell r="O1771" t="str">
            <v>Билеты ДВЛ - Тошкент</v>
          </cell>
        </row>
        <row r="1772">
          <cell r="A1772">
            <v>9</v>
          </cell>
          <cell r="B1772">
            <v>214</v>
          </cell>
          <cell r="C1772">
            <v>7845</v>
          </cell>
          <cell r="D1772">
            <v>9999.2000000000007</v>
          </cell>
          <cell r="E1772">
            <v>0</v>
          </cell>
          <cell r="F1772">
            <v>90317.13</v>
          </cell>
          <cell r="H1772">
            <v>0</v>
          </cell>
          <cell r="I1772">
            <v>446400</v>
          </cell>
          <cell r="J1772">
            <v>0</v>
          </cell>
          <cell r="K1772">
            <v>31080</v>
          </cell>
          <cell r="L1772">
            <v>477480</v>
          </cell>
          <cell r="M1772">
            <v>0</v>
          </cell>
          <cell r="N1772">
            <v>0</v>
          </cell>
          <cell r="O1772" t="str">
            <v>Билеты ДВЛ - Тошкент</v>
          </cell>
        </row>
        <row r="1773">
          <cell r="A1773">
            <v>9</v>
          </cell>
          <cell r="B1773">
            <v>214</v>
          </cell>
          <cell r="C1773">
            <v>7948</v>
          </cell>
          <cell r="D1773">
            <v>9999.2000000000007</v>
          </cell>
          <cell r="E1773">
            <v>0</v>
          </cell>
          <cell r="F1773">
            <v>90317.13</v>
          </cell>
          <cell r="H1773">
            <v>0</v>
          </cell>
          <cell r="I1773">
            <v>307680</v>
          </cell>
          <cell r="J1773">
            <v>0</v>
          </cell>
          <cell r="K1773">
            <v>807720</v>
          </cell>
          <cell r="L1773">
            <v>1115400</v>
          </cell>
          <cell r="M1773">
            <v>0</v>
          </cell>
          <cell r="N1773">
            <v>0</v>
          </cell>
          <cell r="O1773" t="str">
            <v>Билеты ДВЛ - Тошкент</v>
          </cell>
        </row>
        <row r="1774">
          <cell r="A1774">
            <v>9</v>
          </cell>
          <cell r="B1774">
            <v>214</v>
          </cell>
          <cell r="C1774">
            <v>8002</v>
          </cell>
          <cell r="D1774">
            <v>9999.2000000000007</v>
          </cell>
          <cell r="E1774">
            <v>0</v>
          </cell>
          <cell r="F1774">
            <v>90317.13</v>
          </cell>
          <cell r="H1774">
            <v>0</v>
          </cell>
          <cell r="I1774">
            <v>275640</v>
          </cell>
          <cell r="J1774">
            <v>0</v>
          </cell>
          <cell r="K1774">
            <v>22680</v>
          </cell>
          <cell r="L1774">
            <v>298320</v>
          </cell>
          <cell r="M1774">
            <v>0</v>
          </cell>
          <cell r="N1774">
            <v>0</v>
          </cell>
          <cell r="O1774" t="str">
            <v>Билеты ДВЛ - Тошкент</v>
          </cell>
        </row>
        <row r="1775">
          <cell r="A1775">
            <v>9</v>
          </cell>
          <cell r="B1775">
            <v>214</v>
          </cell>
          <cell r="C1775">
            <v>8104</v>
          </cell>
          <cell r="D1775">
            <v>9999.2000000000007</v>
          </cell>
          <cell r="E1775">
            <v>0</v>
          </cell>
          <cell r="F1775">
            <v>90317.13</v>
          </cell>
          <cell r="H1775">
            <v>6</v>
          </cell>
          <cell r="I1775">
            <v>0</v>
          </cell>
          <cell r="J1775">
            <v>0</v>
          </cell>
          <cell r="K1775">
            <v>204000</v>
          </cell>
          <cell r="L1775">
            <v>191460</v>
          </cell>
          <cell r="M1775">
            <v>12540</v>
          </cell>
          <cell r="N1775">
            <v>0</v>
          </cell>
          <cell r="O1775" t="str">
            <v>"Toshkent" lotereyasining chiptalari</v>
          </cell>
        </row>
        <row r="1776">
          <cell r="A1776">
            <v>9</v>
          </cell>
          <cell r="B1776">
            <v>214</v>
          </cell>
          <cell r="C1776">
            <v>8137</v>
          </cell>
          <cell r="D1776">
            <v>9999.2000000000007</v>
          </cell>
          <cell r="E1776">
            <v>0</v>
          </cell>
          <cell r="F1776">
            <v>90317.13</v>
          </cell>
          <cell r="H1776">
            <v>6</v>
          </cell>
          <cell r="I1776">
            <v>231900</v>
          </cell>
          <cell r="J1776">
            <v>0</v>
          </cell>
          <cell r="K1776">
            <v>458580</v>
          </cell>
          <cell r="L1776">
            <v>664440</v>
          </cell>
          <cell r="M1776">
            <v>26040</v>
          </cell>
          <cell r="N1776">
            <v>0</v>
          </cell>
          <cell r="O1776" t="str">
            <v>Билеты ДВЛ "Тошкент"</v>
          </cell>
        </row>
        <row r="1777">
          <cell r="A1777">
            <v>9</v>
          </cell>
          <cell r="B1777">
            <v>214</v>
          </cell>
          <cell r="C1777">
            <v>8533</v>
          </cell>
          <cell r="D1777">
            <v>9999.2000000000007</v>
          </cell>
          <cell r="E1777">
            <v>0</v>
          </cell>
          <cell r="F1777">
            <v>90317.13</v>
          </cell>
          <cell r="H1777">
            <v>0</v>
          </cell>
          <cell r="I1777">
            <v>7780</v>
          </cell>
          <cell r="J1777">
            <v>0</v>
          </cell>
          <cell r="K1777">
            <v>0</v>
          </cell>
          <cell r="L1777">
            <v>7780</v>
          </cell>
          <cell r="M1777">
            <v>0</v>
          </cell>
          <cell r="N1777">
            <v>0</v>
          </cell>
          <cell r="O1777" t="str">
            <v>Билеты ДВЛ - Тошкент</v>
          </cell>
        </row>
        <row r="1778">
          <cell r="A1778">
            <v>9</v>
          </cell>
          <cell r="B1778">
            <v>214</v>
          </cell>
          <cell r="C1778">
            <v>8659</v>
          </cell>
          <cell r="D1778">
            <v>9999.2000000000007</v>
          </cell>
          <cell r="E1778">
            <v>0</v>
          </cell>
          <cell r="F1778">
            <v>90317.13</v>
          </cell>
          <cell r="H1778">
            <v>0</v>
          </cell>
          <cell r="I1778">
            <v>292440</v>
          </cell>
          <cell r="J1778">
            <v>0</v>
          </cell>
          <cell r="K1778">
            <v>443100</v>
          </cell>
          <cell r="L1778">
            <v>735540</v>
          </cell>
          <cell r="M1778">
            <v>0</v>
          </cell>
          <cell r="N1778">
            <v>0</v>
          </cell>
          <cell r="O1778" t="str">
            <v>Билеты ДВЛ - Тошкент</v>
          </cell>
        </row>
        <row r="1779">
          <cell r="A1779">
            <v>9</v>
          </cell>
          <cell r="B1779">
            <v>214</v>
          </cell>
          <cell r="C1779">
            <v>3563</v>
          </cell>
          <cell r="D1779">
            <v>9999.2199999999993</v>
          </cell>
          <cell r="E1779">
            <v>0</v>
          </cell>
          <cell r="F1779">
            <v>90317.15</v>
          </cell>
          <cell r="H1779">
            <v>0</v>
          </cell>
          <cell r="I1779">
            <v>850</v>
          </cell>
          <cell r="J1779">
            <v>0</v>
          </cell>
          <cell r="K1779">
            <v>0</v>
          </cell>
          <cell r="L1779">
            <v>850</v>
          </cell>
          <cell r="M1779">
            <v>0</v>
          </cell>
          <cell r="N1779">
            <v>0</v>
          </cell>
          <cell r="O1779" t="str">
            <v>Билеты ДВЛ - Эколот-4</v>
          </cell>
        </row>
        <row r="1780">
          <cell r="A1780">
            <v>9</v>
          </cell>
          <cell r="B1780">
            <v>214</v>
          </cell>
          <cell r="C1780">
            <v>7845</v>
          </cell>
          <cell r="D1780">
            <v>9999.2199999999993</v>
          </cell>
          <cell r="E1780">
            <v>0</v>
          </cell>
          <cell r="F1780">
            <v>90317.15</v>
          </cell>
          <cell r="H1780">
            <v>0</v>
          </cell>
          <cell r="I1780">
            <v>108200</v>
          </cell>
          <cell r="J1780">
            <v>0</v>
          </cell>
          <cell r="K1780">
            <v>100000</v>
          </cell>
          <cell r="L1780">
            <v>208200</v>
          </cell>
          <cell r="M1780">
            <v>0</v>
          </cell>
          <cell r="N1780">
            <v>0</v>
          </cell>
          <cell r="O1780" t="str">
            <v>Билеты ДВЛ - Эколот-4</v>
          </cell>
        </row>
        <row r="1781">
          <cell r="A1781">
            <v>9</v>
          </cell>
          <cell r="B1781">
            <v>214</v>
          </cell>
          <cell r="C1781">
            <v>8659</v>
          </cell>
          <cell r="D1781">
            <v>9999.2199999999993</v>
          </cell>
          <cell r="E1781">
            <v>0</v>
          </cell>
          <cell r="F1781">
            <v>90317.15</v>
          </cell>
          <cell r="H1781">
            <v>0</v>
          </cell>
          <cell r="I1781">
            <v>50400</v>
          </cell>
          <cell r="J1781">
            <v>0</v>
          </cell>
          <cell r="K1781">
            <v>97800</v>
          </cell>
          <cell r="L1781">
            <v>148200</v>
          </cell>
          <cell r="M1781">
            <v>0</v>
          </cell>
          <cell r="N1781">
            <v>0</v>
          </cell>
          <cell r="O1781" t="str">
            <v>Билеты ДВЛ - Эколот-4</v>
          </cell>
        </row>
        <row r="1782">
          <cell r="A1782">
            <v>9</v>
          </cell>
          <cell r="B1782">
            <v>214</v>
          </cell>
          <cell r="C1782">
            <v>3563</v>
          </cell>
          <cell r="D1782">
            <v>9999.23</v>
          </cell>
          <cell r="E1782">
            <v>0</v>
          </cell>
          <cell r="F1782">
            <v>90317.16</v>
          </cell>
          <cell r="H1782">
            <v>0</v>
          </cell>
          <cell r="I1782">
            <v>554100</v>
          </cell>
          <cell r="J1782">
            <v>0</v>
          </cell>
          <cell r="K1782">
            <v>4050650</v>
          </cell>
          <cell r="L1782">
            <v>4604750</v>
          </cell>
          <cell r="M1782">
            <v>0</v>
          </cell>
          <cell r="N1782">
            <v>0</v>
          </cell>
          <cell r="O1782" t="str">
            <v>Билеты ДВЛ - Улугбек юлдузлари</v>
          </cell>
        </row>
        <row r="1783">
          <cell r="A1783">
            <v>9</v>
          </cell>
          <cell r="B1783">
            <v>214</v>
          </cell>
          <cell r="C1783">
            <v>5996</v>
          </cell>
          <cell r="D1783">
            <v>9999.23</v>
          </cell>
          <cell r="E1783">
            <v>0</v>
          </cell>
          <cell r="F1783">
            <v>90317.16</v>
          </cell>
          <cell r="H1783">
            <v>0</v>
          </cell>
          <cell r="I1783">
            <v>658400</v>
          </cell>
          <cell r="J1783">
            <v>0</v>
          </cell>
          <cell r="K1783">
            <v>48100</v>
          </cell>
          <cell r="L1783">
            <v>706500</v>
          </cell>
          <cell r="M1783">
            <v>0</v>
          </cell>
          <cell r="N1783">
            <v>0</v>
          </cell>
          <cell r="O1783" t="str">
            <v>Билеты ДВЛ - Улугбек юлдузлари</v>
          </cell>
        </row>
        <row r="1784">
          <cell r="A1784">
            <v>9</v>
          </cell>
          <cell r="B1784">
            <v>214</v>
          </cell>
          <cell r="C1784">
            <v>7783</v>
          </cell>
          <cell r="D1784">
            <v>9999.23</v>
          </cell>
          <cell r="E1784">
            <v>0</v>
          </cell>
          <cell r="F1784">
            <v>90317.16</v>
          </cell>
          <cell r="H1784">
            <v>0</v>
          </cell>
          <cell r="I1784">
            <v>641150</v>
          </cell>
          <cell r="J1784">
            <v>0</v>
          </cell>
          <cell r="K1784">
            <v>150000</v>
          </cell>
          <cell r="L1784">
            <v>791150</v>
          </cell>
          <cell r="M1784">
            <v>0</v>
          </cell>
          <cell r="N1784">
            <v>0</v>
          </cell>
          <cell r="O1784" t="str">
            <v>Билеты ДВЛ - Улугбек юлдузлари</v>
          </cell>
        </row>
        <row r="1785">
          <cell r="A1785">
            <v>9</v>
          </cell>
          <cell r="B1785">
            <v>214</v>
          </cell>
          <cell r="C1785">
            <v>7845</v>
          </cell>
          <cell r="D1785">
            <v>9999.23</v>
          </cell>
          <cell r="E1785">
            <v>0</v>
          </cell>
          <cell r="F1785">
            <v>90317.16</v>
          </cell>
          <cell r="H1785">
            <v>0</v>
          </cell>
          <cell r="I1785">
            <v>206150</v>
          </cell>
          <cell r="J1785">
            <v>0</v>
          </cell>
          <cell r="K1785">
            <v>51150</v>
          </cell>
          <cell r="L1785">
            <v>257300</v>
          </cell>
          <cell r="M1785">
            <v>0</v>
          </cell>
          <cell r="N1785">
            <v>0</v>
          </cell>
          <cell r="O1785" t="str">
            <v>Билеты ДВЛ - Улугбек юлдузлари</v>
          </cell>
        </row>
        <row r="1786">
          <cell r="A1786">
            <v>9</v>
          </cell>
          <cell r="B1786">
            <v>214</v>
          </cell>
          <cell r="C1786">
            <v>7948</v>
          </cell>
          <cell r="D1786">
            <v>9999.23</v>
          </cell>
          <cell r="E1786">
            <v>0</v>
          </cell>
          <cell r="F1786">
            <v>90317.16</v>
          </cell>
          <cell r="H1786">
            <v>0</v>
          </cell>
          <cell r="I1786">
            <v>231800</v>
          </cell>
          <cell r="J1786">
            <v>0</v>
          </cell>
          <cell r="K1786">
            <v>280500</v>
          </cell>
          <cell r="L1786">
            <v>512300</v>
          </cell>
          <cell r="M1786">
            <v>0</v>
          </cell>
          <cell r="N1786">
            <v>0</v>
          </cell>
          <cell r="O1786" t="str">
            <v>Билеты ДВЛ - Улугбек юлдузлари</v>
          </cell>
        </row>
        <row r="1787">
          <cell r="A1787">
            <v>9</v>
          </cell>
          <cell r="B1787">
            <v>214</v>
          </cell>
          <cell r="C1787">
            <v>8002</v>
          </cell>
          <cell r="D1787">
            <v>9999.23</v>
          </cell>
          <cell r="E1787">
            <v>0</v>
          </cell>
          <cell r="F1787">
            <v>90317.16</v>
          </cell>
          <cell r="H1787">
            <v>0</v>
          </cell>
          <cell r="I1787">
            <v>313500</v>
          </cell>
          <cell r="J1787">
            <v>0</v>
          </cell>
          <cell r="K1787">
            <v>14250</v>
          </cell>
          <cell r="L1787">
            <v>327750</v>
          </cell>
          <cell r="M1787">
            <v>0</v>
          </cell>
          <cell r="N1787">
            <v>0</v>
          </cell>
          <cell r="O1787" t="str">
            <v>Билеты ДВЛ - Улугбек юлдузлари</v>
          </cell>
        </row>
        <row r="1788">
          <cell r="A1788">
            <v>9</v>
          </cell>
          <cell r="B1788">
            <v>214</v>
          </cell>
          <cell r="C1788">
            <v>8104</v>
          </cell>
          <cell r="D1788">
            <v>9999.23</v>
          </cell>
          <cell r="E1788">
            <v>0</v>
          </cell>
          <cell r="F1788">
            <v>90317.16</v>
          </cell>
          <cell r="H1788">
            <v>6</v>
          </cell>
          <cell r="I1788">
            <v>3950</v>
          </cell>
          <cell r="J1788">
            <v>0</v>
          </cell>
          <cell r="K1788">
            <v>0</v>
          </cell>
          <cell r="L1788">
            <v>3950</v>
          </cell>
          <cell r="M1788">
            <v>0</v>
          </cell>
          <cell r="N1788">
            <v>0</v>
          </cell>
          <cell r="O1788" t="str">
            <v>"Ulug`bek yulduzlari" lotereyasining chiptalari</v>
          </cell>
        </row>
        <row r="1789">
          <cell r="A1789">
            <v>9</v>
          </cell>
          <cell r="B1789">
            <v>214</v>
          </cell>
          <cell r="C1789">
            <v>8137</v>
          </cell>
          <cell r="D1789">
            <v>9999.23</v>
          </cell>
          <cell r="E1789">
            <v>0</v>
          </cell>
          <cell r="F1789">
            <v>90317.16</v>
          </cell>
          <cell r="H1789">
            <v>6</v>
          </cell>
          <cell r="I1789">
            <v>488650</v>
          </cell>
          <cell r="J1789">
            <v>0</v>
          </cell>
          <cell r="K1789">
            <v>10350</v>
          </cell>
          <cell r="L1789">
            <v>499000</v>
          </cell>
          <cell r="M1789">
            <v>0</v>
          </cell>
          <cell r="N1789">
            <v>0</v>
          </cell>
          <cell r="O1789" t="str">
            <v>Билеты ДВЛ "Улугбек юлдузлари"</v>
          </cell>
        </row>
        <row r="1790">
          <cell r="A1790">
            <v>9</v>
          </cell>
          <cell r="B1790">
            <v>214</v>
          </cell>
          <cell r="C1790">
            <v>8298</v>
          </cell>
          <cell r="D1790">
            <v>9999.23</v>
          </cell>
          <cell r="E1790">
            <v>0</v>
          </cell>
          <cell r="F1790">
            <v>90317.16</v>
          </cell>
          <cell r="H1790">
            <v>0</v>
          </cell>
          <cell r="I1790">
            <v>416900</v>
          </cell>
          <cell r="J1790">
            <v>0</v>
          </cell>
          <cell r="K1790">
            <v>100000</v>
          </cell>
          <cell r="L1790">
            <v>516900</v>
          </cell>
          <cell r="M1790">
            <v>0</v>
          </cell>
          <cell r="N1790">
            <v>0</v>
          </cell>
          <cell r="O1790" t="str">
            <v>Билеты ДВЛ - Улугбек юлдузлари</v>
          </cell>
        </row>
        <row r="1791">
          <cell r="A1791">
            <v>9</v>
          </cell>
          <cell r="B1791">
            <v>214</v>
          </cell>
          <cell r="C1791">
            <v>8533</v>
          </cell>
          <cell r="D1791">
            <v>9999.23</v>
          </cell>
          <cell r="E1791">
            <v>0</v>
          </cell>
          <cell r="F1791">
            <v>90317.16</v>
          </cell>
          <cell r="H1791">
            <v>0</v>
          </cell>
          <cell r="I1791">
            <v>278250</v>
          </cell>
          <cell r="J1791">
            <v>0</v>
          </cell>
          <cell r="K1791">
            <v>11100</v>
          </cell>
          <cell r="L1791">
            <v>289350</v>
          </cell>
          <cell r="M1791">
            <v>0</v>
          </cell>
          <cell r="N1791">
            <v>0</v>
          </cell>
          <cell r="O1791" t="str">
            <v>Билеты ДВЛ - Улугбек юлдузлари</v>
          </cell>
        </row>
        <row r="1792">
          <cell r="A1792">
            <v>9</v>
          </cell>
          <cell r="B1792">
            <v>214</v>
          </cell>
          <cell r="C1792">
            <v>8659</v>
          </cell>
          <cell r="D1792">
            <v>9999.23</v>
          </cell>
          <cell r="E1792">
            <v>0</v>
          </cell>
          <cell r="F1792">
            <v>90317.16</v>
          </cell>
          <cell r="H1792">
            <v>0</v>
          </cell>
          <cell r="I1792">
            <v>485550</v>
          </cell>
          <cell r="J1792">
            <v>0</v>
          </cell>
          <cell r="K1792">
            <v>560300</v>
          </cell>
          <cell r="L1792">
            <v>1045850</v>
          </cell>
          <cell r="M1792">
            <v>0</v>
          </cell>
          <cell r="N1792">
            <v>0</v>
          </cell>
          <cell r="O1792" t="str">
            <v>Билеты ДВЛ - Улугбек юлдузлари</v>
          </cell>
        </row>
        <row r="1793">
          <cell r="A1793">
            <v>9</v>
          </cell>
          <cell r="B1793">
            <v>214</v>
          </cell>
          <cell r="C1793">
            <v>3563</v>
          </cell>
          <cell r="D1793">
            <v>9999.24</v>
          </cell>
          <cell r="E1793">
            <v>0</v>
          </cell>
          <cell r="F1793">
            <v>90317.17</v>
          </cell>
          <cell r="H1793">
            <v>0</v>
          </cell>
          <cell r="I1793">
            <v>190700</v>
          </cell>
          <cell r="J1793">
            <v>0</v>
          </cell>
          <cell r="K1793">
            <v>75996200</v>
          </cell>
          <cell r="L1793">
            <v>76186900</v>
          </cell>
          <cell r="M1793">
            <v>0</v>
          </cell>
          <cell r="N1793">
            <v>0</v>
          </cell>
          <cell r="O1793" t="str">
            <v>Билеты ДВЛ - Омадли инсон</v>
          </cell>
        </row>
        <row r="1794">
          <cell r="A1794">
            <v>9</v>
          </cell>
          <cell r="B1794">
            <v>214</v>
          </cell>
          <cell r="C1794">
            <v>5996</v>
          </cell>
          <cell r="D1794">
            <v>9999.24</v>
          </cell>
          <cell r="E1794">
            <v>0</v>
          </cell>
          <cell r="F1794">
            <v>90317.17</v>
          </cell>
          <cell r="H1794">
            <v>0</v>
          </cell>
          <cell r="I1794">
            <v>247500</v>
          </cell>
          <cell r="J1794">
            <v>0</v>
          </cell>
          <cell r="K1794">
            <v>10106500</v>
          </cell>
          <cell r="L1794">
            <v>10354000</v>
          </cell>
          <cell r="M1794">
            <v>0</v>
          </cell>
          <cell r="N1794">
            <v>0</v>
          </cell>
          <cell r="O1794" t="str">
            <v>Билеты ДВЛ - Омадли инсон</v>
          </cell>
        </row>
        <row r="1795">
          <cell r="A1795">
            <v>9</v>
          </cell>
          <cell r="B1795">
            <v>214</v>
          </cell>
          <cell r="C1795">
            <v>7783</v>
          </cell>
          <cell r="D1795">
            <v>9999.24</v>
          </cell>
          <cell r="E1795">
            <v>0</v>
          </cell>
          <cell r="F1795">
            <v>90317.17</v>
          </cell>
          <cell r="H1795">
            <v>0</v>
          </cell>
          <cell r="I1795">
            <v>471200</v>
          </cell>
          <cell r="J1795">
            <v>0</v>
          </cell>
          <cell r="K1795">
            <v>8000000</v>
          </cell>
          <cell r="L1795">
            <v>8471200</v>
          </cell>
          <cell r="M1795">
            <v>0</v>
          </cell>
          <cell r="N1795">
            <v>0</v>
          </cell>
          <cell r="O1795" t="str">
            <v>Билеты ДВЛ - Омадли инсон</v>
          </cell>
        </row>
        <row r="1796">
          <cell r="A1796">
            <v>9</v>
          </cell>
          <cell r="B1796">
            <v>214</v>
          </cell>
          <cell r="C1796">
            <v>7845</v>
          </cell>
          <cell r="D1796">
            <v>9999.24</v>
          </cell>
          <cell r="E1796">
            <v>0</v>
          </cell>
          <cell r="F1796">
            <v>90317.17</v>
          </cell>
          <cell r="H1796">
            <v>0</v>
          </cell>
          <cell r="I1796">
            <v>627300</v>
          </cell>
          <cell r="J1796">
            <v>0</v>
          </cell>
          <cell r="K1796">
            <v>11878800</v>
          </cell>
          <cell r="L1796">
            <v>12506100</v>
          </cell>
          <cell r="M1796">
            <v>0</v>
          </cell>
          <cell r="N1796">
            <v>0</v>
          </cell>
          <cell r="O1796" t="str">
            <v>Билеты ДВЛ - Омадли инсон</v>
          </cell>
        </row>
        <row r="1797">
          <cell r="A1797">
            <v>9</v>
          </cell>
          <cell r="B1797">
            <v>214</v>
          </cell>
          <cell r="C1797">
            <v>7948</v>
          </cell>
          <cell r="D1797">
            <v>9999.24</v>
          </cell>
          <cell r="E1797">
            <v>0</v>
          </cell>
          <cell r="F1797">
            <v>90317.17</v>
          </cell>
          <cell r="H1797">
            <v>0</v>
          </cell>
          <cell r="I1797">
            <v>1439600</v>
          </cell>
          <cell r="J1797">
            <v>0</v>
          </cell>
          <cell r="K1797">
            <v>11404200</v>
          </cell>
          <cell r="L1797">
            <v>12843800</v>
          </cell>
          <cell r="M1797">
            <v>0</v>
          </cell>
          <cell r="N1797">
            <v>0</v>
          </cell>
          <cell r="O1797" t="str">
            <v>Билеты ДВЛ - Омадли инсон</v>
          </cell>
        </row>
        <row r="1798">
          <cell r="A1798">
            <v>9</v>
          </cell>
          <cell r="B1798">
            <v>214</v>
          </cell>
          <cell r="C1798">
            <v>8002</v>
          </cell>
          <cell r="D1798">
            <v>9999.24</v>
          </cell>
          <cell r="E1798">
            <v>0</v>
          </cell>
          <cell r="F1798">
            <v>90317.17</v>
          </cell>
          <cell r="H1798">
            <v>0</v>
          </cell>
          <cell r="I1798">
            <v>0</v>
          </cell>
          <cell r="J1798">
            <v>0</v>
          </cell>
          <cell r="K1798">
            <v>7055300</v>
          </cell>
          <cell r="L1798">
            <v>7055300</v>
          </cell>
          <cell r="M1798">
            <v>0</v>
          </cell>
          <cell r="N1798">
            <v>0</v>
          </cell>
          <cell r="O1798" t="str">
            <v>Билеты ДВЛ - Омадли инсон</v>
          </cell>
        </row>
        <row r="1799">
          <cell r="A1799">
            <v>9</v>
          </cell>
          <cell r="B1799">
            <v>214</v>
          </cell>
          <cell r="C1799">
            <v>8104</v>
          </cell>
          <cell r="D1799">
            <v>9999.24</v>
          </cell>
          <cell r="E1799">
            <v>0</v>
          </cell>
          <cell r="F1799">
            <v>90317.17</v>
          </cell>
          <cell r="H1799">
            <v>6</v>
          </cell>
          <cell r="I1799">
            <v>785300</v>
          </cell>
          <cell r="J1799">
            <v>0</v>
          </cell>
          <cell r="K1799">
            <v>7260000</v>
          </cell>
          <cell r="L1799">
            <v>8045300</v>
          </cell>
          <cell r="M1799">
            <v>0</v>
          </cell>
          <cell r="N1799">
            <v>0</v>
          </cell>
          <cell r="O1799" t="str">
            <v>"Omadli inson" lotereyasining chiptalari</v>
          </cell>
        </row>
        <row r="1800">
          <cell r="A1800">
            <v>9</v>
          </cell>
          <cell r="B1800">
            <v>214</v>
          </cell>
          <cell r="C1800">
            <v>8137</v>
          </cell>
          <cell r="D1800">
            <v>9999.24</v>
          </cell>
          <cell r="E1800">
            <v>0</v>
          </cell>
          <cell r="F1800">
            <v>90317.17</v>
          </cell>
          <cell r="H1800">
            <v>6</v>
          </cell>
          <cell r="I1800">
            <v>1699100</v>
          </cell>
          <cell r="J1800">
            <v>0</v>
          </cell>
          <cell r="K1800">
            <v>14913600</v>
          </cell>
          <cell r="L1800">
            <v>16612700</v>
          </cell>
          <cell r="M1800">
            <v>0</v>
          </cell>
          <cell r="N1800">
            <v>0</v>
          </cell>
          <cell r="O1800" t="str">
            <v>Билеты ДВЛ "Омадли инсон"</v>
          </cell>
        </row>
        <row r="1801">
          <cell r="A1801">
            <v>9</v>
          </cell>
          <cell r="B1801">
            <v>214</v>
          </cell>
          <cell r="C1801">
            <v>8298</v>
          </cell>
          <cell r="D1801">
            <v>9999.24</v>
          </cell>
          <cell r="E1801">
            <v>0</v>
          </cell>
          <cell r="F1801">
            <v>90317.17</v>
          </cell>
          <cell r="H1801">
            <v>0</v>
          </cell>
          <cell r="I1801">
            <v>2578700</v>
          </cell>
          <cell r="J1801">
            <v>0</v>
          </cell>
          <cell r="K1801">
            <v>10000000</v>
          </cell>
          <cell r="L1801">
            <v>12578700</v>
          </cell>
          <cell r="M1801">
            <v>0</v>
          </cell>
          <cell r="N1801">
            <v>0</v>
          </cell>
          <cell r="O1801" t="str">
            <v>Билеты ДВЛ - Омадли инсон</v>
          </cell>
        </row>
        <row r="1802">
          <cell r="A1802">
            <v>9</v>
          </cell>
          <cell r="B1802">
            <v>214</v>
          </cell>
          <cell r="C1802">
            <v>8533</v>
          </cell>
          <cell r="D1802">
            <v>9999.24</v>
          </cell>
          <cell r="E1802">
            <v>0</v>
          </cell>
          <cell r="F1802">
            <v>90317.17</v>
          </cell>
          <cell r="H1802">
            <v>0</v>
          </cell>
          <cell r="I1802">
            <v>588400</v>
          </cell>
          <cell r="J1802">
            <v>0</v>
          </cell>
          <cell r="K1802">
            <v>379900</v>
          </cell>
          <cell r="L1802">
            <v>968300</v>
          </cell>
          <cell r="M1802">
            <v>0</v>
          </cell>
          <cell r="N1802">
            <v>0</v>
          </cell>
          <cell r="O1802" t="str">
            <v>Билеты ДВЛ - Омадли инсон</v>
          </cell>
        </row>
        <row r="1803">
          <cell r="A1803">
            <v>9</v>
          </cell>
          <cell r="B1803">
            <v>214</v>
          </cell>
          <cell r="C1803">
            <v>8659</v>
          </cell>
          <cell r="D1803">
            <v>9999.24</v>
          </cell>
          <cell r="E1803">
            <v>0</v>
          </cell>
          <cell r="F1803">
            <v>90317.17</v>
          </cell>
          <cell r="H1803">
            <v>0</v>
          </cell>
          <cell r="I1803">
            <v>0</v>
          </cell>
          <cell r="J1803">
            <v>0</v>
          </cell>
          <cell r="K1803">
            <v>12199800</v>
          </cell>
          <cell r="L1803">
            <v>12199800</v>
          </cell>
          <cell r="M1803">
            <v>0</v>
          </cell>
          <cell r="N1803">
            <v>0</v>
          </cell>
          <cell r="O1803" t="str">
            <v>Билеты ДВЛ - Омадли инсон</v>
          </cell>
        </row>
        <row r="1804">
          <cell r="A1804">
            <v>9</v>
          </cell>
          <cell r="B1804">
            <v>214</v>
          </cell>
          <cell r="C1804">
            <v>3563</v>
          </cell>
          <cell r="D1804">
            <v>9999.25</v>
          </cell>
          <cell r="E1804">
            <v>0</v>
          </cell>
          <cell r="F1804">
            <v>90317.18</v>
          </cell>
          <cell r="H1804">
            <v>0</v>
          </cell>
          <cell r="I1804">
            <v>28500</v>
          </cell>
          <cell r="J1804">
            <v>0</v>
          </cell>
          <cell r="K1804">
            <v>1172500</v>
          </cell>
          <cell r="L1804">
            <v>1201000</v>
          </cell>
          <cell r="M1804">
            <v>0</v>
          </cell>
          <cell r="N1804">
            <v>0</v>
          </cell>
          <cell r="O1804" t="str">
            <v>Билеты ДВЛ - Эколот-5</v>
          </cell>
        </row>
        <row r="1805">
          <cell r="A1805">
            <v>9</v>
          </cell>
          <cell r="B1805">
            <v>214</v>
          </cell>
          <cell r="C1805">
            <v>5996</v>
          </cell>
          <cell r="D1805">
            <v>9999.25</v>
          </cell>
          <cell r="E1805">
            <v>0</v>
          </cell>
          <cell r="F1805">
            <v>90317.18</v>
          </cell>
          <cell r="H1805">
            <v>0</v>
          </cell>
          <cell r="I1805">
            <v>0</v>
          </cell>
          <cell r="J1805">
            <v>0</v>
          </cell>
          <cell r="K1805">
            <v>200000</v>
          </cell>
          <cell r="L1805">
            <v>200000</v>
          </cell>
          <cell r="M1805">
            <v>0</v>
          </cell>
          <cell r="N1805">
            <v>0</v>
          </cell>
          <cell r="O1805" t="str">
            <v>Билеты ДВЛ - Эколот-5</v>
          </cell>
        </row>
        <row r="1806">
          <cell r="A1806">
            <v>9</v>
          </cell>
          <cell r="B1806">
            <v>214</v>
          </cell>
          <cell r="C1806">
            <v>7783</v>
          </cell>
          <cell r="D1806">
            <v>9999.25</v>
          </cell>
          <cell r="E1806">
            <v>0</v>
          </cell>
          <cell r="F1806">
            <v>90317.18</v>
          </cell>
          <cell r="H1806">
            <v>0</v>
          </cell>
          <cell r="I1806">
            <v>0</v>
          </cell>
          <cell r="J1806">
            <v>0</v>
          </cell>
          <cell r="K1806">
            <v>200000</v>
          </cell>
          <cell r="L1806">
            <v>200000</v>
          </cell>
          <cell r="M1806">
            <v>0</v>
          </cell>
          <cell r="N1806">
            <v>0</v>
          </cell>
          <cell r="O1806" t="str">
            <v>Билеты ДВЛ - Эколот-5</v>
          </cell>
        </row>
        <row r="1807">
          <cell r="A1807">
            <v>9</v>
          </cell>
          <cell r="B1807">
            <v>214</v>
          </cell>
          <cell r="C1807">
            <v>7845</v>
          </cell>
          <cell r="D1807">
            <v>9999.25</v>
          </cell>
          <cell r="E1807">
            <v>0</v>
          </cell>
          <cell r="F1807">
            <v>90317.18</v>
          </cell>
          <cell r="H1807">
            <v>0</v>
          </cell>
          <cell r="I1807">
            <v>50000</v>
          </cell>
          <cell r="J1807">
            <v>0</v>
          </cell>
          <cell r="K1807">
            <v>50000</v>
          </cell>
          <cell r="L1807">
            <v>100000</v>
          </cell>
          <cell r="M1807">
            <v>0</v>
          </cell>
          <cell r="N1807">
            <v>0</v>
          </cell>
          <cell r="O1807" t="str">
            <v>Билеты ДВЛ - Эколот-5</v>
          </cell>
        </row>
        <row r="1808">
          <cell r="A1808">
            <v>9</v>
          </cell>
          <cell r="B1808">
            <v>214</v>
          </cell>
          <cell r="C1808">
            <v>7948</v>
          </cell>
          <cell r="D1808">
            <v>9999.25</v>
          </cell>
          <cell r="E1808">
            <v>0</v>
          </cell>
          <cell r="F1808">
            <v>90317.18</v>
          </cell>
          <cell r="H1808">
            <v>0</v>
          </cell>
          <cell r="I1808">
            <v>16900</v>
          </cell>
          <cell r="J1808">
            <v>0</v>
          </cell>
          <cell r="K1808">
            <v>216900</v>
          </cell>
          <cell r="L1808">
            <v>233800</v>
          </cell>
          <cell r="M1808">
            <v>0</v>
          </cell>
          <cell r="N1808">
            <v>0</v>
          </cell>
          <cell r="O1808" t="str">
            <v>Билеты ДВЛ - Эколот-5</v>
          </cell>
        </row>
        <row r="1809">
          <cell r="A1809">
            <v>9</v>
          </cell>
          <cell r="B1809">
            <v>214</v>
          </cell>
          <cell r="C1809">
            <v>8002</v>
          </cell>
          <cell r="D1809">
            <v>9999.25</v>
          </cell>
          <cell r="E1809">
            <v>0</v>
          </cell>
          <cell r="F1809">
            <v>90317.18</v>
          </cell>
          <cell r="H1809">
            <v>0</v>
          </cell>
          <cell r="I1809">
            <v>7700</v>
          </cell>
          <cell r="J1809">
            <v>0</v>
          </cell>
          <cell r="K1809">
            <v>90000</v>
          </cell>
          <cell r="L1809">
            <v>97700</v>
          </cell>
          <cell r="M1809">
            <v>0</v>
          </cell>
          <cell r="N1809">
            <v>0</v>
          </cell>
          <cell r="O1809" t="str">
            <v>Билеты ДВЛ - Эколот-5</v>
          </cell>
        </row>
        <row r="1810">
          <cell r="A1810">
            <v>9</v>
          </cell>
          <cell r="B1810">
            <v>214</v>
          </cell>
          <cell r="C1810">
            <v>8104</v>
          </cell>
          <cell r="D1810">
            <v>9999.25</v>
          </cell>
          <cell r="E1810">
            <v>0</v>
          </cell>
          <cell r="F1810">
            <v>90317.18</v>
          </cell>
          <cell r="H1810">
            <v>6</v>
          </cell>
          <cell r="I1810">
            <v>78600</v>
          </cell>
          <cell r="J1810">
            <v>0</v>
          </cell>
          <cell r="K1810">
            <v>300000</v>
          </cell>
          <cell r="L1810">
            <v>378600</v>
          </cell>
          <cell r="M1810">
            <v>0</v>
          </cell>
          <cell r="N1810">
            <v>0</v>
          </cell>
          <cell r="O1810" t="str">
            <v>"Ekolot-5" lotereyasining chiptalari</v>
          </cell>
        </row>
        <row r="1811">
          <cell r="A1811">
            <v>9</v>
          </cell>
          <cell r="B1811">
            <v>214</v>
          </cell>
          <cell r="C1811">
            <v>8137</v>
          </cell>
          <cell r="D1811">
            <v>9999.25</v>
          </cell>
          <cell r="E1811">
            <v>0</v>
          </cell>
          <cell r="F1811">
            <v>90317.18</v>
          </cell>
          <cell r="H1811">
            <v>6</v>
          </cell>
          <cell r="I1811">
            <v>0</v>
          </cell>
          <cell r="J1811">
            <v>0</v>
          </cell>
          <cell r="K1811">
            <v>319400</v>
          </cell>
          <cell r="L1811">
            <v>319400</v>
          </cell>
          <cell r="M1811">
            <v>0</v>
          </cell>
          <cell r="N1811">
            <v>0</v>
          </cell>
          <cell r="O1811" t="str">
            <v>"Ekolot-5" lotereyasining chiptalari</v>
          </cell>
        </row>
        <row r="1812">
          <cell r="A1812">
            <v>9</v>
          </cell>
          <cell r="B1812">
            <v>214</v>
          </cell>
          <cell r="C1812">
            <v>8298</v>
          </cell>
          <cell r="D1812">
            <v>9999.25</v>
          </cell>
          <cell r="E1812">
            <v>0</v>
          </cell>
          <cell r="F1812">
            <v>90317.18</v>
          </cell>
          <cell r="H1812">
            <v>0</v>
          </cell>
          <cell r="I1812">
            <v>0</v>
          </cell>
          <cell r="J1812">
            <v>0</v>
          </cell>
          <cell r="K1812">
            <v>160000</v>
          </cell>
          <cell r="L1812">
            <v>160000</v>
          </cell>
          <cell r="M1812">
            <v>0</v>
          </cell>
          <cell r="N1812">
            <v>0</v>
          </cell>
          <cell r="O1812" t="str">
            <v>Билеты ДВЛ - Эколот-5</v>
          </cell>
        </row>
        <row r="1813">
          <cell r="A1813">
            <v>9</v>
          </cell>
          <cell r="B1813">
            <v>214</v>
          </cell>
          <cell r="C1813">
            <v>8533</v>
          </cell>
          <cell r="D1813">
            <v>9999.25</v>
          </cell>
          <cell r="E1813">
            <v>0</v>
          </cell>
          <cell r="F1813">
            <v>90317.18</v>
          </cell>
          <cell r="H1813">
            <v>0</v>
          </cell>
          <cell r="I1813">
            <v>58800</v>
          </cell>
          <cell r="J1813">
            <v>0</v>
          </cell>
          <cell r="K1813">
            <v>30200</v>
          </cell>
          <cell r="L1813">
            <v>89000</v>
          </cell>
          <cell r="M1813">
            <v>0</v>
          </cell>
          <cell r="N1813">
            <v>0</v>
          </cell>
          <cell r="O1813" t="str">
            <v>Билеты ДВЛ - Эколот-5</v>
          </cell>
        </row>
        <row r="1814">
          <cell r="A1814">
            <v>9</v>
          </cell>
          <cell r="B1814">
            <v>214</v>
          </cell>
          <cell r="C1814">
            <v>8659</v>
          </cell>
          <cell r="D1814">
            <v>9999.25</v>
          </cell>
          <cell r="E1814">
            <v>0</v>
          </cell>
          <cell r="F1814">
            <v>90317.18</v>
          </cell>
          <cell r="H1814">
            <v>0</v>
          </cell>
          <cell r="I1814">
            <v>22000</v>
          </cell>
          <cell r="J1814">
            <v>0</v>
          </cell>
          <cell r="K1814">
            <v>56400</v>
          </cell>
          <cell r="L1814">
            <v>78400</v>
          </cell>
          <cell r="M1814">
            <v>0</v>
          </cell>
          <cell r="N1814">
            <v>0</v>
          </cell>
          <cell r="O1814" t="str">
            <v>Билеты ДВЛ - Эколот-5</v>
          </cell>
        </row>
        <row r="1815">
          <cell r="A1815">
            <v>9</v>
          </cell>
          <cell r="B1815">
            <v>214</v>
          </cell>
          <cell r="C1815">
            <v>3563</v>
          </cell>
          <cell r="D1815">
            <v>9999.26</v>
          </cell>
          <cell r="E1815">
            <v>0</v>
          </cell>
          <cell r="F1815">
            <v>90317.19</v>
          </cell>
          <cell r="H1815">
            <v>0</v>
          </cell>
          <cell r="I1815">
            <v>0</v>
          </cell>
          <cell r="J1815">
            <v>0</v>
          </cell>
          <cell r="K1815">
            <v>6042100</v>
          </cell>
          <cell r="L1815">
            <v>6042100</v>
          </cell>
          <cell r="M1815">
            <v>0</v>
          </cell>
          <cell r="N1815">
            <v>0</v>
          </cell>
          <cell r="O1815" t="str">
            <v>Билеты ДВЛ - Инсон манфаатлари учун (5 разряд)</v>
          </cell>
        </row>
        <row r="1816">
          <cell r="A1816">
            <v>9</v>
          </cell>
          <cell r="B1816">
            <v>214</v>
          </cell>
          <cell r="C1816">
            <v>5996</v>
          </cell>
          <cell r="D1816">
            <v>9999.26</v>
          </cell>
          <cell r="E1816">
            <v>0</v>
          </cell>
          <cell r="F1816">
            <v>90317.19</v>
          </cell>
          <cell r="H1816">
            <v>0</v>
          </cell>
          <cell r="I1816">
            <v>0</v>
          </cell>
          <cell r="J1816">
            <v>0</v>
          </cell>
          <cell r="K1816">
            <v>1061100</v>
          </cell>
          <cell r="L1816">
            <v>1061100</v>
          </cell>
          <cell r="M1816">
            <v>0</v>
          </cell>
          <cell r="N1816">
            <v>0</v>
          </cell>
          <cell r="O1816" t="str">
            <v>Билеты ДВЛ - Инсон манфаатлари учун (5 разряд)</v>
          </cell>
        </row>
        <row r="1817">
          <cell r="A1817">
            <v>9</v>
          </cell>
          <cell r="B1817">
            <v>214</v>
          </cell>
          <cell r="C1817">
            <v>7783</v>
          </cell>
          <cell r="D1817">
            <v>9999.26</v>
          </cell>
          <cell r="E1817">
            <v>0</v>
          </cell>
          <cell r="F1817">
            <v>90317.19</v>
          </cell>
          <cell r="H1817">
            <v>0</v>
          </cell>
          <cell r="I1817">
            <v>0</v>
          </cell>
          <cell r="J1817">
            <v>0</v>
          </cell>
          <cell r="K1817">
            <v>1160000</v>
          </cell>
          <cell r="L1817">
            <v>1160000</v>
          </cell>
          <cell r="M1817">
            <v>0</v>
          </cell>
          <cell r="N1817">
            <v>0</v>
          </cell>
          <cell r="O1817" t="str">
            <v>Билеты ДВЛ - Инсон манфаатлари учун (5 разряд)</v>
          </cell>
        </row>
        <row r="1818">
          <cell r="A1818">
            <v>9</v>
          </cell>
          <cell r="B1818">
            <v>214</v>
          </cell>
          <cell r="C1818">
            <v>7845</v>
          </cell>
          <cell r="D1818">
            <v>9999.26</v>
          </cell>
          <cell r="E1818">
            <v>0</v>
          </cell>
          <cell r="F1818">
            <v>90317.19</v>
          </cell>
          <cell r="H1818">
            <v>0</v>
          </cell>
          <cell r="I1818">
            <v>0</v>
          </cell>
          <cell r="J1818">
            <v>0</v>
          </cell>
          <cell r="K1818">
            <v>1149800</v>
          </cell>
          <cell r="L1818">
            <v>1149800</v>
          </cell>
          <cell r="M1818">
            <v>0</v>
          </cell>
          <cell r="N1818">
            <v>0</v>
          </cell>
          <cell r="O1818" t="str">
            <v>Билеты ДВЛ - Инсон манфаатлари учун (5 разряд)</v>
          </cell>
        </row>
        <row r="1819">
          <cell r="A1819">
            <v>9</v>
          </cell>
          <cell r="B1819">
            <v>214</v>
          </cell>
          <cell r="C1819">
            <v>7948</v>
          </cell>
          <cell r="D1819">
            <v>9999.26</v>
          </cell>
          <cell r="E1819">
            <v>0</v>
          </cell>
          <cell r="F1819">
            <v>90317.19</v>
          </cell>
          <cell r="H1819">
            <v>0</v>
          </cell>
          <cell r="I1819">
            <v>0</v>
          </cell>
          <cell r="J1819">
            <v>0</v>
          </cell>
          <cell r="K1819">
            <v>1100000</v>
          </cell>
          <cell r="L1819">
            <v>1100000</v>
          </cell>
          <cell r="M1819">
            <v>0</v>
          </cell>
          <cell r="N1819">
            <v>0</v>
          </cell>
          <cell r="O1819" t="str">
            <v>Билеты ДВЛ - Инсон манфаатлари учун (5 разряд)</v>
          </cell>
        </row>
        <row r="1820">
          <cell r="A1820">
            <v>9</v>
          </cell>
          <cell r="B1820">
            <v>214</v>
          </cell>
          <cell r="C1820">
            <v>8002</v>
          </cell>
          <cell r="D1820">
            <v>9999.26</v>
          </cell>
          <cell r="E1820">
            <v>0</v>
          </cell>
          <cell r="F1820">
            <v>90317.19</v>
          </cell>
          <cell r="H1820">
            <v>0</v>
          </cell>
          <cell r="I1820">
            <v>0</v>
          </cell>
          <cell r="J1820">
            <v>0</v>
          </cell>
          <cell r="K1820">
            <v>550000</v>
          </cell>
          <cell r="L1820">
            <v>550000</v>
          </cell>
          <cell r="M1820">
            <v>0</v>
          </cell>
          <cell r="N1820">
            <v>0</v>
          </cell>
          <cell r="O1820" t="str">
            <v>Билеты ДВЛ - Инсон манфаатлари учун (5 разряд)</v>
          </cell>
        </row>
        <row r="1821">
          <cell r="A1821">
            <v>9</v>
          </cell>
          <cell r="B1821">
            <v>214</v>
          </cell>
          <cell r="C1821">
            <v>8104</v>
          </cell>
          <cell r="D1821">
            <v>9999.26</v>
          </cell>
          <cell r="E1821">
            <v>0</v>
          </cell>
          <cell r="F1821">
            <v>90317.19</v>
          </cell>
          <cell r="H1821">
            <v>6</v>
          </cell>
          <cell r="I1821">
            <v>0</v>
          </cell>
          <cell r="J1821">
            <v>0</v>
          </cell>
          <cell r="K1821">
            <v>500000</v>
          </cell>
          <cell r="L1821">
            <v>500000</v>
          </cell>
          <cell r="M1821">
            <v>0</v>
          </cell>
          <cell r="N1821">
            <v>0</v>
          </cell>
          <cell r="O1821" t="str">
            <v>"Инсон манфаатлари" (5 разряд) lotereyasining chiptalari</v>
          </cell>
        </row>
        <row r="1822">
          <cell r="A1822">
            <v>9</v>
          </cell>
          <cell r="B1822">
            <v>214</v>
          </cell>
          <cell r="C1822">
            <v>8137</v>
          </cell>
          <cell r="D1822">
            <v>9999.26</v>
          </cell>
          <cell r="E1822">
            <v>0</v>
          </cell>
          <cell r="F1822">
            <v>90317.19</v>
          </cell>
          <cell r="H1822">
            <v>6</v>
          </cell>
          <cell r="I1822">
            <v>0</v>
          </cell>
          <cell r="J1822">
            <v>0</v>
          </cell>
          <cell r="K1822">
            <v>854900</v>
          </cell>
          <cell r="L1822">
            <v>854900</v>
          </cell>
          <cell r="M1822">
            <v>0</v>
          </cell>
          <cell r="N1822">
            <v>0</v>
          </cell>
          <cell r="O1822" t="str">
            <v>"Инсон манфаатлари" (5 разряд) lotereyasining chiptalari</v>
          </cell>
        </row>
        <row r="1823">
          <cell r="A1823">
            <v>9</v>
          </cell>
          <cell r="B1823">
            <v>214</v>
          </cell>
          <cell r="C1823">
            <v>8298</v>
          </cell>
          <cell r="D1823">
            <v>9999.26</v>
          </cell>
          <cell r="E1823">
            <v>0</v>
          </cell>
          <cell r="F1823">
            <v>90317.19</v>
          </cell>
          <cell r="H1823">
            <v>0</v>
          </cell>
          <cell r="I1823">
            <v>0</v>
          </cell>
          <cell r="J1823">
            <v>0</v>
          </cell>
          <cell r="K1823">
            <v>900000</v>
          </cell>
          <cell r="L1823">
            <v>900000</v>
          </cell>
          <cell r="M1823">
            <v>0</v>
          </cell>
          <cell r="N1823">
            <v>0</v>
          </cell>
          <cell r="O1823" t="str">
            <v>Билеты ДВЛ - Инсон манфаатлари учун (5 разряд)</v>
          </cell>
        </row>
        <row r="1824">
          <cell r="A1824">
            <v>9</v>
          </cell>
          <cell r="B1824">
            <v>214</v>
          </cell>
          <cell r="C1824">
            <v>8533</v>
          </cell>
          <cell r="D1824">
            <v>9999.26</v>
          </cell>
          <cell r="E1824">
            <v>0</v>
          </cell>
          <cell r="F1824">
            <v>90317.19</v>
          </cell>
          <cell r="H1824">
            <v>0</v>
          </cell>
          <cell r="I1824">
            <v>0</v>
          </cell>
          <cell r="J1824">
            <v>0</v>
          </cell>
          <cell r="K1824">
            <v>576400</v>
          </cell>
          <cell r="L1824">
            <v>576400</v>
          </cell>
          <cell r="M1824">
            <v>0</v>
          </cell>
          <cell r="N1824">
            <v>0</v>
          </cell>
          <cell r="O1824" t="str">
            <v>Билеты ДВЛ - Инсон манфаатлари учун (5 разряд)</v>
          </cell>
        </row>
        <row r="1825">
          <cell r="A1825">
            <v>9</v>
          </cell>
          <cell r="B1825">
            <v>214</v>
          </cell>
          <cell r="C1825">
            <v>8659</v>
          </cell>
          <cell r="D1825">
            <v>9999.26</v>
          </cell>
          <cell r="E1825">
            <v>0</v>
          </cell>
          <cell r="F1825">
            <v>90317.19</v>
          </cell>
          <cell r="H1825">
            <v>0</v>
          </cell>
          <cell r="I1825">
            <v>0</v>
          </cell>
          <cell r="J1825">
            <v>0</v>
          </cell>
          <cell r="K1825">
            <v>1110000</v>
          </cell>
          <cell r="L1825">
            <v>1110000</v>
          </cell>
          <cell r="M1825">
            <v>0</v>
          </cell>
          <cell r="N1825">
            <v>0</v>
          </cell>
          <cell r="O1825" t="str">
            <v>Билеты ДВЛ - Инсон манфаатлари учун (5 разряд)</v>
          </cell>
        </row>
        <row r="1826">
          <cell r="A1826">
            <v>9</v>
          </cell>
          <cell r="B1826">
            <v>214</v>
          </cell>
          <cell r="C1826">
            <v>3563</v>
          </cell>
          <cell r="D1826">
            <v>9999.27</v>
          </cell>
          <cell r="E1826">
            <v>0</v>
          </cell>
          <cell r="F1826">
            <v>90317.2</v>
          </cell>
          <cell r="H1826">
            <v>0</v>
          </cell>
          <cell r="I1826">
            <v>0</v>
          </cell>
          <cell r="J1826">
            <v>0</v>
          </cell>
          <cell r="K1826">
            <v>2300000</v>
          </cell>
          <cell r="L1826">
            <v>2300000</v>
          </cell>
          <cell r="M1826">
            <v>0</v>
          </cell>
          <cell r="N1826">
            <v>0</v>
          </cell>
          <cell r="O1826" t="str">
            <v>Билеты ДВЛ - Эколот-6</v>
          </cell>
        </row>
        <row r="1827">
          <cell r="A1827">
            <v>9</v>
          </cell>
          <cell r="B1827">
            <v>214</v>
          </cell>
          <cell r="C1827">
            <v>7783</v>
          </cell>
          <cell r="D1827">
            <v>9999.27</v>
          </cell>
          <cell r="E1827">
            <v>0</v>
          </cell>
          <cell r="F1827">
            <v>90317.2</v>
          </cell>
          <cell r="H1827">
            <v>0</v>
          </cell>
          <cell r="I1827">
            <v>0</v>
          </cell>
          <cell r="J1827">
            <v>0</v>
          </cell>
          <cell r="K1827">
            <v>400000</v>
          </cell>
          <cell r="L1827">
            <v>400000</v>
          </cell>
          <cell r="M1827">
            <v>0</v>
          </cell>
          <cell r="N1827">
            <v>0</v>
          </cell>
          <cell r="O1827" t="str">
            <v>Билеты ДВЛ - Эколот-6</v>
          </cell>
        </row>
        <row r="1828">
          <cell r="A1828">
            <v>9</v>
          </cell>
          <cell r="B1828">
            <v>214</v>
          </cell>
          <cell r="C1828">
            <v>7948</v>
          </cell>
          <cell r="D1828">
            <v>9999.27</v>
          </cell>
          <cell r="E1828">
            <v>0</v>
          </cell>
          <cell r="F1828">
            <v>90317.2</v>
          </cell>
          <cell r="H1828">
            <v>0</v>
          </cell>
          <cell r="I1828">
            <v>0</v>
          </cell>
          <cell r="J1828">
            <v>0</v>
          </cell>
          <cell r="K1828">
            <v>300000</v>
          </cell>
          <cell r="L1828">
            <v>300000</v>
          </cell>
          <cell r="M1828">
            <v>0</v>
          </cell>
          <cell r="N1828">
            <v>0</v>
          </cell>
          <cell r="O1828" t="str">
            <v>Билеты ДВЛ - Эколот-6</v>
          </cell>
        </row>
        <row r="1829">
          <cell r="A1829">
            <v>9</v>
          </cell>
          <cell r="B1829">
            <v>214</v>
          </cell>
          <cell r="C1829">
            <v>8104</v>
          </cell>
          <cell r="D1829">
            <v>9999.27</v>
          </cell>
          <cell r="E1829">
            <v>0</v>
          </cell>
          <cell r="F1829">
            <v>90317.2</v>
          </cell>
          <cell r="H1829">
            <v>0</v>
          </cell>
          <cell r="I1829">
            <v>0</v>
          </cell>
          <cell r="J1829">
            <v>0</v>
          </cell>
          <cell r="K1829">
            <v>1200000</v>
          </cell>
          <cell r="L1829">
            <v>1200000</v>
          </cell>
          <cell r="M1829">
            <v>0</v>
          </cell>
          <cell r="N1829">
            <v>0</v>
          </cell>
          <cell r="O1829" t="str">
            <v>"Эколот-6" lotereyasining chiptalari</v>
          </cell>
        </row>
        <row r="1830">
          <cell r="A1830">
            <v>9</v>
          </cell>
          <cell r="B1830">
            <v>214</v>
          </cell>
          <cell r="C1830">
            <v>8137</v>
          </cell>
          <cell r="D1830">
            <v>9999.27</v>
          </cell>
          <cell r="E1830">
            <v>0</v>
          </cell>
          <cell r="F1830">
            <v>90317.2</v>
          </cell>
          <cell r="H1830">
            <v>0</v>
          </cell>
          <cell r="I1830">
            <v>0</v>
          </cell>
          <cell r="J1830">
            <v>0</v>
          </cell>
          <cell r="K1830">
            <v>300000</v>
          </cell>
          <cell r="L1830">
            <v>300000</v>
          </cell>
          <cell r="M1830">
            <v>0</v>
          </cell>
          <cell r="N1830">
            <v>0</v>
          </cell>
          <cell r="O1830" t="str">
            <v>"Эколот-6" lotereyasining chiptalari</v>
          </cell>
        </row>
        <row r="1831">
          <cell r="A1831">
            <v>9</v>
          </cell>
          <cell r="B1831">
            <v>214</v>
          </cell>
          <cell r="C1831">
            <v>3563</v>
          </cell>
          <cell r="D1831">
            <v>9999.2800000000007</v>
          </cell>
          <cell r="E1831">
            <v>0</v>
          </cell>
          <cell r="F1831">
            <v>90317.21</v>
          </cell>
          <cell r="H1831">
            <v>0</v>
          </cell>
          <cell r="I1831">
            <v>0</v>
          </cell>
          <cell r="J1831">
            <v>0</v>
          </cell>
          <cell r="K1831">
            <v>15836500</v>
          </cell>
          <cell r="L1831">
            <v>8051000</v>
          </cell>
          <cell r="M1831">
            <v>7785500</v>
          </cell>
          <cell r="N1831">
            <v>0</v>
          </cell>
          <cell r="O1831" t="str">
            <v>Билеты ДВЛ - Эколот-7</v>
          </cell>
        </row>
        <row r="1832">
          <cell r="A1832">
            <v>9</v>
          </cell>
          <cell r="B1832">
            <v>214</v>
          </cell>
          <cell r="C1832">
            <v>5996</v>
          </cell>
          <cell r="D1832">
            <v>9999.2800000000007</v>
          </cell>
          <cell r="E1832">
            <v>0</v>
          </cell>
          <cell r="F1832">
            <v>90317.21</v>
          </cell>
          <cell r="H1832">
            <v>0</v>
          </cell>
          <cell r="I1832">
            <v>0</v>
          </cell>
          <cell r="J1832">
            <v>0</v>
          </cell>
          <cell r="K1832">
            <v>360000</v>
          </cell>
          <cell r="L1832">
            <v>231500</v>
          </cell>
          <cell r="M1832">
            <v>128500</v>
          </cell>
          <cell r="N1832">
            <v>0</v>
          </cell>
          <cell r="O1832" t="str">
            <v>Билеты ДВЛ - Эколот-7</v>
          </cell>
        </row>
        <row r="1833">
          <cell r="A1833">
            <v>9</v>
          </cell>
          <cell r="B1833">
            <v>214</v>
          </cell>
          <cell r="C1833">
            <v>7783</v>
          </cell>
          <cell r="D1833">
            <v>9999.2800000000007</v>
          </cell>
          <cell r="E1833">
            <v>0</v>
          </cell>
          <cell r="F1833">
            <v>90317.21</v>
          </cell>
          <cell r="H1833">
            <v>0</v>
          </cell>
          <cell r="I1833">
            <v>0</v>
          </cell>
          <cell r="J1833">
            <v>0</v>
          </cell>
          <cell r="K1833">
            <v>1600000</v>
          </cell>
          <cell r="L1833">
            <v>1586000</v>
          </cell>
          <cell r="M1833">
            <v>14000</v>
          </cell>
          <cell r="N1833">
            <v>0</v>
          </cell>
          <cell r="O1833" t="str">
            <v>Билеты ДВЛ - Эколот-7</v>
          </cell>
        </row>
        <row r="1834">
          <cell r="A1834">
            <v>9</v>
          </cell>
          <cell r="B1834">
            <v>214</v>
          </cell>
          <cell r="C1834">
            <v>7948</v>
          </cell>
          <cell r="D1834">
            <v>9999.2800000000007</v>
          </cell>
          <cell r="E1834">
            <v>0</v>
          </cell>
          <cell r="F1834">
            <v>90317.21</v>
          </cell>
          <cell r="H1834">
            <v>0</v>
          </cell>
          <cell r="I1834">
            <v>0</v>
          </cell>
          <cell r="J1834">
            <v>0</v>
          </cell>
          <cell r="K1834">
            <v>1794000</v>
          </cell>
          <cell r="L1834">
            <v>1716500</v>
          </cell>
          <cell r="M1834">
            <v>77500</v>
          </cell>
          <cell r="N1834">
            <v>0</v>
          </cell>
          <cell r="O1834" t="str">
            <v>Билеты ДВЛ - Эколот-7</v>
          </cell>
        </row>
        <row r="1835">
          <cell r="A1835">
            <v>9</v>
          </cell>
          <cell r="B1835">
            <v>214</v>
          </cell>
          <cell r="C1835">
            <v>8002</v>
          </cell>
          <cell r="D1835">
            <v>9999.2800000000007</v>
          </cell>
          <cell r="E1835">
            <v>0</v>
          </cell>
          <cell r="F1835">
            <v>90317.21</v>
          </cell>
          <cell r="H1835">
            <v>0</v>
          </cell>
          <cell r="I1835">
            <v>0</v>
          </cell>
          <cell r="J1835">
            <v>0</v>
          </cell>
          <cell r="K1835">
            <v>2217000</v>
          </cell>
          <cell r="L1835">
            <v>1544000</v>
          </cell>
          <cell r="M1835">
            <v>673000</v>
          </cell>
          <cell r="N1835">
            <v>0</v>
          </cell>
          <cell r="O1835" t="str">
            <v>Билеты ДВЛ - Эколот-7</v>
          </cell>
        </row>
        <row r="1836">
          <cell r="A1836">
            <v>9</v>
          </cell>
          <cell r="B1836">
            <v>214</v>
          </cell>
          <cell r="C1836">
            <v>8104</v>
          </cell>
          <cell r="D1836">
            <v>9999.2800000000007</v>
          </cell>
          <cell r="E1836">
            <v>0</v>
          </cell>
          <cell r="F1836">
            <v>90317.21</v>
          </cell>
          <cell r="H1836">
            <v>0</v>
          </cell>
          <cell r="I1836">
            <v>0</v>
          </cell>
          <cell r="J1836">
            <v>0</v>
          </cell>
          <cell r="K1836">
            <v>2600000</v>
          </cell>
          <cell r="L1836">
            <v>2382500</v>
          </cell>
          <cell r="M1836">
            <v>217500</v>
          </cell>
          <cell r="N1836">
            <v>0</v>
          </cell>
          <cell r="O1836" t="str">
            <v>"Эколот-7" lotereyasining chiptalari</v>
          </cell>
        </row>
        <row r="1837">
          <cell r="A1837">
            <v>9</v>
          </cell>
          <cell r="B1837">
            <v>214</v>
          </cell>
          <cell r="C1837">
            <v>8137</v>
          </cell>
          <cell r="D1837">
            <v>9999.2800000000007</v>
          </cell>
          <cell r="E1837">
            <v>0</v>
          </cell>
          <cell r="F1837">
            <v>90317.21</v>
          </cell>
          <cell r="H1837">
            <v>0</v>
          </cell>
          <cell r="I1837">
            <v>0</v>
          </cell>
          <cell r="J1837">
            <v>0</v>
          </cell>
          <cell r="K1837">
            <v>1742000</v>
          </cell>
          <cell r="L1837">
            <v>1667000</v>
          </cell>
          <cell r="M1837">
            <v>75000</v>
          </cell>
          <cell r="N1837">
            <v>0</v>
          </cell>
          <cell r="O1837" t="str">
            <v>"" lotereyasining chiptalari</v>
          </cell>
        </row>
        <row r="1838">
          <cell r="A1838">
            <v>9</v>
          </cell>
          <cell r="B1838">
            <v>214</v>
          </cell>
          <cell r="C1838">
            <v>3563</v>
          </cell>
          <cell r="D1838">
            <v>9999.2900000000009</v>
          </cell>
          <cell r="E1838">
            <v>0</v>
          </cell>
          <cell r="F1838">
            <v>90317.22</v>
          </cell>
          <cell r="H1838">
            <v>0</v>
          </cell>
          <cell r="I1838">
            <v>0</v>
          </cell>
          <cell r="J1838">
            <v>0</v>
          </cell>
          <cell r="K1838">
            <v>30000000</v>
          </cell>
          <cell r="L1838">
            <v>320000</v>
          </cell>
          <cell r="M1838">
            <v>29680000</v>
          </cell>
          <cell r="N1838">
            <v>0</v>
          </cell>
          <cell r="O1838" t="str">
            <v>Билеты ДВЛ - Буюк Ккелажак - 2000</v>
          </cell>
        </row>
        <row r="1839">
          <cell r="A1839">
            <v>9</v>
          </cell>
          <cell r="B1839">
            <v>214</v>
          </cell>
          <cell r="C1839">
            <v>8659</v>
          </cell>
          <cell r="D1839">
            <v>9999.2900000000009</v>
          </cell>
          <cell r="E1839">
            <v>0</v>
          </cell>
          <cell r="F1839">
            <v>90317.22</v>
          </cell>
          <cell r="H1839">
            <v>0</v>
          </cell>
          <cell r="I1839">
            <v>0</v>
          </cell>
          <cell r="J1839">
            <v>0</v>
          </cell>
          <cell r="K1839">
            <v>340000</v>
          </cell>
          <cell r="L1839">
            <v>22000</v>
          </cell>
          <cell r="M1839">
            <v>318000</v>
          </cell>
          <cell r="N1839">
            <v>0</v>
          </cell>
          <cell r="O1839" t="str">
            <v>Билеты ДВЛ - Буюк Ккелажак - 2000</v>
          </cell>
        </row>
        <row r="1840">
          <cell r="A1840">
            <v>9</v>
          </cell>
          <cell r="B1840">
            <v>214</v>
          </cell>
          <cell r="C1840">
            <v>3563</v>
          </cell>
          <cell r="D1840">
            <v>9999.2999999999993</v>
          </cell>
          <cell r="E1840">
            <v>0</v>
          </cell>
          <cell r="F1840">
            <v>90317.23</v>
          </cell>
          <cell r="H1840">
            <v>0</v>
          </cell>
          <cell r="I1840">
            <v>0</v>
          </cell>
          <cell r="J1840">
            <v>0</v>
          </cell>
          <cell r="K1840">
            <v>7415900</v>
          </cell>
          <cell r="L1840">
            <v>6995400</v>
          </cell>
          <cell r="M1840">
            <v>420500</v>
          </cell>
          <cell r="N1840">
            <v>0</v>
          </cell>
          <cell r="O1840" t="str">
            <v>Билеты ДВЛ - Эколот-8</v>
          </cell>
        </row>
        <row r="1841">
          <cell r="A1841">
            <v>9</v>
          </cell>
          <cell r="B1841">
            <v>214</v>
          </cell>
          <cell r="C1841">
            <v>5996</v>
          </cell>
          <cell r="D1841">
            <v>9999.2999999999993</v>
          </cell>
          <cell r="E1841">
            <v>0</v>
          </cell>
          <cell r="F1841">
            <v>90317.23</v>
          </cell>
          <cell r="H1841">
            <v>0</v>
          </cell>
          <cell r="I1841">
            <v>0</v>
          </cell>
          <cell r="J1841">
            <v>0</v>
          </cell>
          <cell r="K1841">
            <v>200000</v>
          </cell>
          <cell r="L1841">
            <v>200000</v>
          </cell>
          <cell r="M1841">
            <v>0</v>
          </cell>
          <cell r="N1841">
            <v>0</v>
          </cell>
          <cell r="O1841" t="str">
            <v>Билеты ДВЛ - Эколот-8</v>
          </cell>
        </row>
        <row r="1842">
          <cell r="A1842">
            <v>9</v>
          </cell>
          <cell r="B1842">
            <v>214</v>
          </cell>
          <cell r="C1842">
            <v>7783</v>
          </cell>
          <cell r="D1842">
            <v>9999.2999999999993</v>
          </cell>
          <cell r="E1842">
            <v>0</v>
          </cell>
          <cell r="F1842">
            <v>90317.23</v>
          </cell>
          <cell r="H1842">
            <v>0</v>
          </cell>
          <cell r="I1842">
            <v>0</v>
          </cell>
          <cell r="J1842">
            <v>0</v>
          </cell>
          <cell r="K1842">
            <v>800000</v>
          </cell>
          <cell r="L1842">
            <v>800000</v>
          </cell>
          <cell r="M1842">
            <v>0</v>
          </cell>
          <cell r="N1842">
            <v>0</v>
          </cell>
          <cell r="O1842" t="str">
            <v>Билеты ДВЛ - Эколот-8</v>
          </cell>
        </row>
        <row r="1843">
          <cell r="A1843">
            <v>9</v>
          </cell>
          <cell r="B1843">
            <v>214</v>
          </cell>
          <cell r="C1843">
            <v>7948</v>
          </cell>
          <cell r="D1843">
            <v>9999.2999999999993</v>
          </cell>
          <cell r="E1843">
            <v>0</v>
          </cell>
          <cell r="F1843">
            <v>90317.23</v>
          </cell>
          <cell r="H1843">
            <v>0</v>
          </cell>
          <cell r="I1843">
            <v>0</v>
          </cell>
          <cell r="J1843">
            <v>0</v>
          </cell>
          <cell r="K1843">
            <v>2168400</v>
          </cell>
          <cell r="L1843">
            <v>2168400</v>
          </cell>
          <cell r="M1843">
            <v>0</v>
          </cell>
          <cell r="N1843">
            <v>0</v>
          </cell>
          <cell r="O1843" t="str">
            <v>Билеты ДВЛ - Эколот-8</v>
          </cell>
        </row>
        <row r="1844">
          <cell r="A1844">
            <v>9</v>
          </cell>
          <cell r="B1844">
            <v>214</v>
          </cell>
          <cell r="C1844">
            <v>8002</v>
          </cell>
          <cell r="D1844">
            <v>9999.2999999999993</v>
          </cell>
          <cell r="E1844">
            <v>0</v>
          </cell>
          <cell r="F1844">
            <v>90317.23</v>
          </cell>
          <cell r="H1844">
            <v>0</v>
          </cell>
          <cell r="I1844">
            <v>0</v>
          </cell>
          <cell r="J1844">
            <v>0</v>
          </cell>
          <cell r="K1844">
            <v>600000</v>
          </cell>
          <cell r="L1844">
            <v>600000</v>
          </cell>
          <cell r="M1844">
            <v>0</v>
          </cell>
          <cell r="N1844">
            <v>0</v>
          </cell>
          <cell r="O1844" t="str">
            <v>Билеты ДВЛ - Эколот-8</v>
          </cell>
        </row>
        <row r="1845">
          <cell r="A1845">
            <v>9</v>
          </cell>
          <cell r="B1845">
            <v>214</v>
          </cell>
          <cell r="C1845">
            <v>8104</v>
          </cell>
          <cell r="D1845">
            <v>9999.2999999999993</v>
          </cell>
          <cell r="E1845">
            <v>0</v>
          </cell>
          <cell r="F1845">
            <v>90317.23</v>
          </cell>
          <cell r="H1845">
            <v>0</v>
          </cell>
          <cell r="I1845">
            <v>0</v>
          </cell>
          <cell r="J1845">
            <v>0</v>
          </cell>
          <cell r="K1845">
            <v>600000</v>
          </cell>
          <cell r="L1845">
            <v>591200</v>
          </cell>
          <cell r="M1845">
            <v>8800</v>
          </cell>
          <cell r="N1845">
            <v>0</v>
          </cell>
          <cell r="O1845" t="str">
            <v>"Эколот-8" lotereyasining chiptalari</v>
          </cell>
        </row>
        <row r="1846">
          <cell r="A1846">
            <v>9</v>
          </cell>
          <cell r="B1846">
            <v>214</v>
          </cell>
          <cell r="C1846">
            <v>8137</v>
          </cell>
          <cell r="D1846">
            <v>9999.2999999999993</v>
          </cell>
          <cell r="E1846">
            <v>0</v>
          </cell>
          <cell r="F1846">
            <v>90317.23</v>
          </cell>
          <cell r="H1846">
            <v>0</v>
          </cell>
          <cell r="I1846">
            <v>0</v>
          </cell>
          <cell r="J1846">
            <v>0</v>
          </cell>
          <cell r="K1846">
            <v>2269900</v>
          </cell>
          <cell r="L1846">
            <v>2262600</v>
          </cell>
          <cell r="M1846">
            <v>7300</v>
          </cell>
          <cell r="N1846">
            <v>0</v>
          </cell>
          <cell r="O1846" t="str">
            <v>"Эколот-8" lotereyasining chiptalari</v>
          </cell>
        </row>
        <row r="1847">
          <cell r="A1847">
            <v>9</v>
          </cell>
          <cell r="B1847">
            <v>214</v>
          </cell>
          <cell r="C1847">
            <v>8298</v>
          </cell>
          <cell r="D1847">
            <v>9999.2999999999993</v>
          </cell>
          <cell r="E1847">
            <v>0</v>
          </cell>
          <cell r="F1847">
            <v>90317.23</v>
          </cell>
          <cell r="H1847">
            <v>0</v>
          </cell>
          <cell r="I1847">
            <v>0</v>
          </cell>
          <cell r="J1847">
            <v>0</v>
          </cell>
          <cell r="K1847">
            <v>400000</v>
          </cell>
          <cell r="L1847">
            <v>281400</v>
          </cell>
          <cell r="M1847">
            <v>118600</v>
          </cell>
          <cell r="N1847">
            <v>0</v>
          </cell>
          <cell r="O1847" t="str">
            <v>Билеты ДВЛ - Эколот-8</v>
          </cell>
        </row>
        <row r="1848">
          <cell r="A1848">
            <v>9</v>
          </cell>
          <cell r="B1848">
            <v>214</v>
          </cell>
          <cell r="C1848">
            <v>3563</v>
          </cell>
          <cell r="D1848">
            <v>9999.31</v>
          </cell>
          <cell r="E1848">
            <v>0</v>
          </cell>
          <cell r="F1848">
            <v>90317.24</v>
          </cell>
          <cell r="H1848">
            <v>0</v>
          </cell>
          <cell r="I1848">
            <v>0</v>
          </cell>
          <cell r="J1848">
            <v>0</v>
          </cell>
          <cell r="K1848">
            <v>15371550</v>
          </cell>
          <cell r="L1848">
            <v>15011550</v>
          </cell>
          <cell r="M1848">
            <v>360000</v>
          </cell>
          <cell r="N1848">
            <v>0</v>
          </cell>
          <cell r="O1848" t="str">
            <v>Билеты ДВЛ - Эколот-9</v>
          </cell>
        </row>
        <row r="1849">
          <cell r="A1849">
            <v>9</v>
          </cell>
          <cell r="B1849">
            <v>214</v>
          </cell>
          <cell r="C1849">
            <v>5996</v>
          </cell>
          <cell r="D1849">
            <v>9999.31</v>
          </cell>
          <cell r="E1849">
            <v>0</v>
          </cell>
          <cell r="F1849">
            <v>90317.24</v>
          </cell>
          <cell r="H1849">
            <v>0</v>
          </cell>
          <cell r="I1849">
            <v>0</v>
          </cell>
          <cell r="J1849">
            <v>0</v>
          </cell>
          <cell r="K1849">
            <v>2923500</v>
          </cell>
          <cell r="L1849">
            <v>2900250</v>
          </cell>
          <cell r="M1849">
            <v>23250</v>
          </cell>
          <cell r="N1849">
            <v>0</v>
          </cell>
          <cell r="O1849" t="str">
            <v>Билеты ДВЛ - Эколот-9</v>
          </cell>
        </row>
        <row r="1850">
          <cell r="A1850">
            <v>9</v>
          </cell>
          <cell r="B1850">
            <v>214</v>
          </cell>
          <cell r="C1850">
            <v>7783</v>
          </cell>
          <cell r="D1850">
            <v>9999.31</v>
          </cell>
          <cell r="E1850">
            <v>0</v>
          </cell>
          <cell r="F1850">
            <v>90317.24</v>
          </cell>
          <cell r="H1850">
            <v>0</v>
          </cell>
          <cell r="I1850">
            <v>0</v>
          </cell>
          <cell r="J1850">
            <v>0</v>
          </cell>
          <cell r="K1850">
            <v>2040000</v>
          </cell>
          <cell r="L1850">
            <v>2040000</v>
          </cell>
          <cell r="M1850">
            <v>0</v>
          </cell>
          <cell r="N1850">
            <v>0</v>
          </cell>
          <cell r="O1850" t="str">
            <v>Билеты ДВЛ - Эколот-9</v>
          </cell>
        </row>
        <row r="1851">
          <cell r="A1851">
            <v>9</v>
          </cell>
          <cell r="B1851">
            <v>214</v>
          </cell>
          <cell r="C1851">
            <v>7845</v>
          </cell>
          <cell r="D1851">
            <v>9999.31</v>
          </cell>
          <cell r="E1851">
            <v>0</v>
          </cell>
          <cell r="F1851">
            <v>90317.24</v>
          </cell>
          <cell r="H1851">
            <v>0</v>
          </cell>
          <cell r="I1851">
            <v>0</v>
          </cell>
          <cell r="J1851">
            <v>0</v>
          </cell>
          <cell r="K1851">
            <v>3881550</v>
          </cell>
          <cell r="L1851">
            <v>3881550</v>
          </cell>
          <cell r="M1851">
            <v>0</v>
          </cell>
          <cell r="N1851">
            <v>0</v>
          </cell>
          <cell r="O1851" t="str">
            <v>Билеты ДВЛ - Эколот-9</v>
          </cell>
        </row>
        <row r="1852">
          <cell r="A1852">
            <v>9</v>
          </cell>
          <cell r="B1852">
            <v>214</v>
          </cell>
          <cell r="C1852">
            <v>7948</v>
          </cell>
          <cell r="D1852">
            <v>9999.31</v>
          </cell>
          <cell r="E1852">
            <v>0</v>
          </cell>
          <cell r="F1852">
            <v>90317.24</v>
          </cell>
          <cell r="H1852">
            <v>0</v>
          </cell>
          <cell r="I1852">
            <v>0</v>
          </cell>
          <cell r="J1852">
            <v>0</v>
          </cell>
          <cell r="K1852">
            <v>4695000</v>
          </cell>
          <cell r="L1852">
            <v>4529475</v>
          </cell>
          <cell r="M1852">
            <v>165525</v>
          </cell>
          <cell r="N1852">
            <v>0</v>
          </cell>
          <cell r="O1852" t="str">
            <v>Билеты ДВЛ - Эколот-9</v>
          </cell>
        </row>
        <row r="1853">
          <cell r="A1853">
            <v>9</v>
          </cell>
          <cell r="B1853">
            <v>214</v>
          </cell>
          <cell r="C1853">
            <v>8002</v>
          </cell>
          <cell r="D1853">
            <v>9999.31</v>
          </cell>
          <cell r="E1853">
            <v>0</v>
          </cell>
          <cell r="F1853">
            <v>90317.24</v>
          </cell>
          <cell r="H1853">
            <v>0</v>
          </cell>
          <cell r="I1853">
            <v>0</v>
          </cell>
          <cell r="J1853">
            <v>0</v>
          </cell>
          <cell r="K1853">
            <v>2020000</v>
          </cell>
          <cell r="L1853">
            <v>2020000</v>
          </cell>
          <cell r="M1853">
            <v>0</v>
          </cell>
          <cell r="N1853">
            <v>0</v>
          </cell>
          <cell r="O1853" t="str">
            <v>Билеты ДВЛ - Эколот-9</v>
          </cell>
        </row>
        <row r="1854">
          <cell r="A1854">
            <v>9</v>
          </cell>
          <cell r="B1854">
            <v>214</v>
          </cell>
          <cell r="C1854">
            <v>8104</v>
          </cell>
          <cell r="D1854">
            <v>9999.31</v>
          </cell>
          <cell r="E1854">
            <v>0</v>
          </cell>
          <cell r="F1854">
            <v>90317.24</v>
          </cell>
          <cell r="H1854">
            <v>0</v>
          </cell>
          <cell r="I1854">
            <v>0</v>
          </cell>
          <cell r="J1854">
            <v>0</v>
          </cell>
          <cell r="K1854">
            <v>345000</v>
          </cell>
          <cell r="L1854">
            <v>304950</v>
          </cell>
          <cell r="M1854">
            <v>40050</v>
          </cell>
          <cell r="N1854">
            <v>0</v>
          </cell>
          <cell r="O1854" t="str">
            <v>Билеты ДВЛ - Эколот-9</v>
          </cell>
        </row>
        <row r="1855">
          <cell r="A1855">
            <v>9</v>
          </cell>
          <cell r="B1855">
            <v>214</v>
          </cell>
          <cell r="C1855">
            <v>8137</v>
          </cell>
          <cell r="D1855">
            <v>9999.31</v>
          </cell>
          <cell r="E1855">
            <v>0</v>
          </cell>
          <cell r="F1855">
            <v>90317.24</v>
          </cell>
          <cell r="H1855">
            <v>0</v>
          </cell>
          <cell r="I1855">
            <v>0</v>
          </cell>
          <cell r="J1855">
            <v>0</v>
          </cell>
          <cell r="K1855">
            <v>3330750</v>
          </cell>
          <cell r="L1855">
            <v>3150075</v>
          </cell>
          <cell r="M1855">
            <v>180675</v>
          </cell>
          <cell r="N1855">
            <v>0</v>
          </cell>
          <cell r="O1855" t="str">
            <v>Билеты ДВЛ - Эколот-9</v>
          </cell>
        </row>
        <row r="1856">
          <cell r="A1856">
            <v>9</v>
          </cell>
          <cell r="B1856">
            <v>214</v>
          </cell>
          <cell r="C1856">
            <v>8298</v>
          </cell>
          <cell r="D1856">
            <v>9999.31</v>
          </cell>
          <cell r="E1856">
            <v>0</v>
          </cell>
          <cell r="F1856">
            <v>90317.24</v>
          </cell>
          <cell r="H1856">
            <v>0</v>
          </cell>
          <cell r="I1856">
            <v>0</v>
          </cell>
          <cell r="J1856">
            <v>0</v>
          </cell>
          <cell r="K1856">
            <v>1470000</v>
          </cell>
          <cell r="L1856">
            <v>984900</v>
          </cell>
          <cell r="M1856">
            <v>485100</v>
          </cell>
          <cell r="N1856">
            <v>0</v>
          </cell>
          <cell r="O1856" t="str">
            <v>Билеты ДВЛ - Эколот-9</v>
          </cell>
        </row>
        <row r="1857">
          <cell r="A1857">
            <v>9</v>
          </cell>
          <cell r="B1857">
            <v>214</v>
          </cell>
          <cell r="C1857">
            <v>8533</v>
          </cell>
          <cell r="D1857">
            <v>9999.31</v>
          </cell>
          <cell r="E1857">
            <v>0</v>
          </cell>
          <cell r="F1857">
            <v>90317.24</v>
          </cell>
          <cell r="H1857">
            <v>0</v>
          </cell>
          <cell r="I1857">
            <v>0</v>
          </cell>
          <cell r="J1857">
            <v>0</v>
          </cell>
          <cell r="K1857">
            <v>388075</v>
          </cell>
          <cell r="L1857">
            <v>287300</v>
          </cell>
          <cell r="M1857">
            <v>100775</v>
          </cell>
          <cell r="N1857">
            <v>0</v>
          </cell>
          <cell r="O1857" t="str">
            <v>Билеты ДВЛ - Эколот-9</v>
          </cell>
        </row>
        <row r="1858">
          <cell r="A1858">
            <v>9</v>
          </cell>
          <cell r="B1858">
            <v>214</v>
          </cell>
          <cell r="C1858">
            <v>8659</v>
          </cell>
          <cell r="D1858">
            <v>9999.31</v>
          </cell>
          <cell r="E1858">
            <v>0</v>
          </cell>
          <cell r="F1858">
            <v>90317.24</v>
          </cell>
          <cell r="H1858">
            <v>0</v>
          </cell>
          <cell r="I1858">
            <v>0</v>
          </cell>
          <cell r="J1858">
            <v>0</v>
          </cell>
          <cell r="K1858">
            <v>1620000</v>
          </cell>
          <cell r="L1858">
            <v>1608300</v>
          </cell>
          <cell r="M1858">
            <v>11700</v>
          </cell>
          <cell r="N1858">
            <v>0</v>
          </cell>
          <cell r="O1858" t="str">
            <v>Билеты ДВЛ - Эколот-9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 учете"/>
      <sheetName val="Раб.места"/>
      <sheetName val="Перепод."/>
      <sheetName val="Общ.работ."/>
      <sheetName val="Зан-ть(р-ны)"/>
      <sheetName val="BULLET"/>
      <sheetName val="BAL"/>
      <sheetName val="параметр (формуда)"/>
      <sheetName val="Жиззах янги раз"/>
      <sheetName val="Лист3"/>
      <sheetName val="На_учете"/>
      <sheetName val="Раб_места"/>
      <sheetName val="Перепод_"/>
      <sheetName val="Общ_работ_"/>
      <sheetName val="параметр_(формуда)"/>
      <sheetName val="Guidance"/>
      <sheetName val="Форма №2-2003"/>
      <sheetName val="табли 4 местний совет"/>
      <sheetName val="2-жадвал Свод"/>
      <sheetName val="1-шакл"/>
    </sheetNames>
    <sheetDataSet>
      <sheetData sheetId="0"/>
      <sheetData sheetId="1"/>
      <sheetData sheetId="2"/>
      <sheetData sheetId="3"/>
      <sheetData sheetId="4">
        <row r="5">
          <cell r="E5" t="str">
            <v>в том числе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Run"/>
      <sheetName val="Store"/>
      <sheetName val="1-bank"/>
      <sheetName val="1-bf"/>
      <sheetName val="1-bt"/>
      <sheetName val="1-dfx"/>
      <sheetName val="2-bank"/>
      <sheetName val="2-bf"/>
      <sheetName val="2-bt"/>
      <sheetName val="2-dfx"/>
      <sheetName val="8-bank"/>
      <sheetName val="8-bt"/>
      <sheetName val="4"/>
      <sheetName val="5"/>
      <sheetName val="6"/>
      <sheetName val="7-bank"/>
      <sheetName val="7-bf"/>
      <sheetName val="7-bt"/>
      <sheetName val="7-dfx"/>
      <sheetName val="3-bank"/>
      <sheetName val="3-bf"/>
      <sheetName val="3-bt"/>
      <sheetName val="3-dfx"/>
      <sheetName val="Obraz NEW (polug) na 01 01 2006"/>
      <sheetName val="Аёл-тад NEW 1"/>
      <sheetName val="Аёл-тад NEW 4"/>
      <sheetName val="Аёл-тад NEW 2"/>
      <sheetName val="Аёл-тад NEW 3"/>
      <sheetName val="Ishchi o`rin NEW"/>
      <sheetName val="PP-308 NEW"/>
      <sheetName val="Ёш оила микро"/>
      <sheetName val="Аёл-тадб NEW"/>
      <sheetName val="ЯТТ"/>
      <sheetName val="ДФХ-1"/>
      <sheetName val="ДФХ-2"/>
      <sheetName val="ФХ"/>
      <sheetName val="Микф"/>
      <sheetName val="кичик кор"/>
      <sheetName val="масъул шахслар"/>
      <sheetName val="Старт кап"/>
      <sheetName val="ФЛК"/>
      <sheetName val="Оилавий тадбиркорлик (кв)"/>
      <sheetName val="Лизинг (кв)"/>
      <sheetName val="Маиший хизмат (кв)"/>
      <sheetName val="Proverka"/>
      <sheetName val="сана"/>
      <sheetName val="Зан-ть(р-ны)"/>
      <sheetName val="Obraz_NEW_(polug)_na_01_01_2006"/>
      <sheetName val="Аёл-тад_NEW_1"/>
      <sheetName val="Аёл-тад_NEW_4"/>
      <sheetName val="Аёл-тад_NEW_2"/>
      <sheetName val="Аёл-тад_NEW_3"/>
      <sheetName val="Ishchi_o`rin_NEW"/>
      <sheetName val="PP-308_NEW"/>
      <sheetName val="Ёш_оила_микро"/>
      <sheetName val="Аёл-тадб_NEW"/>
      <sheetName val="кичик_кор"/>
      <sheetName val="масъул_шахслар"/>
      <sheetName val="Старт_кап"/>
      <sheetName val="Оилавий_тадбиркорлик_(кв)"/>
      <sheetName val="Лизинг_(кв)"/>
      <sheetName val="Маиший_хизмат_(кв)"/>
      <sheetName val="시설투자"/>
      <sheetName val="Oglavlenie"/>
    </sheetNames>
    <sheetDataSet>
      <sheetData sheetId="0"/>
      <sheetData sheetId="1" refreshError="1"/>
      <sheetData sheetId="2" refreshError="1">
        <row r="128">
          <cell r="B128" t="str">
            <v>% отчислений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свыше 100тыс.долл."/>
      <sheetName val="test"/>
      <sheetName val="сана"/>
      <sheetName val="Date"/>
      <sheetName val="Analysis of Interest"/>
      <sheetName val="ж а м и"/>
      <sheetName val="c"/>
      <sheetName val="ВВОД"/>
      <sheetName val="свыше_100тыс_долл_"/>
      <sheetName val="Store"/>
      <sheetName val="Зан-ть(р-ны)"/>
      <sheetName val="Фориш 2003"/>
      <sheetName val="Импорт 2000-2002"/>
      <sheetName val="уюшмага10,09 холатига"/>
      <sheetName val="ном"/>
      <sheetName val="Лист1 (2)"/>
      <sheetName val="QARSHI"/>
      <sheetName val="NISHON"/>
      <sheetName val="BESHKENT"/>
      <sheetName val="KOSON"/>
      <sheetName val="SHAXRISA"/>
      <sheetName val="KITOB"/>
      <sheetName val="KASBI"/>
      <sheetName val="MIRISHKOR"/>
      <sheetName val="QAMASHI"/>
      <sheetName val="G'UZOR"/>
      <sheetName val="YAKKABOG"/>
      <sheetName val="DEHQONOB"/>
      <sheetName val="CHIROQCH"/>
      <sheetName val="MUBORAK"/>
      <sheetName val="BAL"/>
      <sheetName val="Карз. 5-10 млн.гача"/>
      <sheetName val="Карз.10 млн.дан юқори"/>
      <sheetName val="Кўрик 3 ойдан ортик"/>
      <sheetName val="Тўлов 3 ойдан ортик "/>
      <sheetName val="свыше_100тыс_долл_1"/>
      <sheetName val="Analysis_of_Interest"/>
      <sheetName val="ж_а_м_и"/>
      <sheetName val="Фориш_2003"/>
      <sheetName val="Импорт_2000-2002"/>
      <sheetName val="уюшмага10,09_холатига"/>
      <sheetName val="Лист1_(2)"/>
      <sheetName val="Карз__5-10_млн_гача"/>
      <sheetName val="Карз_10_млн_дан_юқори"/>
      <sheetName val="Кўрик_3_ойдан_ортик"/>
      <sheetName val="Тўлов_3_ойдан_ортик_"/>
      <sheetName val="Data input"/>
      <sheetName val="План пр-ва_1"/>
      <sheetName val="План продаж_1"/>
      <sheetName val="Прогноз"/>
      <sheetName val="Macro1"/>
      <sheetName val="свыше_100тыс_долл_2"/>
      <sheetName val="Analysis_of_Interest1"/>
      <sheetName val="ж_а_м_и1"/>
      <sheetName val="Фориш_20031"/>
      <sheetName val="Импорт_2000-20021"/>
      <sheetName val="уюшмага10,09_холатига1"/>
      <sheetName val="Лист1_(2)1"/>
      <sheetName val="Карз__5-10_млн_гача1"/>
      <sheetName val="Карз_10_млн_дан_юқори1"/>
      <sheetName val="Кўрик_3_ойдан_ортик1"/>
      <sheetName val="Тўлов_3_ойдан_ортик_1"/>
      <sheetName val="2 илова"/>
      <sheetName val="Жиззах янги раз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B1">
            <v>0</v>
          </cell>
        </row>
      </sheetData>
      <sheetData sheetId="32">
        <row r="1">
          <cell r="B1">
            <v>0</v>
          </cell>
        </row>
      </sheetData>
      <sheetData sheetId="33">
        <row r="1">
          <cell r="B1">
            <v>0</v>
          </cell>
        </row>
      </sheetData>
      <sheetData sheetId="34">
        <row r="1">
          <cell r="B1">
            <v>0</v>
          </cell>
        </row>
      </sheetData>
      <sheetData sheetId="35" refreshError="1"/>
      <sheetData sheetId="36" refreshError="1"/>
      <sheetData sheetId="37"/>
      <sheetData sheetId="38"/>
      <sheetData sheetId="39"/>
      <sheetData sheetId="40"/>
      <sheetData sheetId="41">
        <row r="1">
          <cell r="B1">
            <v>0</v>
          </cell>
        </row>
      </sheetData>
      <sheetData sheetId="42">
        <row r="1">
          <cell r="B1">
            <v>0</v>
          </cell>
        </row>
      </sheetData>
      <sheetData sheetId="43">
        <row r="1">
          <cell r="B1">
            <v>0</v>
          </cell>
        </row>
      </sheetData>
      <sheetData sheetId="44">
        <row r="1">
          <cell r="B1">
            <v>0</v>
          </cell>
        </row>
      </sheetData>
      <sheetData sheetId="45">
        <row r="1">
          <cell r="B1">
            <v>0</v>
          </cell>
        </row>
      </sheetData>
      <sheetData sheetId="46">
        <row r="1">
          <cell r="B1">
            <v>0</v>
          </cell>
        </row>
      </sheetData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орот"/>
      <sheetName val="реестр"/>
      <sheetName val="данные"/>
      <sheetName val="программа"/>
      <sheetName val="Олувчи"/>
      <sheetName val="Платёжка"/>
      <sheetName val="Банклар"/>
      <sheetName val="Тўловчи"/>
      <sheetName val="Банк"/>
      <sheetName val="Жиззах янги раз"/>
      <sheetName val="сана"/>
      <sheetName val="277"/>
      <sheetName val="Analysis of Interest"/>
      <sheetName val="Tit"/>
      <sheetName val="Macro1"/>
      <sheetName val="06.01.2014"/>
      <sheetName val="Date"/>
      <sheetName val="ж а м и"/>
      <sheetName val="Results"/>
    </sheetNames>
    <sheetDataSet>
      <sheetData sheetId="0" refreshError="1">
        <row r="1">
          <cell r="D1">
            <v>2001</v>
          </cell>
          <cell r="E1">
            <v>4</v>
          </cell>
        </row>
        <row r="5">
          <cell r="A5" t="str">
            <v>максади</v>
          </cell>
          <cell r="B5" t="str">
            <v>(Все)</v>
          </cell>
        </row>
        <row r="6">
          <cell r="A6" t="str">
            <v xml:space="preserve">№ </v>
          </cell>
          <cell r="B6" t="str">
            <v>(Все)</v>
          </cell>
        </row>
        <row r="7">
          <cell r="A7" t="str">
            <v>с/счёт</v>
          </cell>
          <cell r="B7" t="str">
            <v>(Все)</v>
          </cell>
        </row>
        <row r="9">
          <cell r="A9" t="str">
            <v>оборот</v>
          </cell>
        </row>
        <row r="10">
          <cell r="A10" t="str">
            <v>операция</v>
          </cell>
          <cell r="B10" t="str">
            <v>Пор№</v>
          </cell>
        </row>
        <row r="11">
          <cell r="A11" t="str">
            <v>кирим</v>
          </cell>
          <cell r="B11">
            <v>0</v>
          </cell>
        </row>
        <row r="12">
          <cell r="A12" t="str">
            <v>кирим Итог</v>
          </cell>
        </row>
        <row r="13">
          <cell r="A13" t="str">
            <v>чиким</v>
          </cell>
          <cell r="B13">
            <v>201</v>
          </cell>
        </row>
        <row r="14">
          <cell r="B14">
            <v>202</v>
          </cell>
        </row>
        <row r="15">
          <cell r="B15">
            <v>203</v>
          </cell>
        </row>
        <row r="16">
          <cell r="B16">
            <v>204</v>
          </cell>
        </row>
        <row r="17">
          <cell r="B17">
            <v>205</v>
          </cell>
        </row>
        <row r="18">
          <cell r="B18">
            <v>206</v>
          </cell>
        </row>
        <row r="19">
          <cell r="B19">
            <v>207</v>
          </cell>
        </row>
        <row r="20">
          <cell r="B20">
            <v>208</v>
          </cell>
        </row>
        <row r="21">
          <cell r="B21">
            <v>209</v>
          </cell>
        </row>
        <row r="22">
          <cell r="B22">
            <v>210</v>
          </cell>
        </row>
        <row r="23">
          <cell r="B23">
            <v>211</v>
          </cell>
        </row>
        <row r="24">
          <cell r="B24">
            <v>212</v>
          </cell>
        </row>
        <row r="25">
          <cell r="B25">
            <v>213</v>
          </cell>
        </row>
        <row r="26">
          <cell r="B26">
            <v>214</v>
          </cell>
        </row>
        <row r="27">
          <cell r="B27">
            <v>215</v>
          </cell>
        </row>
        <row r="28">
          <cell r="B28">
            <v>216</v>
          </cell>
        </row>
        <row r="29">
          <cell r="B29">
            <v>217</v>
          </cell>
        </row>
        <row r="30">
          <cell r="B30">
            <v>218</v>
          </cell>
        </row>
        <row r="31">
          <cell r="B31">
            <v>219</v>
          </cell>
        </row>
        <row r="32">
          <cell r="B32">
            <v>220</v>
          </cell>
        </row>
        <row r="33">
          <cell r="B33">
            <v>221</v>
          </cell>
        </row>
        <row r="34">
          <cell r="B34">
            <v>222</v>
          </cell>
        </row>
        <row r="35">
          <cell r="B35">
            <v>223</v>
          </cell>
        </row>
        <row r="36">
          <cell r="B36">
            <v>224</v>
          </cell>
        </row>
        <row r="37">
          <cell r="B37">
            <v>225</v>
          </cell>
        </row>
        <row r="38">
          <cell r="B38">
            <v>226</v>
          </cell>
        </row>
        <row r="39">
          <cell r="B39">
            <v>227</v>
          </cell>
        </row>
        <row r="40">
          <cell r="B40">
            <v>228</v>
          </cell>
        </row>
        <row r="41">
          <cell r="B41">
            <v>229</v>
          </cell>
        </row>
        <row r="42">
          <cell r="B42">
            <v>230</v>
          </cell>
        </row>
        <row r="43">
          <cell r="B43">
            <v>231</v>
          </cell>
        </row>
        <row r="44">
          <cell r="B44">
            <v>232</v>
          </cell>
        </row>
        <row r="45">
          <cell r="B45">
            <v>233</v>
          </cell>
        </row>
        <row r="46">
          <cell r="B46">
            <v>234</v>
          </cell>
        </row>
        <row r="47">
          <cell r="B47">
            <v>235</v>
          </cell>
        </row>
        <row r="48">
          <cell r="B48">
            <v>236</v>
          </cell>
        </row>
        <row r="49">
          <cell r="B49">
            <v>237</v>
          </cell>
        </row>
        <row r="50">
          <cell r="B50">
            <v>238</v>
          </cell>
        </row>
        <row r="51">
          <cell r="B51">
            <v>239</v>
          </cell>
        </row>
        <row r="52">
          <cell r="B52">
            <v>240</v>
          </cell>
        </row>
        <row r="53">
          <cell r="B53">
            <v>241</v>
          </cell>
        </row>
        <row r="54">
          <cell r="B54">
            <v>242</v>
          </cell>
        </row>
        <row r="55">
          <cell r="B55">
            <v>243</v>
          </cell>
        </row>
        <row r="56">
          <cell r="B56">
            <v>244</v>
          </cell>
        </row>
        <row r="57">
          <cell r="B57">
            <v>245</v>
          </cell>
        </row>
        <row r="58">
          <cell r="B58">
            <v>246</v>
          </cell>
        </row>
        <row r="59">
          <cell r="B59">
            <v>247</v>
          </cell>
        </row>
        <row r="60">
          <cell r="B60">
            <v>248</v>
          </cell>
        </row>
        <row r="61">
          <cell r="B61">
            <v>249</v>
          </cell>
        </row>
        <row r="62">
          <cell r="B62">
            <v>250</v>
          </cell>
        </row>
        <row r="63">
          <cell r="B63">
            <v>251</v>
          </cell>
        </row>
        <row r="64">
          <cell r="B64">
            <v>252</v>
          </cell>
        </row>
        <row r="65">
          <cell r="B65">
            <v>253</v>
          </cell>
        </row>
        <row r="66">
          <cell r="B66">
            <v>254</v>
          </cell>
        </row>
        <row r="67">
          <cell r="B67">
            <v>255</v>
          </cell>
        </row>
        <row r="68">
          <cell r="B68">
            <v>256</v>
          </cell>
        </row>
        <row r="69">
          <cell r="B69">
            <v>257</v>
          </cell>
        </row>
        <row r="70">
          <cell r="B70">
            <v>258</v>
          </cell>
        </row>
        <row r="71">
          <cell r="B71">
            <v>259</v>
          </cell>
        </row>
        <row r="72">
          <cell r="B72">
            <v>260</v>
          </cell>
        </row>
        <row r="73">
          <cell r="B73">
            <v>261</v>
          </cell>
        </row>
        <row r="74">
          <cell r="B74">
            <v>262</v>
          </cell>
        </row>
        <row r="75">
          <cell r="B75">
            <v>263</v>
          </cell>
        </row>
        <row r="76">
          <cell r="B76">
            <v>264</v>
          </cell>
        </row>
        <row r="77">
          <cell r="B77">
            <v>265</v>
          </cell>
        </row>
        <row r="78">
          <cell r="B78">
            <v>266</v>
          </cell>
        </row>
        <row r="79">
          <cell r="B79">
            <v>267</v>
          </cell>
        </row>
        <row r="80">
          <cell r="B80">
            <v>268</v>
          </cell>
        </row>
        <row r="81">
          <cell r="B81">
            <v>269</v>
          </cell>
        </row>
        <row r="82">
          <cell r="B82">
            <v>270</v>
          </cell>
        </row>
        <row r="83">
          <cell r="B83">
            <v>271</v>
          </cell>
        </row>
        <row r="84">
          <cell r="B84">
            <v>272</v>
          </cell>
        </row>
        <row r="85">
          <cell r="B85">
            <v>273</v>
          </cell>
        </row>
        <row r="86">
          <cell r="B86">
            <v>274</v>
          </cell>
        </row>
        <row r="87">
          <cell r="B87">
            <v>275</v>
          </cell>
        </row>
        <row r="88">
          <cell r="B88">
            <v>276</v>
          </cell>
        </row>
        <row r="89">
          <cell r="B89">
            <v>277</v>
          </cell>
        </row>
        <row r="90">
          <cell r="B90">
            <v>278</v>
          </cell>
        </row>
        <row r="91">
          <cell r="B91">
            <v>279</v>
          </cell>
        </row>
        <row r="92">
          <cell r="B92">
            <v>280</v>
          </cell>
        </row>
        <row r="93">
          <cell r="B93">
            <v>281</v>
          </cell>
        </row>
        <row r="94">
          <cell r="B94">
            <v>282</v>
          </cell>
        </row>
        <row r="95">
          <cell r="B95">
            <v>283</v>
          </cell>
        </row>
        <row r="96">
          <cell r="B96">
            <v>284</v>
          </cell>
        </row>
        <row r="97">
          <cell r="B97">
            <v>285</v>
          </cell>
        </row>
        <row r="98">
          <cell r="B98">
            <v>286</v>
          </cell>
        </row>
        <row r="99">
          <cell r="B99">
            <v>287</v>
          </cell>
        </row>
        <row r="100">
          <cell r="B100">
            <v>288</v>
          </cell>
        </row>
        <row r="101">
          <cell r="B101">
            <v>289</v>
          </cell>
        </row>
        <row r="102">
          <cell r="B102">
            <v>290</v>
          </cell>
        </row>
        <row r="103">
          <cell r="B103">
            <v>291</v>
          </cell>
        </row>
        <row r="104">
          <cell r="B104">
            <v>292</v>
          </cell>
        </row>
        <row r="105">
          <cell r="B105">
            <v>293</v>
          </cell>
        </row>
        <row r="106">
          <cell r="B106">
            <v>294</v>
          </cell>
        </row>
        <row r="107">
          <cell r="B107">
            <v>295</v>
          </cell>
        </row>
        <row r="108">
          <cell r="B108">
            <v>296</v>
          </cell>
        </row>
        <row r="109">
          <cell r="B109">
            <v>297</v>
          </cell>
        </row>
        <row r="110">
          <cell r="B110">
            <v>298</v>
          </cell>
        </row>
        <row r="111">
          <cell r="B111">
            <v>299</v>
          </cell>
        </row>
        <row r="112">
          <cell r="B112">
            <v>300</v>
          </cell>
        </row>
        <row r="113">
          <cell r="B113">
            <v>301</v>
          </cell>
        </row>
        <row r="114">
          <cell r="B114">
            <v>302</v>
          </cell>
        </row>
        <row r="115">
          <cell r="B115">
            <v>303</v>
          </cell>
        </row>
        <row r="116">
          <cell r="B116">
            <v>304</v>
          </cell>
        </row>
        <row r="117">
          <cell r="B117">
            <v>305</v>
          </cell>
        </row>
        <row r="118">
          <cell r="B118">
            <v>306</v>
          </cell>
        </row>
        <row r="119">
          <cell r="B119">
            <v>307</v>
          </cell>
        </row>
        <row r="120">
          <cell r="B120">
            <v>308</v>
          </cell>
        </row>
        <row r="121">
          <cell r="B121">
            <v>309</v>
          </cell>
        </row>
        <row r="122">
          <cell r="B122">
            <v>310</v>
          </cell>
        </row>
        <row r="123">
          <cell r="B123">
            <v>311</v>
          </cell>
        </row>
        <row r="124">
          <cell r="B124">
            <v>312</v>
          </cell>
        </row>
        <row r="125">
          <cell r="B125">
            <v>313</v>
          </cell>
        </row>
        <row r="126">
          <cell r="B126">
            <v>314</v>
          </cell>
        </row>
        <row r="127">
          <cell r="B127">
            <v>315</v>
          </cell>
        </row>
        <row r="128">
          <cell r="B128">
            <v>316</v>
          </cell>
        </row>
        <row r="129">
          <cell r="B129">
            <v>317</v>
          </cell>
        </row>
        <row r="130">
          <cell r="B130">
            <v>318</v>
          </cell>
        </row>
        <row r="131">
          <cell r="B131">
            <v>319</v>
          </cell>
        </row>
        <row r="132">
          <cell r="B132">
            <v>320</v>
          </cell>
        </row>
        <row r="133">
          <cell r="B133">
            <v>321</v>
          </cell>
        </row>
        <row r="134">
          <cell r="B134">
            <v>322</v>
          </cell>
        </row>
        <row r="135">
          <cell r="B135">
            <v>323</v>
          </cell>
        </row>
        <row r="136">
          <cell r="B136">
            <v>324</v>
          </cell>
        </row>
        <row r="137">
          <cell r="B137">
            <v>325</v>
          </cell>
        </row>
        <row r="138">
          <cell r="B138">
            <v>326</v>
          </cell>
        </row>
        <row r="139">
          <cell r="B139">
            <v>327</v>
          </cell>
        </row>
        <row r="140">
          <cell r="B140">
            <v>328</v>
          </cell>
        </row>
        <row r="141">
          <cell r="B141">
            <v>329</v>
          </cell>
        </row>
        <row r="142">
          <cell r="B142">
            <v>330</v>
          </cell>
        </row>
        <row r="143">
          <cell r="B143">
            <v>331</v>
          </cell>
        </row>
        <row r="144">
          <cell r="B144">
            <v>332</v>
          </cell>
        </row>
        <row r="145">
          <cell r="B145">
            <v>333</v>
          </cell>
        </row>
        <row r="146">
          <cell r="B146">
            <v>334</v>
          </cell>
        </row>
        <row r="147">
          <cell r="B147">
            <v>335</v>
          </cell>
        </row>
        <row r="148">
          <cell r="B148">
            <v>336</v>
          </cell>
        </row>
        <row r="149">
          <cell r="B149">
            <v>337</v>
          </cell>
        </row>
        <row r="150">
          <cell r="B150">
            <v>338</v>
          </cell>
        </row>
        <row r="151">
          <cell r="B151">
            <v>339</v>
          </cell>
        </row>
        <row r="152">
          <cell r="B152">
            <v>340</v>
          </cell>
        </row>
        <row r="153">
          <cell r="B153">
            <v>341</v>
          </cell>
        </row>
        <row r="154">
          <cell r="B154">
            <v>342</v>
          </cell>
        </row>
        <row r="155">
          <cell r="B155">
            <v>343</v>
          </cell>
        </row>
        <row r="156">
          <cell r="B156">
            <v>344</v>
          </cell>
        </row>
        <row r="157">
          <cell r="B157">
            <v>345</v>
          </cell>
        </row>
        <row r="158">
          <cell r="B158">
            <v>346</v>
          </cell>
        </row>
        <row r="159">
          <cell r="B159">
            <v>347</v>
          </cell>
        </row>
        <row r="160">
          <cell r="B160">
            <v>348</v>
          </cell>
        </row>
        <row r="161">
          <cell r="B161">
            <v>349</v>
          </cell>
        </row>
        <row r="162">
          <cell r="B162">
            <v>350</v>
          </cell>
        </row>
        <row r="163">
          <cell r="B163">
            <v>351</v>
          </cell>
        </row>
        <row r="164">
          <cell r="B164">
            <v>352</v>
          </cell>
        </row>
        <row r="165">
          <cell r="B165">
            <v>353</v>
          </cell>
        </row>
        <row r="166">
          <cell r="B166">
            <v>354</v>
          </cell>
        </row>
        <row r="167">
          <cell r="B167">
            <v>355</v>
          </cell>
        </row>
        <row r="168">
          <cell r="B168">
            <v>356</v>
          </cell>
        </row>
        <row r="169">
          <cell r="B169">
            <v>357</v>
          </cell>
        </row>
        <row r="170">
          <cell r="B170">
            <v>358</v>
          </cell>
        </row>
        <row r="171">
          <cell r="B171">
            <v>359</v>
          </cell>
        </row>
        <row r="172">
          <cell r="B172">
            <v>360</v>
          </cell>
        </row>
        <row r="173">
          <cell r="B173">
            <v>361</v>
          </cell>
        </row>
        <row r="174">
          <cell r="B174">
            <v>362</v>
          </cell>
        </row>
        <row r="175">
          <cell r="B175">
            <v>363</v>
          </cell>
        </row>
        <row r="176">
          <cell r="B176">
            <v>364</v>
          </cell>
        </row>
        <row r="177">
          <cell r="B177">
            <v>365</v>
          </cell>
        </row>
        <row r="178">
          <cell r="B178">
            <v>366</v>
          </cell>
        </row>
        <row r="179">
          <cell r="B179">
            <v>367</v>
          </cell>
        </row>
        <row r="180">
          <cell r="B180">
            <v>368</v>
          </cell>
        </row>
        <row r="181">
          <cell r="B181">
            <v>369</v>
          </cell>
        </row>
        <row r="182">
          <cell r="B182">
            <v>370</v>
          </cell>
        </row>
        <row r="183">
          <cell r="B183">
            <v>371</v>
          </cell>
        </row>
        <row r="184">
          <cell r="B184">
            <v>372</v>
          </cell>
        </row>
        <row r="185">
          <cell r="B185">
            <v>373</v>
          </cell>
        </row>
        <row r="186">
          <cell r="B186">
            <v>374</v>
          </cell>
        </row>
        <row r="187">
          <cell r="B187">
            <v>376</v>
          </cell>
        </row>
        <row r="188">
          <cell r="B188">
            <v>377</v>
          </cell>
        </row>
        <row r="189">
          <cell r="B189">
            <v>378</v>
          </cell>
        </row>
        <row r="190">
          <cell r="B190">
            <v>379</v>
          </cell>
        </row>
        <row r="191">
          <cell r="B191">
            <v>380</v>
          </cell>
        </row>
        <row r="192">
          <cell r="B192">
            <v>381</v>
          </cell>
        </row>
        <row r="193">
          <cell r="B193">
            <v>382</v>
          </cell>
        </row>
        <row r="194">
          <cell r="B194">
            <v>383</v>
          </cell>
        </row>
        <row r="195">
          <cell r="B195">
            <v>384</v>
          </cell>
        </row>
        <row r="196">
          <cell r="B196">
            <v>385</v>
          </cell>
        </row>
        <row r="197">
          <cell r="B197">
            <v>386</v>
          </cell>
        </row>
        <row r="198">
          <cell r="B198">
            <v>387</v>
          </cell>
        </row>
        <row r="199">
          <cell r="B199">
            <v>388</v>
          </cell>
        </row>
        <row r="200">
          <cell r="B200">
            <v>389</v>
          </cell>
        </row>
        <row r="201">
          <cell r="B201">
            <v>390</v>
          </cell>
        </row>
        <row r="202">
          <cell r="B202">
            <v>391</v>
          </cell>
        </row>
        <row r="203">
          <cell r="B203">
            <v>392</v>
          </cell>
        </row>
        <row r="204">
          <cell r="B204">
            <v>393</v>
          </cell>
        </row>
        <row r="205">
          <cell r="B205">
            <v>394</v>
          </cell>
        </row>
        <row r="206">
          <cell r="B206">
            <v>395</v>
          </cell>
        </row>
        <row r="207">
          <cell r="B207">
            <v>396</v>
          </cell>
        </row>
        <row r="208">
          <cell r="B208">
            <v>397</v>
          </cell>
        </row>
        <row r="209">
          <cell r="B209">
            <v>398</v>
          </cell>
        </row>
        <row r="210">
          <cell r="B210">
            <v>399</v>
          </cell>
        </row>
        <row r="211">
          <cell r="B211">
            <v>400</v>
          </cell>
        </row>
        <row r="212">
          <cell r="B212">
            <v>401</v>
          </cell>
        </row>
        <row r="213">
          <cell r="B213">
            <v>402</v>
          </cell>
        </row>
        <row r="214">
          <cell r="B214">
            <v>403</v>
          </cell>
        </row>
        <row r="215">
          <cell r="B215">
            <v>404</v>
          </cell>
        </row>
        <row r="216">
          <cell r="B216">
            <v>405</v>
          </cell>
        </row>
        <row r="217">
          <cell r="B217">
            <v>406</v>
          </cell>
        </row>
        <row r="218">
          <cell r="B218">
            <v>407</v>
          </cell>
        </row>
        <row r="219">
          <cell r="B219">
            <v>408</v>
          </cell>
        </row>
        <row r="220">
          <cell r="B220">
            <v>409</v>
          </cell>
        </row>
        <row r="221">
          <cell r="B221">
            <v>410</v>
          </cell>
        </row>
        <row r="222">
          <cell r="B222">
            <v>411</v>
          </cell>
        </row>
        <row r="223">
          <cell r="B223">
            <v>412</v>
          </cell>
        </row>
        <row r="224">
          <cell r="B224">
            <v>413</v>
          </cell>
        </row>
        <row r="225">
          <cell r="B225">
            <v>414</v>
          </cell>
        </row>
        <row r="226">
          <cell r="B226">
            <v>415</v>
          </cell>
        </row>
        <row r="227">
          <cell r="B227">
            <v>416</v>
          </cell>
        </row>
        <row r="228">
          <cell r="B228">
            <v>417</v>
          </cell>
        </row>
        <row r="229">
          <cell r="B229">
            <v>418</v>
          </cell>
        </row>
        <row r="230">
          <cell r="B230">
            <v>419</v>
          </cell>
        </row>
        <row r="231">
          <cell r="B231">
            <v>420</v>
          </cell>
        </row>
        <row r="232">
          <cell r="B232">
            <v>421</v>
          </cell>
        </row>
        <row r="233">
          <cell r="B233">
            <v>422</v>
          </cell>
        </row>
        <row r="234">
          <cell r="B234">
            <v>423</v>
          </cell>
        </row>
        <row r="235">
          <cell r="B235">
            <v>424</v>
          </cell>
        </row>
        <row r="236">
          <cell r="B236">
            <v>425</v>
          </cell>
        </row>
        <row r="237">
          <cell r="B237">
            <v>426</v>
          </cell>
        </row>
        <row r="238">
          <cell r="B238">
            <v>427</v>
          </cell>
        </row>
        <row r="239">
          <cell r="B239">
            <v>428</v>
          </cell>
        </row>
        <row r="240">
          <cell r="B240">
            <v>429</v>
          </cell>
        </row>
        <row r="241">
          <cell r="B241">
            <v>430</v>
          </cell>
        </row>
        <row r="242">
          <cell r="B242">
            <v>431</v>
          </cell>
        </row>
        <row r="243">
          <cell r="B243">
            <v>432</v>
          </cell>
        </row>
        <row r="244">
          <cell r="B244">
            <v>433</v>
          </cell>
        </row>
        <row r="245">
          <cell r="B245">
            <v>434</v>
          </cell>
        </row>
        <row r="246">
          <cell r="B246">
            <v>435</v>
          </cell>
        </row>
        <row r="247">
          <cell r="B247">
            <v>436</v>
          </cell>
        </row>
        <row r="248">
          <cell r="B248">
            <v>437</v>
          </cell>
        </row>
        <row r="249">
          <cell r="B249">
            <v>438</v>
          </cell>
        </row>
        <row r="250">
          <cell r="B250">
            <v>439</v>
          </cell>
        </row>
        <row r="251">
          <cell r="B251">
            <v>440</v>
          </cell>
        </row>
        <row r="252">
          <cell r="B252">
            <v>441</v>
          </cell>
        </row>
        <row r="253">
          <cell r="B253">
            <v>442</v>
          </cell>
        </row>
        <row r="254">
          <cell r="B254">
            <v>443</v>
          </cell>
        </row>
        <row r="255">
          <cell r="B255">
            <v>444</v>
          </cell>
        </row>
        <row r="256">
          <cell r="B256">
            <v>445</v>
          </cell>
        </row>
        <row r="257">
          <cell r="B257">
            <v>446</v>
          </cell>
        </row>
        <row r="258">
          <cell r="B258">
            <v>447</v>
          </cell>
        </row>
        <row r="259">
          <cell r="B259">
            <v>448</v>
          </cell>
        </row>
        <row r="260">
          <cell r="B260">
            <v>449</v>
          </cell>
        </row>
        <row r="261">
          <cell r="B261">
            <v>450</v>
          </cell>
        </row>
        <row r="262">
          <cell r="B262">
            <v>451</v>
          </cell>
        </row>
        <row r="263">
          <cell r="B263">
            <v>452</v>
          </cell>
        </row>
        <row r="264">
          <cell r="B264">
            <v>453</v>
          </cell>
        </row>
        <row r="265">
          <cell r="B265">
            <v>454</v>
          </cell>
        </row>
        <row r="266">
          <cell r="B266">
            <v>455</v>
          </cell>
        </row>
        <row r="267">
          <cell r="B267">
            <v>456</v>
          </cell>
        </row>
        <row r="268">
          <cell r="B268">
            <v>457</v>
          </cell>
        </row>
        <row r="269">
          <cell r="B269">
            <v>458</v>
          </cell>
        </row>
        <row r="270">
          <cell r="B270">
            <v>459</v>
          </cell>
        </row>
        <row r="271">
          <cell r="B271">
            <v>460</v>
          </cell>
        </row>
        <row r="272">
          <cell r="B272">
            <v>461</v>
          </cell>
        </row>
        <row r="273">
          <cell r="B273">
            <v>462</v>
          </cell>
        </row>
        <row r="274">
          <cell r="B274">
            <v>463</v>
          </cell>
        </row>
        <row r="275">
          <cell r="B275">
            <v>464</v>
          </cell>
        </row>
        <row r="276">
          <cell r="B276">
            <v>465</v>
          </cell>
        </row>
        <row r="277">
          <cell r="B277">
            <v>466</v>
          </cell>
        </row>
        <row r="278">
          <cell r="B278">
            <v>467</v>
          </cell>
        </row>
        <row r="279">
          <cell r="B279">
            <v>468</v>
          </cell>
        </row>
        <row r="280">
          <cell r="B280">
            <v>469</v>
          </cell>
        </row>
        <row r="281">
          <cell r="B281">
            <v>470</v>
          </cell>
        </row>
        <row r="282">
          <cell r="B282">
            <v>471</v>
          </cell>
        </row>
        <row r="283">
          <cell r="B283">
            <v>472</v>
          </cell>
        </row>
        <row r="284">
          <cell r="B284">
            <v>473</v>
          </cell>
        </row>
        <row r="285">
          <cell r="B285">
            <v>474</v>
          </cell>
        </row>
        <row r="286">
          <cell r="B286">
            <v>475</v>
          </cell>
        </row>
        <row r="287">
          <cell r="B287">
            <v>476</v>
          </cell>
        </row>
        <row r="288">
          <cell r="B288">
            <v>477</v>
          </cell>
        </row>
        <row r="289">
          <cell r="B289">
            <v>478</v>
          </cell>
        </row>
        <row r="290">
          <cell r="B290">
            <v>479</v>
          </cell>
        </row>
        <row r="291">
          <cell r="B291">
            <v>480</v>
          </cell>
        </row>
        <row r="292">
          <cell r="B292">
            <v>481</v>
          </cell>
        </row>
        <row r="293">
          <cell r="B293">
            <v>482</v>
          </cell>
        </row>
        <row r="294">
          <cell r="B294">
            <v>483</v>
          </cell>
        </row>
        <row r="295">
          <cell r="B295">
            <v>484</v>
          </cell>
        </row>
        <row r="296">
          <cell r="B296">
            <v>485</v>
          </cell>
        </row>
        <row r="297">
          <cell r="B297">
            <v>486</v>
          </cell>
        </row>
        <row r="298">
          <cell r="B298">
            <v>487</v>
          </cell>
        </row>
        <row r="299">
          <cell r="B299">
            <v>488</v>
          </cell>
        </row>
        <row r="300">
          <cell r="B300">
            <v>489</v>
          </cell>
        </row>
        <row r="301">
          <cell r="B301">
            <v>490</v>
          </cell>
        </row>
        <row r="302">
          <cell r="B302">
            <v>491</v>
          </cell>
        </row>
        <row r="303">
          <cell r="B303">
            <v>492</v>
          </cell>
        </row>
        <row r="304">
          <cell r="B304">
            <v>493</v>
          </cell>
        </row>
        <row r="305">
          <cell r="B305">
            <v>494</v>
          </cell>
        </row>
        <row r="306">
          <cell r="B306">
            <v>495</v>
          </cell>
        </row>
        <row r="307">
          <cell r="B307">
            <v>496</v>
          </cell>
        </row>
        <row r="308">
          <cell r="B308">
            <v>497</v>
          </cell>
        </row>
        <row r="309">
          <cell r="B309">
            <v>498</v>
          </cell>
        </row>
        <row r="310">
          <cell r="B310">
            <v>499</v>
          </cell>
        </row>
        <row r="311">
          <cell r="B311">
            <v>500</v>
          </cell>
        </row>
        <row r="312">
          <cell r="B312">
            <v>501</v>
          </cell>
        </row>
        <row r="313">
          <cell r="B313">
            <v>502</v>
          </cell>
        </row>
        <row r="314">
          <cell r="B314">
            <v>503</v>
          </cell>
        </row>
        <row r="315">
          <cell r="B315">
            <v>504</v>
          </cell>
        </row>
        <row r="316">
          <cell r="B316">
            <v>505</v>
          </cell>
        </row>
        <row r="317">
          <cell r="B317">
            <v>506</v>
          </cell>
        </row>
        <row r="318">
          <cell r="B318">
            <v>507</v>
          </cell>
        </row>
        <row r="319">
          <cell r="B319">
            <v>508</v>
          </cell>
        </row>
        <row r="320">
          <cell r="B320">
            <v>509</v>
          </cell>
        </row>
        <row r="321">
          <cell r="B321">
            <v>510</v>
          </cell>
        </row>
        <row r="322">
          <cell r="B322">
            <v>511</v>
          </cell>
        </row>
        <row r="323">
          <cell r="B323">
            <v>512</v>
          </cell>
        </row>
        <row r="324">
          <cell r="B324">
            <v>513</v>
          </cell>
        </row>
        <row r="325">
          <cell r="B325">
            <v>514</v>
          </cell>
        </row>
        <row r="326">
          <cell r="B326">
            <v>515</v>
          </cell>
        </row>
        <row r="327">
          <cell r="B327">
            <v>516</v>
          </cell>
        </row>
        <row r="328">
          <cell r="B328">
            <v>517</v>
          </cell>
        </row>
        <row r="329">
          <cell r="B329">
            <v>518</v>
          </cell>
        </row>
        <row r="330">
          <cell r="B330">
            <v>519</v>
          </cell>
        </row>
        <row r="331">
          <cell r="B331">
            <v>520</v>
          </cell>
        </row>
        <row r="332">
          <cell r="B332">
            <v>521</v>
          </cell>
        </row>
        <row r="333">
          <cell r="B333">
            <v>522</v>
          </cell>
        </row>
        <row r="334">
          <cell r="B334">
            <v>523</v>
          </cell>
        </row>
        <row r="335">
          <cell r="B335">
            <v>524</v>
          </cell>
        </row>
        <row r="336">
          <cell r="B336">
            <v>525</v>
          </cell>
        </row>
        <row r="337">
          <cell r="B337">
            <v>526</v>
          </cell>
        </row>
        <row r="338">
          <cell r="B338">
            <v>527</v>
          </cell>
        </row>
        <row r="339">
          <cell r="B339">
            <v>528</v>
          </cell>
        </row>
        <row r="340">
          <cell r="B340">
            <v>529</v>
          </cell>
        </row>
        <row r="341">
          <cell r="B341">
            <v>530</v>
          </cell>
        </row>
        <row r="342">
          <cell r="B342">
            <v>531</v>
          </cell>
        </row>
        <row r="343">
          <cell r="B343">
            <v>532</v>
          </cell>
        </row>
        <row r="344">
          <cell r="B344">
            <v>533</v>
          </cell>
        </row>
        <row r="345">
          <cell r="B345">
            <v>534</v>
          </cell>
        </row>
        <row r="346">
          <cell r="B346">
            <v>535</v>
          </cell>
        </row>
        <row r="347">
          <cell r="B347">
            <v>536</v>
          </cell>
        </row>
        <row r="348">
          <cell r="B348">
            <v>537</v>
          </cell>
        </row>
        <row r="349">
          <cell r="B349">
            <v>538</v>
          </cell>
        </row>
        <row r="350">
          <cell r="B350">
            <v>539</v>
          </cell>
        </row>
        <row r="351">
          <cell r="B351">
            <v>540</v>
          </cell>
        </row>
        <row r="352">
          <cell r="B352">
            <v>108</v>
          </cell>
        </row>
        <row r="353">
          <cell r="B353">
            <v>109</v>
          </cell>
        </row>
        <row r="354">
          <cell r="B354">
            <v>110</v>
          </cell>
        </row>
        <row r="355">
          <cell r="B355">
            <v>129</v>
          </cell>
        </row>
        <row r="356">
          <cell r="B356">
            <v>130</v>
          </cell>
        </row>
        <row r="357">
          <cell r="B357">
            <v>131</v>
          </cell>
        </row>
        <row r="358">
          <cell r="B358">
            <v>132</v>
          </cell>
        </row>
        <row r="359">
          <cell r="B359">
            <v>133</v>
          </cell>
        </row>
        <row r="360">
          <cell r="B360">
            <v>134</v>
          </cell>
        </row>
        <row r="361">
          <cell r="B361">
            <v>135</v>
          </cell>
        </row>
        <row r="362">
          <cell r="B362">
            <v>136</v>
          </cell>
        </row>
        <row r="363">
          <cell r="B363">
            <v>137</v>
          </cell>
        </row>
        <row r="364">
          <cell r="B364">
            <v>138</v>
          </cell>
        </row>
        <row r="365">
          <cell r="B365">
            <v>139</v>
          </cell>
        </row>
        <row r="366">
          <cell r="B366">
            <v>140</v>
          </cell>
        </row>
        <row r="367">
          <cell r="B367">
            <v>141</v>
          </cell>
        </row>
        <row r="368">
          <cell r="B368">
            <v>142</v>
          </cell>
        </row>
        <row r="369">
          <cell r="B369">
            <v>143</v>
          </cell>
        </row>
        <row r="370">
          <cell r="B370">
            <v>144</v>
          </cell>
        </row>
        <row r="371">
          <cell r="B371">
            <v>145</v>
          </cell>
        </row>
        <row r="372">
          <cell r="B372">
            <v>146</v>
          </cell>
        </row>
        <row r="373">
          <cell r="B373">
            <v>4886</v>
          </cell>
        </row>
        <row r="374">
          <cell r="B374">
            <v>4921</v>
          </cell>
        </row>
        <row r="375">
          <cell r="B375">
            <v>4910</v>
          </cell>
        </row>
        <row r="376">
          <cell r="B376">
            <v>4836</v>
          </cell>
        </row>
        <row r="377">
          <cell r="B377">
            <v>4830</v>
          </cell>
        </row>
        <row r="378">
          <cell r="B378">
            <v>4915</v>
          </cell>
        </row>
        <row r="379">
          <cell r="B379">
            <v>4809</v>
          </cell>
        </row>
        <row r="380">
          <cell r="B380">
            <v>4806</v>
          </cell>
        </row>
        <row r="381">
          <cell r="B381">
            <v>4872</v>
          </cell>
        </row>
        <row r="382">
          <cell r="B382">
            <v>4801</v>
          </cell>
        </row>
        <row r="383">
          <cell r="B383">
            <v>4897</v>
          </cell>
        </row>
        <row r="384">
          <cell r="B384">
            <v>4817</v>
          </cell>
        </row>
        <row r="385">
          <cell r="B385">
            <v>4919</v>
          </cell>
        </row>
        <row r="386">
          <cell r="B386">
            <v>4924</v>
          </cell>
        </row>
        <row r="387">
          <cell r="B387">
            <v>4927</v>
          </cell>
        </row>
        <row r="388">
          <cell r="B388">
            <v>6889</v>
          </cell>
        </row>
        <row r="389">
          <cell r="B389">
            <v>6879</v>
          </cell>
        </row>
        <row r="390">
          <cell r="B390">
            <v>6895</v>
          </cell>
        </row>
        <row r="391">
          <cell r="B391">
            <v>6897</v>
          </cell>
        </row>
        <row r="392">
          <cell r="B392">
            <v>6944</v>
          </cell>
        </row>
        <row r="393">
          <cell r="B393">
            <v>7028</v>
          </cell>
        </row>
        <row r="394">
          <cell r="B394">
            <v>6923</v>
          </cell>
        </row>
        <row r="395">
          <cell r="B395">
            <v>6933</v>
          </cell>
        </row>
        <row r="396">
          <cell r="B396">
            <v>6940</v>
          </cell>
        </row>
        <row r="397">
          <cell r="B397">
            <v>6949</v>
          </cell>
        </row>
        <row r="398">
          <cell r="B398">
            <v>6952</v>
          </cell>
        </row>
        <row r="399">
          <cell r="B399">
            <v>541</v>
          </cell>
        </row>
        <row r="400">
          <cell r="B400">
            <v>542</v>
          </cell>
        </row>
        <row r="401">
          <cell r="B401">
            <v>543</v>
          </cell>
        </row>
        <row r="402">
          <cell r="B402">
            <v>544</v>
          </cell>
        </row>
        <row r="403">
          <cell r="B403">
            <v>545</v>
          </cell>
        </row>
        <row r="404">
          <cell r="B404">
            <v>546</v>
          </cell>
        </row>
        <row r="405">
          <cell r="B405">
            <v>547</v>
          </cell>
        </row>
        <row r="406">
          <cell r="B406">
            <v>548</v>
          </cell>
        </row>
        <row r="407">
          <cell r="B407">
            <v>549</v>
          </cell>
        </row>
        <row r="408">
          <cell r="B408">
            <v>550</v>
          </cell>
        </row>
        <row r="409">
          <cell r="B409">
            <v>551</v>
          </cell>
        </row>
        <row r="410">
          <cell r="B410">
            <v>552</v>
          </cell>
        </row>
        <row r="411">
          <cell r="B411">
            <v>553</v>
          </cell>
        </row>
        <row r="412">
          <cell r="B412">
            <v>554</v>
          </cell>
        </row>
        <row r="413">
          <cell r="B413">
            <v>555</v>
          </cell>
        </row>
        <row r="414">
          <cell r="B414">
            <v>556</v>
          </cell>
        </row>
        <row r="415">
          <cell r="B415">
            <v>557</v>
          </cell>
        </row>
        <row r="416">
          <cell r="B416">
            <v>558</v>
          </cell>
        </row>
        <row r="417">
          <cell r="B417">
            <v>559</v>
          </cell>
        </row>
        <row r="418">
          <cell r="B418">
            <v>560</v>
          </cell>
        </row>
        <row r="419">
          <cell r="B419">
            <v>561</v>
          </cell>
        </row>
        <row r="420">
          <cell r="B420">
            <v>562</v>
          </cell>
        </row>
        <row r="421">
          <cell r="B421">
            <v>563</v>
          </cell>
        </row>
        <row r="422">
          <cell r="B422">
            <v>564</v>
          </cell>
        </row>
        <row r="423">
          <cell r="B423">
            <v>565</v>
          </cell>
        </row>
        <row r="424">
          <cell r="B424">
            <v>566</v>
          </cell>
        </row>
        <row r="425">
          <cell r="B425">
            <v>567</v>
          </cell>
        </row>
        <row r="426">
          <cell r="B426">
            <v>568</v>
          </cell>
        </row>
        <row r="427">
          <cell r="B427">
            <v>569</v>
          </cell>
        </row>
        <row r="428">
          <cell r="B428">
            <v>570</v>
          </cell>
        </row>
        <row r="429">
          <cell r="B429">
            <v>571</v>
          </cell>
        </row>
        <row r="430">
          <cell r="B430">
            <v>572</v>
          </cell>
        </row>
        <row r="431">
          <cell r="B431">
            <v>573</v>
          </cell>
        </row>
        <row r="432">
          <cell r="B432">
            <v>574</v>
          </cell>
        </row>
        <row r="433">
          <cell r="B433">
            <v>575</v>
          </cell>
        </row>
        <row r="434">
          <cell r="B434">
            <v>576</v>
          </cell>
        </row>
        <row r="435">
          <cell r="B435">
            <v>577</v>
          </cell>
        </row>
        <row r="436">
          <cell r="B436">
            <v>578</v>
          </cell>
        </row>
        <row r="437">
          <cell r="B437">
            <v>579</v>
          </cell>
        </row>
        <row r="438">
          <cell r="B438">
            <v>580</v>
          </cell>
        </row>
        <row r="439">
          <cell r="B439">
            <v>581</v>
          </cell>
        </row>
        <row r="440">
          <cell r="B440">
            <v>582</v>
          </cell>
        </row>
        <row r="441">
          <cell r="B441">
            <v>583</v>
          </cell>
        </row>
        <row r="442">
          <cell r="B442">
            <v>584</v>
          </cell>
        </row>
        <row r="443">
          <cell r="B443">
            <v>585</v>
          </cell>
        </row>
        <row r="444">
          <cell r="B444">
            <v>586</v>
          </cell>
        </row>
        <row r="445">
          <cell r="B445">
            <v>587</v>
          </cell>
        </row>
        <row r="446">
          <cell r="B446">
            <v>588</v>
          </cell>
        </row>
        <row r="447">
          <cell r="B447">
            <v>589</v>
          </cell>
        </row>
        <row r="448">
          <cell r="B448">
            <v>590</v>
          </cell>
        </row>
        <row r="449">
          <cell r="B449">
            <v>591</v>
          </cell>
        </row>
        <row r="450">
          <cell r="B450">
            <v>592</v>
          </cell>
        </row>
        <row r="451">
          <cell r="B451">
            <v>593</v>
          </cell>
        </row>
        <row r="452">
          <cell r="B452">
            <v>594</v>
          </cell>
        </row>
        <row r="453">
          <cell r="B453">
            <v>595</v>
          </cell>
        </row>
        <row r="454">
          <cell r="B454">
            <v>596</v>
          </cell>
        </row>
        <row r="455">
          <cell r="B455">
            <v>597</v>
          </cell>
        </row>
        <row r="456">
          <cell r="B456">
            <v>598</v>
          </cell>
        </row>
        <row r="457">
          <cell r="B457">
            <v>599</v>
          </cell>
        </row>
        <row r="458">
          <cell r="B458">
            <v>600</v>
          </cell>
        </row>
        <row r="459">
          <cell r="B459">
            <v>601</v>
          </cell>
        </row>
        <row r="460">
          <cell r="B460">
            <v>602</v>
          </cell>
        </row>
        <row r="461">
          <cell r="B461">
            <v>603</v>
          </cell>
        </row>
        <row r="462">
          <cell r="B462">
            <v>604</v>
          </cell>
        </row>
        <row r="463">
          <cell r="B463">
            <v>605</v>
          </cell>
        </row>
        <row r="464">
          <cell r="B464">
            <v>606</v>
          </cell>
        </row>
        <row r="465">
          <cell r="B465">
            <v>607</v>
          </cell>
        </row>
        <row r="466">
          <cell r="B466">
            <v>608</v>
          </cell>
        </row>
        <row r="467">
          <cell r="B467">
            <v>609</v>
          </cell>
        </row>
        <row r="468">
          <cell r="B468">
            <v>610</v>
          </cell>
        </row>
        <row r="469">
          <cell r="B469">
            <v>611</v>
          </cell>
        </row>
        <row r="470">
          <cell r="B470">
            <v>612</v>
          </cell>
        </row>
        <row r="471">
          <cell r="B471">
            <v>613</v>
          </cell>
        </row>
        <row r="472">
          <cell r="B472">
            <v>614</v>
          </cell>
        </row>
        <row r="473">
          <cell r="B473">
            <v>615</v>
          </cell>
        </row>
        <row r="474">
          <cell r="B474">
            <v>616</v>
          </cell>
        </row>
        <row r="475">
          <cell r="B475">
            <v>617</v>
          </cell>
        </row>
        <row r="476">
          <cell r="B476">
            <v>618</v>
          </cell>
        </row>
        <row r="477">
          <cell r="B477">
            <v>619</v>
          </cell>
        </row>
        <row r="478">
          <cell r="B478">
            <v>620</v>
          </cell>
        </row>
        <row r="479">
          <cell r="B479">
            <v>621</v>
          </cell>
        </row>
        <row r="480">
          <cell r="B480">
            <v>622</v>
          </cell>
        </row>
        <row r="481">
          <cell r="B481">
            <v>623</v>
          </cell>
        </row>
        <row r="482">
          <cell r="B482">
            <v>624</v>
          </cell>
        </row>
        <row r="483">
          <cell r="B483">
            <v>625</v>
          </cell>
        </row>
        <row r="484">
          <cell r="B484">
            <v>626</v>
          </cell>
        </row>
        <row r="485">
          <cell r="B485">
            <v>627</v>
          </cell>
        </row>
        <row r="486">
          <cell r="B486">
            <v>628</v>
          </cell>
        </row>
        <row r="487">
          <cell r="B487">
            <v>629</v>
          </cell>
        </row>
        <row r="488">
          <cell r="B488">
            <v>630</v>
          </cell>
        </row>
        <row r="489">
          <cell r="B489">
            <v>631</v>
          </cell>
        </row>
        <row r="490">
          <cell r="B490">
            <v>632</v>
          </cell>
        </row>
        <row r="491">
          <cell r="B491">
            <v>633</v>
          </cell>
        </row>
        <row r="492">
          <cell r="B492">
            <v>634</v>
          </cell>
        </row>
        <row r="493">
          <cell r="B493">
            <v>635</v>
          </cell>
        </row>
        <row r="494">
          <cell r="B494">
            <v>636</v>
          </cell>
        </row>
        <row r="495">
          <cell r="B495">
            <v>637</v>
          </cell>
        </row>
        <row r="496">
          <cell r="B496">
            <v>638</v>
          </cell>
        </row>
        <row r="497">
          <cell r="B497">
            <v>639</v>
          </cell>
        </row>
        <row r="498">
          <cell r="B498">
            <v>640</v>
          </cell>
        </row>
        <row r="499">
          <cell r="B499">
            <v>641</v>
          </cell>
        </row>
        <row r="500">
          <cell r="B500">
            <v>642</v>
          </cell>
        </row>
        <row r="501">
          <cell r="B501">
            <v>643</v>
          </cell>
        </row>
        <row r="502">
          <cell r="B502">
            <v>644</v>
          </cell>
        </row>
        <row r="503">
          <cell r="B503">
            <v>645</v>
          </cell>
        </row>
        <row r="504">
          <cell r="B504">
            <v>646</v>
          </cell>
        </row>
        <row r="505">
          <cell r="B505">
            <v>647</v>
          </cell>
        </row>
        <row r="506">
          <cell r="B506">
            <v>648</v>
          </cell>
        </row>
        <row r="507">
          <cell r="B507">
            <v>649</v>
          </cell>
        </row>
        <row r="508">
          <cell r="B508">
            <v>650</v>
          </cell>
        </row>
        <row r="509">
          <cell r="B509">
            <v>651</v>
          </cell>
        </row>
        <row r="510">
          <cell r="B510">
            <v>652</v>
          </cell>
        </row>
        <row r="511">
          <cell r="B511">
            <v>653</v>
          </cell>
        </row>
        <row r="512">
          <cell r="B512">
            <v>654</v>
          </cell>
        </row>
        <row r="513">
          <cell r="B513">
            <v>655</v>
          </cell>
        </row>
        <row r="514">
          <cell r="B514">
            <v>656</v>
          </cell>
        </row>
        <row r="515">
          <cell r="B515">
            <v>657</v>
          </cell>
        </row>
        <row r="516">
          <cell r="B516">
            <v>658</v>
          </cell>
        </row>
        <row r="517">
          <cell r="B517">
            <v>659</v>
          </cell>
        </row>
        <row r="518">
          <cell r="B518">
            <v>660</v>
          </cell>
        </row>
        <row r="519">
          <cell r="B519">
            <v>661</v>
          </cell>
        </row>
        <row r="520">
          <cell r="B520">
            <v>662</v>
          </cell>
        </row>
        <row r="521">
          <cell r="B521">
            <v>663</v>
          </cell>
        </row>
        <row r="522">
          <cell r="B522">
            <v>664</v>
          </cell>
        </row>
        <row r="523">
          <cell r="B523">
            <v>665</v>
          </cell>
        </row>
        <row r="524">
          <cell r="B524">
            <v>666</v>
          </cell>
        </row>
        <row r="525">
          <cell r="B525">
            <v>667</v>
          </cell>
        </row>
        <row r="526">
          <cell r="B526">
            <v>668</v>
          </cell>
        </row>
        <row r="527">
          <cell r="B527">
            <v>669</v>
          </cell>
        </row>
        <row r="528">
          <cell r="B528">
            <v>670</v>
          </cell>
        </row>
        <row r="529">
          <cell r="B529">
            <v>671</v>
          </cell>
        </row>
        <row r="530">
          <cell r="B530">
            <v>672</v>
          </cell>
        </row>
        <row r="531">
          <cell r="B531">
            <v>673</v>
          </cell>
        </row>
        <row r="532">
          <cell r="B532">
            <v>674</v>
          </cell>
        </row>
        <row r="533">
          <cell r="B533">
            <v>675</v>
          </cell>
        </row>
        <row r="534">
          <cell r="B534">
            <v>676</v>
          </cell>
        </row>
        <row r="535">
          <cell r="B535">
            <v>677</v>
          </cell>
        </row>
        <row r="536">
          <cell r="B536">
            <v>678</v>
          </cell>
        </row>
        <row r="537">
          <cell r="B537">
            <v>679</v>
          </cell>
        </row>
        <row r="538">
          <cell r="B538">
            <v>680</v>
          </cell>
        </row>
        <row r="539">
          <cell r="B539">
            <v>681</v>
          </cell>
        </row>
        <row r="540">
          <cell r="B540">
            <v>682</v>
          </cell>
        </row>
        <row r="541">
          <cell r="B541">
            <v>683</v>
          </cell>
        </row>
        <row r="542">
          <cell r="B542">
            <v>684</v>
          </cell>
        </row>
        <row r="543">
          <cell r="B543">
            <v>685</v>
          </cell>
        </row>
        <row r="544">
          <cell r="B544">
            <v>686</v>
          </cell>
        </row>
        <row r="545">
          <cell r="B545">
            <v>687</v>
          </cell>
        </row>
        <row r="546">
          <cell r="B546">
            <v>688</v>
          </cell>
        </row>
        <row r="547">
          <cell r="B547">
            <v>689</v>
          </cell>
        </row>
        <row r="548">
          <cell r="B548">
            <v>690</v>
          </cell>
        </row>
        <row r="549">
          <cell r="B549">
            <v>691</v>
          </cell>
        </row>
        <row r="550">
          <cell r="B550">
            <v>692</v>
          </cell>
        </row>
        <row r="551">
          <cell r="B551">
            <v>693</v>
          </cell>
        </row>
        <row r="552">
          <cell r="B552">
            <v>694</v>
          </cell>
        </row>
        <row r="553">
          <cell r="B553">
            <v>695</v>
          </cell>
        </row>
        <row r="554">
          <cell r="B554">
            <v>696</v>
          </cell>
        </row>
        <row r="555">
          <cell r="B555">
            <v>697</v>
          </cell>
        </row>
        <row r="556">
          <cell r="B556">
            <v>698</v>
          </cell>
        </row>
        <row r="557">
          <cell r="B557">
            <v>699</v>
          </cell>
        </row>
        <row r="558">
          <cell r="B558">
            <v>700</v>
          </cell>
        </row>
        <row r="559">
          <cell r="B559">
            <v>701</v>
          </cell>
        </row>
        <row r="560">
          <cell r="B560">
            <v>702</v>
          </cell>
        </row>
        <row r="561">
          <cell r="B561">
            <v>703</v>
          </cell>
        </row>
        <row r="562">
          <cell r="B562">
            <v>704</v>
          </cell>
        </row>
        <row r="563">
          <cell r="B563">
            <v>705</v>
          </cell>
        </row>
        <row r="564">
          <cell r="B564">
            <v>706</v>
          </cell>
        </row>
        <row r="565">
          <cell r="B565">
            <v>707</v>
          </cell>
        </row>
        <row r="566">
          <cell r="B566">
            <v>708</v>
          </cell>
        </row>
        <row r="567">
          <cell r="B567">
            <v>709</v>
          </cell>
        </row>
        <row r="568">
          <cell r="B568">
            <v>710</v>
          </cell>
        </row>
        <row r="569">
          <cell r="B569">
            <v>711</v>
          </cell>
        </row>
        <row r="570">
          <cell r="B570">
            <v>712</v>
          </cell>
        </row>
        <row r="571">
          <cell r="B571">
            <v>713</v>
          </cell>
        </row>
        <row r="572">
          <cell r="B572">
            <v>714</v>
          </cell>
        </row>
        <row r="573">
          <cell r="B573">
            <v>715</v>
          </cell>
        </row>
        <row r="574">
          <cell r="B574">
            <v>716</v>
          </cell>
        </row>
        <row r="575">
          <cell r="B575">
            <v>717</v>
          </cell>
        </row>
        <row r="576">
          <cell r="B576">
            <v>718</v>
          </cell>
        </row>
        <row r="577">
          <cell r="B577">
            <v>719</v>
          </cell>
        </row>
        <row r="578">
          <cell r="B578">
            <v>720</v>
          </cell>
        </row>
        <row r="579">
          <cell r="B579">
            <v>721</v>
          </cell>
        </row>
        <row r="580">
          <cell r="B580">
            <v>722</v>
          </cell>
        </row>
        <row r="581">
          <cell r="B581">
            <v>723</v>
          </cell>
        </row>
        <row r="582">
          <cell r="B582">
            <v>724</v>
          </cell>
        </row>
        <row r="583">
          <cell r="B583">
            <v>725</v>
          </cell>
        </row>
        <row r="584">
          <cell r="B584">
            <v>726</v>
          </cell>
        </row>
        <row r="585">
          <cell r="B585">
            <v>727</v>
          </cell>
        </row>
        <row r="586">
          <cell r="B586">
            <v>728</v>
          </cell>
        </row>
        <row r="587">
          <cell r="B587">
            <v>729</v>
          </cell>
        </row>
        <row r="588">
          <cell r="B588">
            <v>730</v>
          </cell>
        </row>
        <row r="589">
          <cell r="B589">
            <v>731</v>
          </cell>
        </row>
        <row r="590">
          <cell r="B590">
            <v>732</v>
          </cell>
        </row>
        <row r="591">
          <cell r="B591">
            <v>733</v>
          </cell>
        </row>
        <row r="592">
          <cell r="B592">
            <v>734</v>
          </cell>
        </row>
        <row r="593">
          <cell r="B593">
            <v>735</v>
          </cell>
        </row>
        <row r="594">
          <cell r="B594">
            <v>736</v>
          </cell>
        </row>
        <row r="595">
          <cell r="B595">
            <v>737</v>
          </cell>
        </row>
        <row r="596">
          <cell r="B596">
            <v>738</v>
          </cell>
        </row>
        <row r="597">
          <cell r="B597">
            <v>739</v>
          </cell>
        </row>
        <row r="598">
          <cell r="B598">
            <v>740</v>
          </cell>
        </row>
        <row r="599">
          <cell r="B599">
            <v>741</v>
          </cell>
        </row>
        <row r="600">
          <cell r="B600">
            <v>742</v>
          </cell>
        </row>
        <row r="601">
          <cell r="B601">
            <v>743</v>
          </cell>
        </row>
        <row r="602">
          <cell r="B602">
            <v>744</v>
          </cell>
        </row>
        <row r="603">
          <cell r="B603">
            <v>745</v>
          </cell>
        </row>
        <row r="604">
          <cell r="B604">
            <v>746</v>
          </cell>
        </row>
        <row r="605">
          <cell r="B605">
            <v>747</v>
          </cell>
        </row>
        <row r="606">
          <cell r="B606">
            <v>748</v>
          </cell>
        </row>
        <row r="607">
          <cell r="B607">
            <v>749</v>
          </cell>
        </row>
        <row r="608">
          <cell r="B608">
            <v>750</v>
          </cell>
        </row>
        <row r="609">
          <cell r="B609">
            <v>751</v>
          </cell>
        </row>
        <row r="610">
          <cell r="B610">
            <v>752</v>
          </cell>
        </row>
        <row r="611">
          <cell r="B611">
            <v>753</v>
          </cell>
        </row>
        <row r="612">
          <cell r="B612">
            <v>754</v>
          </cell>
        </row>
        <row r="613">
          <cell r="B613">
            <v>755</v>
          </cell>
        </row>
        <row r="614">
          <cell r="B614">
            <v>756</v>
          </cell>
        </row>
        <row r="615">
          <cell r="B615">
            <v>757</v>
          </cell>
        </row>
        <row r="616">
          <cell r="B616">
            <v>758</v>
          </cell>
        </row>
        <row r="617">
          <cell r="B617">
            <v>759</v>
          </cell>
        </row>
        <row r="618">
          <cell r="B618">
            <v>760</v>
          </cell>
        </row>
        <row r="619">
          <cell r="B619">
            <v>761</v>
          </cell>
        </row>
        <row r="620">
          <cell r="B620">
            <v>762</v>
          </cell>
        </row>
        <row r="621">
          <cell r="B621">
            <v>763</v>
          </cell>
        </row>
        <row r="622">
          <cell r="B622">
            <v>764</v>
          </cell>
        </row>
        <row r="623">
          <cell r="B623">
            <v>765</v>
          </cell>
        </row>
        <row r="624">
          <cell r="B624">
            <v>766</v>
          </cell>
        </row>
        <row r="625">
          <cell r="B625">
            <v>767</v>
          </cell>
        </row>
        <row r="626">
          <cell r="B626">
            <v>768</v>
          </cell>
        </row>
        <row r="627">
          <cell r="B627">
            <v>769</v>
          </cell>
        </row>
        <row r="628">
          <cell r="B628">
            <v>770</v>
          </cell>
        </row>
        <row r="629">
          <cell r="B629">
            <v>771</v>
          </cell>
        </row>
        <row r="630">
          <cell r="B630">
            <v>772</v>
          </cell>
        </row>
        <row r="631">
          <cell r="B631">
            <v>773</v>
          </cell>
        </row>
        <row r="632">
          <cell r="B632">
            <v>774</v>
          </cell>
        </row>
        <row r="633">
          <cell r="B633">
            <v>775</v>
          </cell>
        </row>
        <row r="634">
          <cell r="B634">
            <v>776</v>
          </cell>
        </row>
        <row r="635">
          <cell r="B635">
            <v>777</v>
          </cell>
        </row>
        <row r="636">
          <cell r="B636">
            <v>778</v>
          </cell>
        </row>
        <row r="637">
          <cell r="B637">
            <v>779</v>
          </cell>
        </row>
        <row r="638">
          <cell r="B638">
            <v>780</v>
          </cell>
        </row>
        <row r="639">
          <cell r="B639">
            <v>781</v>
          </cell>
        </row>
        <row r="640">
          <cell r="B640">
            <v>782</v>
          </cell>
        </row>
        <row r="641">
          <cell r="B641">
            <v>783</v>
          </cell>
        </row>
        <row r="642">
          <cell r="B642">
            <v>784</v>
          </cell>
        </row>
        <row r="643">
          <cell r="B643">
            <v>785</v>
          </cell>
        </row>
        <row r="644">
          <cell r="B644">
            <v>786</v>
          </cell>
        </row>
        <row r="645">
          <cell r="B645">
            <v>787</v>
          </cell>
        </row>
        <row r="646">
          <cell r="B646">
            <v>788</v>
          </cell>
        </row>
        <row r="647">
          <cell r="B647">
            <v>789</v>
          </cell>
        </row>
        <row r="648">
          <cell r="B648">
            <v>790</v>
          </cell>
        </row>
        <row r="649">
          <cell r="B649">
            <v>791</v>
          </cell>
        </row>
        <row r="650">
          <cell r="B650">
            <v>792</v>
          </cell>
        </row>
        <row r="651">
          <cell r="B651">
            <v>793</v>
          </cell>
        </row>
        <row r="652">
          <cell r="B652">
            <v>794</v>
          </cell>
        </row>
        <row r="653">
          <cell r="B653">
            <v>795</v>
          </cell>
        </row>
        <row r="654">
          <cell r="B654">
            <v>796</v>
          </cell>
        </row>
        <row r="655">
          <cell r="B655">
            <v>797</v>
          </cell>
        </row>
        <row r="656">
          <cell r="B656">
            <v>798</v>
          </cell>
        </row>
        <row r="657">
          <cell r="B657">
            <v>799</v>
          </cell>
        </row>
        <row r="658">
          <cell r="B658">
            <v>800</v>
          </cell>
        </row>
        <row r="659">
          <cell r="B659">
            <v>801</v>
          </cell>
        </row>
        <row r="660">
          <cell r="B660">
            <v>802</v>
          </cell>
        </row>
        <row r="661">
          <cell r="B661">
            <v>803</v>
          </cell>
        </row>
        <row r="662">
          <cell r="B662">
            <v>804</v>
          </cell>
        </row>
        <row r="663">
          <cell r="B663">
            <v>805</v>
          </cell>
        </row>
        <row r="664">
          <cell r="B664">
            <v>806</v>
          </cell>
        </row>
        <row r="665">
          <cell r="B665">
            <v>807</v>
          </cell>
        </row>
        <row r="666">
          <cell r="B666">
            <v>808</v>
          </cell>
        </row>
        <row r="667">
          <cell r="B667">
            <v>809</v>
          </cell>
        </row>
        <row r="668">
          <cell r="B668">
            <v>810</v>
          </cell>
        </row>
        <row r="669">
          <cell r="B669">
            <v>811</v>
          </cell>
        </row>
        <row r="670">
          <cell r="B670">
            <v>812</v>
          </cell>
        </row>
        <row r="671">
          <cell r="B671">
            <v>813</v>
          </cell>
        </row>
        <row r="672">
          <cell r="B672">
            <v>814</v>
          </cell>
        </row>
        <row r="673">
          <cell r="B673">
            <v>815</v>
          </cell>
        </row>
        <row r="674">
          <cell r="B674">
            <v>816</v>
          </cell>
        </row>
        <row r="675">
          <cell r="B675">
            <v>817</v>
          </cell>
        </row>
        <row r="676">
          <cell r="B676">
            <v>818</v>
          </cell>
        </row>
        <row r="677">
          <cell r="B677">
            <v>819</v>
          </cell>
        </row>
        <row r="678">
          <cell r="B678">
            <v>820</v>
          </cell>
        </row>
        <row r="679">
          <cell r="B679">
            <v>821</v>
          </cell>
        </row>
        <row r="680">
          <cell r="B680">
            <v>822</v>
          </cell>
        </row>
        <row r="681">
          <cell r="B681">
            <v>823</v>
          </cell>
        </row>
        <row r="682">
          <cell r="B682">
            <v>824</v>
          </cell>
        </row>
        <row r="683">
          <cell r="B683">
            <v>825</v>
          </cell>
        </row>
        <row r="684">
          <cell r="B684">
            <v>826</v>
          </cell>
        </row>
        <row r="685">
          <cell r="B685">
            <v>827</v>
          </cell>
        </row>
        <row r="686">
          <cell r="B686">
            <v>828</v>
          </cell>
        </row>
        <row r="687">
          <cell r="B687">
            <v>829</v>
          </cell>
        </row>
        <row r="688">
          <cell r="B688">
            <v>830</v>
          </cell>
        </row>
        <row r="689">
          <cell r="B689">
            <v>831</v>
          </cell>
        </row>
        <row r="690">
          <cell r="B690">
            <v>832</v>
          </cell>
        </row>
        <row r="691">
          <cell r="B691">
            <v>833</v>
          </cell>
        </row>
        <row r="692">
          <cell r="B692">
            <v>834</v>
          </cell>
        </row>
        <row r="693">
          <cell r="B693">
            <v>835</v>
          </cell>
        </row>
        <row r="694">
          <cell r="B694">
            <v>836</v>
          </cell>
        </row>
        <row r="695">
          <cell r="B695">
            <v>837</v>
          </cell>
        </row>
        <row r="696">
          <cell r="B696">
            <v>838</v>
          </cell>
        </row>
        <row r="697">
          <cell r="B697">
            <v>839</v>
          </cell>
        </row>
        <row r="698">
          <cell r="B698">
            <v>840</v>
          </cell>
        </row>
        <row r="699">
          <cell r="B699">
            <v>841</v>
          </cell>
        </row>
        <row r="700">
          <cell r="B700">
            <v>842</v>
          </cell>
        </row>
        <row r="701">
          <cell r="B701">
            <v>843</v>
          </cell>
        </row>
        <row r="702">
          <cell r="B702">
            <v>844</v>
          </cell>
        </row>
        <row r="703">
          <cell r="B703">
            <v>845</v>
          </cell>
        </row>
        <row r="704">
          <cell r="B704">
            <v>846</v>
          </cell>
        </row>
        <row r="705">
          <cell r="B705">
            <v>847</v>
          </cell>
        </row>
        <row r="706">
          <cell r="B706">
            <v>848</v>
          </cell>
        </row>
        <row r="707">
          <cell r="B707">
            <v>849</v>
          </cell>
        </row>
        <row r="708">
          <cell r="B708">
            <v>850</v>
          </cell>
        </row>
        <row r="709">
          <cell r="B709">
            <v>851</v>
          </cell>
        </row>
        <row r="710">
          <cell r="B710">
            <v>852</v>
          </cell>
        </row>
        <row r="711">
          <cell r="B711">
            <v>853</v>
          </cell>
        </row>
        <row r="712">
          <cell r="B712">
            <v>854</v>
          </cell>
        </row>
        <row r="713">
          <cell r="B713">
            <v>855</v>
          </cell>
        </row>
        <row r="714">
          <cell r="B714">
            <v>856</v>
          </cell>
        </row>
        <row r="715">
          <cell r="B715">
            <v>857</v>
          </cell>
        </row>
        <row r="716">
          <cell r="B716">
            <v>858</v>
          </cell>
        </row>
        <row r="717">
          <cell r="B717">
            <v>859</v>
          </cell>
        </row>
        <row r="718">
          <cell r="B718">
            <v>860</v>
          </cell>
        </row>
        <row r="719">
          <cell r="B719">
            <v>861</v>
          </cell>
        </row>
        <row r="720">
          <cell r="B720">
            <v>862</v>
          </cell>
        </row>
        <row r="721">
          <cell r="B721">
            <v>863</v>
          </cell>
        </row>
        <row r="722">
          <cell r="B722">
            <v>864</v>
          </cell>
        </row>
        <row r="723">
          <cell r="B723">
            <v>865</v>
          </cell>
        </row>
        <row r="724">
          <cell r="B724">
            <v>866</v>
          </cell>
        </row>
        <row r="725">
          <cell r="B725">
            <v>867</v>
          </cell>
        </row>
        <row r="726">
          <cell r="B726">
            <v>868</v>
          </cell>
        </row>
        <row r="727">
          <cell r="B727">
            <v>869</v>
          </cell>
        </row>
        <row r="728">
          <cell r="B728">
            <v>870</v>
          </cell>
        </row>
        <row r="729">
          <cell r="B729">
            <v>871</v>
          </cell>
        </row>
        <row r="730">
          <cell r="B730">
            <v>872</v>
          </cell>
        </row>
        <row r="731">
          <cell r="B731">
            <v>873</v>
          </cell>
        </row>
        <row r="732">
          <cell r="B732">
            <v>874</v>
          </cell>
        </row>
        <row r="733">
          <cell r="B733">
            <v>875</v>
          </cell>
        </row>
        <row r="734">
          <cell r="B734">
            <v>876</v>
          </cell>
        </row>
        <row r="735">
          <cell r="B735">
            <v>877</v>
          </cell>
        </row>
        <row r="736">
          <cell r="B736">
            <v>878</v>
          </cell>
        </row>
        <row r="737">
          <cell r="B737">
            <v>879</v>
          </cell>
        </row>
        <row r="738">
          <cell r="B738">
            <v>880</v>
          </cell>
        </row>
        <row r="739">
          <cell r="B739">
            <v>881</v>
          </cell>
        </row>
        <row r="740">
          <cell r="B740">
            <v>882</v>
          </cell>
        </row>
        <row r="741">
          <cell r="B741">
            <v>883</v>
          </cell>
        </row>
        <row r="742">
          <cell r="B742">
            <v>884</v>
          </cell>
        </row>
        <row r="743">
          <cell r="B743">
            <v>885</v>
          </cell>
        </row>
        <row r="744">
          <cell r="B744">
            <v>886</v>
          </cell>
        </row>
        <row r="745">
          <cell r="B745">
            <v>887</v>
          </cell>
        </row>
        <row r="746">
          <cell r="B746">
            <v>888</v>
          </cell>
        </row>
        <row r="747">
          <cell r="B747">
            <v>889</v>
          </cell>
        </row>
        <row r="748">
          <cell r="B748">
            <v>890</v>
          </cell>
        </row>
        <row r="749">
          <cell r="B749">
            <v>891</v>
          </cell>
        </row>
        <row r="750">
          <cell r="B750">
            <v>892</v>
          </cell>
        </row>
        <row r="751">
          <cell r="B751">
            <v>893</v>
          </cell>
        </row>
        <row r="752">
          <cell r="B752">
            <v>894</v>
          </cell>
        </row>
        <row r="753">
          <cell r="B753">
            <v>895</v>
          </cell>
        </row>
        <row r="754">
          <cell r="B754">
            <v>896</v>
          </cell>
        </row>
        <row r="755">
          <cell r="B755">
            <v>897</v>
          </cell>
        </row>
        <row r="756">
          <cell r="B756">
            <v>898</v>
          </cell>
        </row>
        <row r="757">
          <cell r="B757">
            <v>899</v>
          </cell>
        </row>
        <row r="758">
          <cell r="B758">
            <v>900</v>
          </cell>
        </row>
        <row r="759">
          <cell r="B759">
            <v>901</v>
          </cell>
        </row>
        <row r="760">
          <cell r="B760">
            <v>902</v>
          </cell>
        </row>
        <row r="761">
          <cell r="B761">
            <v>903</v>
          </cell>
        </row>
        <row r="762">
          <cell r="B762">
            <v>904</v>
          </cell>
        </row>
        <row r="763">
          <cell r="B763">
            <v>905</v>
          </cell>
        </row>
        <row r="764">
          <cell r="B764">
            <v>906</v>
          </cell>
        </row>
        <row r="765">
          <cell r="B765">
            <v>907</v>
          </cell>
        </row>
        <row r="766">
          <cell r="B766">
            <v>908</v>
          </cell>
        </row>
        <row r="767">
          <cell r="B767">
            <v>909</v>
          </cell>
        </row>
        <row r="768">
          <cell r="B768">
            <v>910</v>
          </cell>
        </row>
        <row r="769">
          <cell r="B769">
            <v>911</v>
          </cell>
        </row>
        <row r="770">
          <cell r="B770">
            <v>912</v>
          </cell>
        </row>
        <row r="771">
          <cell r="B771">
            <v>913</v>
          </cell>
        </row>
        <row r="772">
          <cell r="B772">
            <v>914</v>
          </cell>
        </row>
        <row r="773">
          <cell r="B773">
            <v>915</v>
          </cell>
        </row>
        <row r="774">
          <cell r="B774">
            <v>916</v>
          </cell>
        </row>
        <row r="775">
          <cell r="B775">
            <v>917</v>
          </cell>
        </row>
        <row r="776">
          <cell r="B776">
            <v>918</v>
          </cell>
        </row>
        <row r="777">
          <cell r="B777">
            <v>919</v>
          </cell>
        </row>
        <row r="778">
          <cell r="B778">
            <v>920</v>
          </cell>
        </row>
        <row r="779">
          <cell r="B779">
            <v>921</v>
          </cell>
        </row>
        <row r="780">
          <cell r="B780">
            <v>922</v>
          </cell>
        </row>
        <row r="781">
          <cell r="B781">
            <v>923</v>
          </cell>
        </row>
        <row r="782">
          <cell r="B782">
            <v>924</v>
          </cell>
        </row>
        <row r="783">
          <cell r="B783">
            <v>925</v>
          </cell>
        </row>
        <row r="784">
          <cell r="B784">
            <v>926</v>
          </cell>
        </row>
        <row r="785">
          <cell r="B785">
            <v>927</v>
          </cell>
        </row>
        <row r="786">
          <cell r="B786">
            <v>928</v>
          </cell>
        </row>
        <row r="787">
          <cell r="B787">
            <v>929</v>
          </cell>
        </row>
        <row r="788">
          <cell r="B788">
            <v>930</v>
          </cell>
        </row>
        <row r="789">
          <cell r="B789">
            <v>931</v>
          </cell>
        </row>
        <row r="790">
          <cell r="B790">
            <v>932</v>
          </cell>
        </row>
        <row r="791">
          <cell r="B791">
            <v>933</v>
          </cell>
        </row>
        <row r="792">
          <cell r="B792">
            <v>934</v>
          </cell>
        </row>
        <row r="793">
          <cell r="B793">
            <v>935</v>
          </cell>
        </row>
        <row r="794">
          <cell r="B794">
            <v>936</v>
          </cell>
        </row>
        <row r="795">
          <cell r="B795">
            <v>937</v>
          </cell>
        </row>
        <row r="796">
          <cell r="B796">
            <v>938</v>
          </cell>
        </row>
        <row r="797">
          <cell r="B797">
            <v>939</v>
          </cell>
        </row>
        <row r="798">
          <cell r="B798">
            <v>940</v>
          </cell>
        </row>
        <row r="799">
          <cell r="B799">
            <v>941</v>
          </cell>
        </row>
        <row r="800">
          <cell r="B800">
            <v>942</v>
          </cell>
        </row>
        <row r="801">
          <cell r="B801">
            <v>943</v>
          </cell>
        </row>
        <row r="802">
          <cell r="B802">
            <v>944</v>
          </cell>
        </row>
        <row r="803">
          <cell r="B803">
            <v>945</v>
          </cell>
        </row>
        <row r="804">
          <cell r="B804">
            <v>946</v>
          </cell>
        </row>
        <row r="805">
          <cell r="B805">
            <v>947</v>
          </cell>
        </row>
        <row r="806">
          <cell r="B806">
            <v>948</v>
          </cell>
        </row>
        <row r="807">
          <cell r="B807">
            <v>949</v>
          </cell>
        </row>
        <row r="808">
          <cell r="B808">
            <v>950</v>
          </cell>
        </row>
        <row r="809">
          <cell r="B809">
            <v>951</v>
          </cell>
        </row>
        <row r="810">
          <cell r="B810">
            <v>952</v>
          </cell>
        </row>
        <row r="811">
          <cell r="B811">
            <v>953</v>
          </cell>
        </row>
        <row r="812">
          <cell r="B812">
            <v>954</v>
          </cell>
        </row>
        <row r="813">
          <cell r="B813">
            <v>955</v>
          </cell>
        </row>
        <row r="814">
          <cell r="B814">
            <v>956</v>
          </cell>
        </row>
        <row r="815">
          <cell r="B815">
            <v>957</v>
          </cell>
        </row>
        <row r="816">
          <cell r="B816">
            <v>958</v>
          </cell>
        </row>
        <row r="817">
          <cell r="B817">
            <v>959</v>
          </cell>
        </row>
        <row r="818">
          <cell r="B818">
            <v>960</v>
          </cell>
        </row>
        <row r="819">
          <cell r="B819">
            <v>961</v>
          </cell>
        </row>
        <row r="820">
          <cell r="B820">
            <v>962</v>
          </cell>
        </row>
        <row r="821">
          <cell r="B821">
            <v>963</v>
          </cell>
        </row>
        <row r="822">
          <cell r="B822">
            <v>964</v>
          </cell>
        </row>
        <row r="823">
          <cell r="B823">
            <v>965</v>
          </cell>
        </row>
        <row r="824">
          <cell r="B824">
            <v>966</v>
          </cell>
        </row>
        <row r="825">
          <cell r="B825">
            <v>967</v>
          </cell>
        </row>
        <row r="826">
          <cell r="B826">
            <v>968</v>
          </cell>
        </row>
        <row r="827">
          <cell r="B827">
            <v>969</v>
          </cell>
        </row>
        <row r="828">
          <cell r="B828">
            <v>970</v>
          </cell>
        </row>
        <row r="829">
          <cell r="B829">
            <v>971</v>
          </cell>
        </row>
        <row r="830">
          <cell r="B830">
            <v>972</v>
          </cell>
        </row>
        <row r="831">
          <cell r="B831">
            <v>973</v>
          </cell>
        </row>
        <row r="832">
          <cell r="B832">
            <v>974</v>
          </cell>
        </row>
        <row r="833">
          <cell r="B833">
            <v>975</v>
          </cell>
        </row>
        <row r="834">
          <cell r="B834">
            <v>976</v>
          </cell>
        </row>
        <row r="835">
          <cell r="B835">
            <v>977</v>
          </cell>
        </row>
        <row r="836">
          <cell r="B836">
            <v>978</v>
          </cell>
        </row>
        <row r="837">
          <cell r="B837">
            <v>979</v>
          </cell>
        </row>
        <row r="838">
          <cell r="B838">
            <v>980</v>
          </cell>
        </row>
        <row r="839">
          <cell r="B839">
            <v>981</v>
          </cell>
        </row>
        <row r="840">
          <cell r="B840">
            <v>982</v>
          </cell>
        </row>
        <row r="841">
          <cell r="B841">
            <v>983</v>
          </cell>
        </row>
        <row r="842">
          <cell r="B842">
            <v>984</v>
          </cell>
        </row>
        <row r="843">
          <cell r="B843">
            <v>985</v>
          </cell>
        </row>
        <row r="844">
          <cell r="B844">
            <v>986</v>
          </cell>
        </row>
        <row r="845">
          <cell r="B845">
            <v>987</v>
          </cell>
        </row>
        <row r="846">
          <cell r="B846">
            <v>988</v>
          </cell>
        </row>
        <row r="847">
          <cell r="B847">
            <v>989</v>
          </cell>
        </row>
        <row r="848">
          <cell r="B848">
            <v>990</v>
          </cell>
        </row>
        <row r="849">
          <cell r="B849">
            <v>991</v>
          </cell>
        </row>
        <row r="850">
          <cell r="B850">
            <v>992</v>
          </cell>
        </row>
        <row r="851">
          <cell r="B851">
            <v>993</v>
          </cell>
        </row>
        <row r="852">
          <cell r="B852">
            <v>994</v>
          </cell>
        </row>
        <row r="853">
          <cell r="B853">
            <v>995</v>
          </cell>
        </row>
        <row r="854">
          <cell r="B854">
            <v>996</v>
          </cell>
        </row>
        <row r="855">
          <cell r="B855">
            <v>997</v>
          </cell>
        </row>
        <row r="856">
          <cell r="B856">
            <v>998</v>
          </cell>
        </row>
        <row r="857">
          <cell r="B857">
            <v>999</v>
          </cell>
        </row>
        <row r="858">
          <cell r="B858">
            <v>1000</v>
          </cell>
        </row>
        <row r="859">
          <cell r="B859">
            <v>1001</v>
          </cell>
        </row>
        <row r="860">
          <cell r="B860">
            <v>1002</v>
          </cell>
        </row>
        <row r="861">
          <cell r="B861">
            <v>1003</v>
          </cell>
        </row>
        <row r="862">
          <cell r="B862">
            <v>1004</v>
          </cell>
        </row>
        <row r="863">
          <cell r="B863">
            <v>1005</v>
          </cell>
        </row>
        <row r="864">
          <cell r="B864">
            <v>1006</v>
          </cell>
        </row>
        <row r="865">
          <cell r="B865">
            <v>1007</v>
          </cell>
        </row>
        <row r="866">
          <cell r="B866">
            <v>1008</v>
          </cell>
        </row>
        <row r="867">
          <cell r="B867">
            <v>1009</v>
          </cell>
        </row>
        <row r="868">
          <cell r="B868">
            <v>1010</v>
          </cell>
        </row>
        <row r="869">
          <cell r="B869">
            <v>1011</v>
          </cell>
        </row>
        <row r="870">
          <cell r="B870">
            <v>1012</v>
          </cell>
        </row>
        <row r="871">
          <cell r="B871">
            <v>1013</v>
          </cell>
        </row>
        <row r="872">
          <cell r="B872">
            <v>1014</v>
          </cell>
        </row>
        <row r="873">
          <cell r="B873">
            <v>1015</v>
          </cell>
        </row>
        <row r="874">
          <cell r="B874">
            <v>1016</v>
          </cell>
        </row>
        <row r="875">
          <cell r="B875">
            <v>1017</v>
          </cell>
        </row>
        <row r="876">
          <cell r="B876">
            <v>1018</v>
          </cell>
        </row>
        <row r="877">
          <cell r="B877">
            <v>1019</v>
          </cell>
        </row>
        <row r="878">
          <cell r="B878">
            <v>1020</v>
          </cell>
        </row>
        <row r="879">
          <cell r="B879">
            <v>1021</v>
          </cell>
        </row>
        <row r="880">
          <cell r="B880">
            <v>1022</v>
          </cell>
        </row>
        <row r="881">
          <cell r="B881">
            <v>1023</v>
          </cell>
        </row>
        <row r="882">
          <cell r="B882">
            <v>1024</v>
          </cell>
        </row>
        <row r="883">
          <cell r="B883">
            <v>1025</v>
          </cell>
        </row>
        <row r="884">
          <cell r="B884">
            <v>1026</v>
          </cell>
        </row>
        <row r="885">
          <cell r="B885">
            <v>1027</v>
          </cell>
        </row>
        <row r="886">
          <cell r="B886">
            <v>1028</v>
          </cell>
        </row>
        <row r="887">
          <cell r="B887">
            <v>1029</v>
          </cell>
        </row>
        <row r="888">
          <cell r="B888">
            <v>1030</v>
          </cell>
        </row>
        <row r="889">
          <cell r="B889">
            <v>1031</v>
          </cell>
        </row>
        <row r="890">
          <cell r="B890">
            <v>1032</v>
          </cell>
        </row>
        <row r="891">
          <cell r="B891">
            <v>1033</v>
          </cell>
        </row>
        <row r="892">
          <cell r="B892">
            <v>1034</v>
          </cell>
        </row>
        <row r="893">
          <cell r="B893">
            <v>1035</v>
          </cell>
        </row>
        <row r="894">
          <cell r="B894">
            <v>1036</v>
          </cell>
        </row>
        <row r="895">
          <cell r="B895">
            <v>1037</v>
          </cell>
        </row>
        <row r="896">
          <cell r="B896">
            <v>1038</v>
          </cell>
        </row>
        <row r="897">
          <cell r="B897">
            <v>1039</v>
          </cell>
        </row>
        <row r="898">
          <cell r="B898">
            <v>1040</v>
          </cell>
        </row>
        <row r="899">
          <cell r="B899">
            <v>1041</v>
          </cell>
        </row>
        <row r="900">
          <cell r="B900">
            <v>1042</v>
          </cell>
        </row>
        <row r="901">
          <cell r="B901">
            <v>1043</v>
          </cell>
        </row>
        <row r="902">
          <cell r="B902">
            <v>1044</v>
          </cell>
        </row>
        <row r="903">
          <cell r="B903">
            <v>1045</v>
          </cell>
        </row>
        <row r="904">
          <cell r="B904">
            <v>1046</v>
          </cell>
        </row>
        <row r="905">
          <cell r="B905">
            <v>1047</v>
          </cell>
        </row>
        <row r="906">
          <cell r="B906">
            <v>1048</v>
          </cell>
        </row>
        <row r="907">
          <cell r="B907">
            <v>1049</v>
          </cell>
        </row>
        <row r="908">
          <cell r="B908">
            <v>1050</v>
          </cell>
        </row>
        <row r="909">
          <cell r="B909">
            <v>1051</v>
          </cell>
        </row>
        <row r="910">
          <cell r="B910">
            <v>1052</v>
          </cell>
        </row>
        <row r="911">
          <cell r="B911">
            <v>1053</v>
          </cell>
        </row>
        <row r="912">
          <cell r="B912">
            <v>1054</v>
          </cell>
        </row>
        <row r="913">
          <cell r="B913">
            <v>1055</v>
          </cell>
        </row>
        <row r="914">
          <cell r="B914">
            <v>1056</v>
          </cell>
        </row>
        <row r="915">
          <cell r="B915">
            <v>1057</v>
          </cell>
        </row>
        <row r="916">
          <cell r="B916">
            <v>1058</v>
          </cell>
        </row>
        <row r="917">
          <cell r="B917">
            <v>1059</v>
          </cell>
        </row>
        <row r="918">
          <cell r="B918">
            <v>1060</v>
          </cell>
        </row>
        <row r="919">
          <cell r="B919">
            <v>1061</v>
          </cell>
        </row>
        <row r="920">
          <cell r="B920">
            <v>1062</v>
          </cell>
        </row>
        <row r="921">
          <cell r="B921">
            <v>1063</v>
          </cell>
        </row>
        <row r="922">
          <cell r="B922">
            <v>1064</v>
          </cell>
        </row>
        <row r="923">
          <cell r="B923">
            <v>1065</v>
          </cell>
        </row>
        <row r="924">
          <cell r="B924">
            <v>1066</v>
          </cell>
        </row>
        <row r="925">
          <cell r="B925">
            <v>1067</v>
          </cell>
        </row>
        <row r="926">
          <cell r="B926">
            <v>1068</v>
          </cell>
        </row>
        <row r="927">
          <cell r="A927" t="str">
            <v>чиким Итог</v>
          </cell>
        </row>
        <row r="928">
          <cell r="A928" t="str">
            <v>Общий итог</v>
          </cell>
        </row>
        <row r="1620">
          <cell r="B1620">
            <v>738</v>
          </cell>
        </row>
        <row r="4572">
          <cell r="B457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 учете"/>
      <sheetName val="Раб.места"/>
      <sheetName val="Перепод."/>
      <sheetName val="Общ.работ."/>
      <sheetName val="Зан-ть(р-ны)"/>
      <sheetName val="оборот"/>
      <sheetName val="Лист1"/>
      <sheetName val="Лист3"/>
      <sheetName val="Store"/>
      <sheetName val="На_учете"/>
      <sheetName val="Раб_места"/>
      <sheetName val="Перепод_"/>
      <sheetName val="Общ_работ_"/>
      <sheetName val="выполнение"/>
    </sheetNames>
    <sheetDataSet>
      <sheetData sheetId="0"/>
      <sheetData sheetId="1"/>
      <sheetData sheetId="2"/>
      <sheetData sheetId="3"/>
      <sheetData sheetId="4">
        <row r="5">
          <cell r="E5" t="str">
            <v>в том числе</v>
          </cell>
        </row>
      </sheetData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92D050"/>
    <pageSetUpPr fitToPage="1"/>
  </sheetPr>
  <dimension ref="A1:AD974"/>
  <sheetViews>
    <sheetView showZeros="0" view="pageBreakPreview" topLeftCell="G28" zoomScale="55" zoomScaleNormal="85" zoomScaleSheetLayoutView="55" workbookViewId="0">
      <selection activeCell="AD36" sqref="AD36"/>
    </sheetView>
  </sheetViews>
  <sheetFormatPr defaultColWidth="9.140625" defaultRowHeight="15" customHeight="1" outlineLevelCol="1"/>
  <cols>
    <col min="1" max="1" width="10" style="8" customWidth="1"/>
    <col min="2" max="2" width="16.5703125" style="8" customWidth="1"/>
    <col min="3" max="4" width="18.5703125" style="8" customWidth="1"/>
    <col min="5" max="5" width="17.28515625" style="8" customWidth="1" outlineLevel="1"/>
    <col min="6" max="6" width="18.5703125" style="8" customWidth="1" outlineLevel="1"/>
    <col min="7" max="7" width="41" style="8" customWidth="1"/>
    <col min="8" max="8" width="45.7109375" style="8" customWidth="1"/>
    <col min="9" max="9" width="23" style="8" customWidth="1"/>
    <col min="10" max="10" width="43.28515625" style="8" customWidth="1" outlineLevel="1"/>
    <col min="11" max="11" width="16.28515625" style="8" customWidth="1"/>
    <col min="12" max="12" width="16.28515625" style="8" customWidth="1" outlineLevel="1"/>
    <col min="13" max="13" width="16.28515625" style="8" customWidth="1"/>
    <col min="14" max="16" width="16.28515625" style="8" customWidth="1" outlineLevel="1"/>
    <col min="17" max="17" width="16.28515625" style="8" customWidth="1"/>
    <col min="18" max="18" width="16.28515625" style="8" customWidth="1" outlineLevel="1"/>
    <col min="19" max="19" width="16.28515625" style="8" customWidth="1"/>
    <col min="20" max="20" width="16.28515625" style="8" customWidth="1" outlineLevel="1"/>
    <col min="21" max="22" width="16.28515625" style="8" customWidth="1"/>
    <col min="23" max="23" width="18.140625" style="8" customWidth="1" outlineLevel="1"/>
    <col min="24" max="24" width="13.42578125" style="8" customWidth="1" outlineLevel="1"/>
    <col min="25" max="25" width="15" style="8" customWidth="1"/>
    <col min="26" max="26" width="15" style="8" customWidth="1" outlineLevel="1"/>
    <col min="27" max="27" width="17.42578125" style="8" customWidth="1"/>
    <col min="28" max="29" width="17.42578125" style="8" customWidth="1" outlineLevel="1"/>
    <col min="30" max="30" width="25.5703125" style="8" customWidth="1"/>
    <col min="31" max="16384" width="9.140625" style="8"/>
  </cols>
  <sheetData>
    <row r="1" spans="1:30" s="7" customFormat="1" ht="102.75" customHeight="1">
      <c r="A1" s="115" t="s">
        <v>2020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</row>
    <row r="2" spans="1:30" s="7" customFormat="1" ht="49.5" customHeight="1">
      <c r="A2" s="100" t="s">
        <v>5</v>
      </c>
      <c r="B2" s="97" t="s">
        <v>109</v>
      </c>
      <c r="C2" s="100" t="s">
        <v>85</v>
      </c>
      <c r="D2" s="100" t="s">
        <v>15</v>
      </c>
      <c r="E2" s="97" t="s">
        <v>110</v>
      </c>
      <c r="F2" s="97" t="s">
        <v>87</v>
      </c>
      <c r="G2" s="100" t="s">
        <v>16</v>
      </c>
      <c r="H2" s="100" t="s">
        <v>17</v>
      </c>
      <c r="I2" s="100" t="s">
        <v>18</v>
      </c>
      <c r="J2" s="100" t="s">
        <v>35</v>
      </c>
      <c r="K2" s="101" t="s">
        <v>19</v>
      </c>
      <c r="L2" s="102"/>
      <c r="M2" s="106" t="s">
        <v>20</v>
      </c>
      <c r="N2" s="107"/>
      <c r="O2" s="107"/>
      <c r="P2" s="107"/>
      <c r="Q2" s="107"/>
      <c r="R2" s="107"/>
      <c r="S2" s="107"/>
      <c r="T2" s="107"/>
      <c r="U2" s="107"/>
      <c r="V2" s="108"/>
      <c r="W2" s="100" t="s">
        <v>21</v>
      </c>
      <c r="X2" s="100"/>
      <c r="Y2" s="109" t="s">
        <v>70</v>
      </c>
      <c r="Z2" s="110"/>
      <c r="AA2" s="116" t="s">
        <v>22</v>
      </c>
      <c r="AB2" s="116"/>
      <c r="AC2" s="117" t="s">
        <v>1955</v>
      </c>
      <c r="AD2" s="100" t="s">
        <v>86</v>
      </c>
    </row>
    <row r="3" spans="1:30" s="7" customFormat="1" ht="26.45" customHeight="1">
      <c r="A3" s="100"/>
      <c r="B3" s="98"/>
      <c r="C3" s="100"/>
      <c r="D3" s="100"/>
      <c r="E3" s="98"/>
      <c r="F3" s="98"/>
      <c r="G3" s="100"/>
      <c r="H3" s="100"/>
      <c r="I3" s="100"/>
      <c r="J3" s="100"/>
      <c r="K3" s="120"/>
      <c r="L3" s="121"/>
      <c r="M3" s="101" t="s">
        <v>26</v>
      </c>
      <c r="N3" s="102"/>
      <c r="O3" s="101" t="s">
        <v>2060</v>
      </c>
      <c r="P3" s="102"/>
      <c r="Q3" s="101" t="s">
        <v>27</v>
      </c>
      <c r="R3" s="102"/>
      <c r="S3" s="101" t="s">
        <v>28</v>
      </c>
      <c r="T3" s="102"/>
      <c r="U3" s="101" t="s">
        <v>71</v>
      </c>
      <c r="V3" s="102"/>
      <c r="W3" s="97" t="s">
        <v>91</v>
      </c>
      <c r="X3" s="97" t="s">
        <v>92</v>
      </c>
      <c r="Y3" s="111"/>
      <c r="Z3" s="112"/>
      <c r="AA3" s="116"/>
      <c r="AB3" s="116"/>
      <c r="AC3" s="118"/>
      <c r="AD3" s="100"/>
    </row>
    <row r="4" spans="1:30" s="7" customFormat="1" ht="53.25" customHeight="1">
      <c r="A4" s="105"/>
      <c r="B4" s="98"/>
      <c r="C4" s="105"/>
      <c r="D4" s="105"/>
      <c r="E4" s="98"/>
      <c r="F4" s="98"/>
      <c r="G4" s="105"/>
      <c r="H4" s="105"/>
      <c r="I4" s="105"/>
      <c r="J4" s="105"/>
      <c r="K4" s="103"/>
      <c r="L4" s="104"/>
      <c r="M4" s="103"/>
      <c r="N4" s="104"/>
      <c r="O4" s="103"/>
      <c r="P4" s="104"/>
      <c r="Q4" s="103"/>
      <c r="R4" s="104"/>
      <c r="S4" s="103"/>
      <c r="T4" s="104"/>
      <c r="U4" s="103"/>
      <c r="V4" s="104"/>
      <c r="W4" s="98"/>
      <c r="X4" s="98"/>
      <c r="Y4" s="113"/>
      <c r="Z4" s="114"/>
      <c r="AA4" s="116"/>
      <c r="AB4" s="116"/>
      <c r="AC4" s="118"/>
      <c r="AD4" s="105"/>
    </row>
    <row r="5" spans="1:30" s="7" customFormat="1" ht="73.5" customHeight="1">
      <c r="A5" s="100"/>
      <c r="B5" s="99"/>
      <c r="C5" s="100"/>
      <c r="D5" s="100"/>
      <c r="E5" s="99"/>
      <c r="F5" s="99"/>
      <c r="G5" s="100"/>
      <c r="H5" s="100"/>
      <c r="I5" s="100"/>
      <c r="J5" s="100"/>
      <c r="K5" s="95" t="s">
        <v>68</v>
      </c>
      <c r="L5" s="95" t="s">
        <v>69</v>
      </c>
      <c r="M5" s="95" t="s">
        <v>68</v>
      </c>
      <c r="N5" s="95" t="s">
        <v>69</v>
      </c>
      <c r="O5" s="95" t="s">
        <v>68</v>
      </c>
      <c r="P5" s="95" t="s">
        <v>69</v>
      </c>
      <c r="Q5" s="95" t="s">
        <v>68</v>
      </c>
      <c r="R5" s="95" t="s">
        <v>69</v>
      </c>
      <c r="S5" s="95" t="s">
        <v>68</v>
      </c>
      <c r="T5" s="95" t="s">
        <v>69</v>
      </c>
      <c r="U5" s="95" t="s">
        <v>68</v>
      </c>
      <c r="V5" s="95" t="s">
        <v>69</v>
      </c>
      <c r="W5" s="99"/>
      <c r="X5" s="99"/>
      <c r="Y5" s="95" t="s">
        <v>68</v>
      </c>
      <c r="Z5" s="95" t="s">
        <v>69</v>
      </c>
      <c r="AA5" s="95" t="s">
        <v>68</v>
      </c>
      <c r="AB5" s="95" t="s">
        <v>69</v>
      </c>
      <c r="AC5" s="119"/>
      <c r="AD5" s="100"/>
    </row>
    <row r="6" spans="1:30" s="7" customFormat="1" ht="64.5" customHeight="1">
      <c r="A6" s="96" t="s">
        <v>2077</v>
      </c>
      <c r="B6" s="95">
        <f t="shared" ref="B6:D6" si="0">+SUBTOTAL(3,B7:B974)</f>
        <v>968</v>
      </c>
      <c r="C6" s="95">
        <f t="shared" si="0"/>
        <v>968</v>
      </c>
      <c r="D6" s="95">
        <f t="shared" si="0"/>
        <v>968</v>
      </c>
      <c r="E6" s="95">
        <f t="shared" ref="E6:J6" si="1">+SUBTOTAL(3,E7:E974)</f>
        <v>968</v>
      </c>
      <c r="F6" s="95">
        <f t="shared" si="1"/>
        <v>967</v>
      </c>
      <c r="G6" s="95">
        <f t="shared" si="1"/>
        <v>968</v>
      </c>
      <c r="H6" s="95">
        <f t="shared" si="1"/>
        <v>968</v>
      </c>
      <c r="I6" s="95">
        <f t="shared" si="1"/>
        <v>968</v>
      </c>
      <c r="J6" s="95">
        <f t="shared" si="1"/>
        <v>968</v>
      </c>
      <c r="K6" s="95">
        <f t="shared" ref="K6:V6" si="2">+SUBTOTAL(9,K7:K974)</f>
        <v>8565835.2516947351</v>
      </c>
      <c r="L6" s="95">
        <f t="shared" si="2"/>
        <v>1528094.2800000003</v>
      </c>
      <c r="M6" s="95">
        <f t="shared" si="2"/>
        <v>3294405.9390347367</v>
      </c>
      <c r="N6" s="95">
        <f t="shared" si="2"/>
        <v>309283.20000000001</v>
      </c>
      <c r="O6" s="95">
        <f t="shared" si="2"/>
        <v>3841044.7126599993</v>
      </c>
      <c r="P6" s="95">
        <f t="shared" si="2"/>
        <v>1219058.8800000001</v>
      </c>
      <c r="Q6" s="95">
        <f t="shared" si="2"/>
        <v>1631107.51266</v>
      </c>
      <c r="R6" s="95">
        <f t="shared" si="2"/>
        <v>573966</v>
      </c>
      <c r="S6" s="95">
        <f t="shared" si="2"/>
        <v>214321</v>
      </c>
      <c r="T6" s="95">
        <f t="shared" si="2"/>
        <v>63244.4</v>
      </c>
      <c r="U6" s="95">
        <f t="shared" si="2"/>
        <v>139395</v>
      </c>
      <c r="V6" s="95">
        <f t="shared" si="2"/>
        <v>0</v>
      </c>
      <c r="W6" s="95">
        <f>+SUBTOTAL(9,W7:W974)</f>
        <v>0</v>
      </c>
      <c r="X6" s="95">
        <f>+SUBTOTAL(9,X7:X974)</f>
        <v>0</v>
      </c>
      <c r="Y6" s="95">
        <f>+SUBTOTAL(9,Y7:Y974)</f>
        <v>20232</v>
      </c>
      <c r="Z6" s="95">
        <f>+SUBTOTAL(9,Z7:Z974)</f>
        <v>1481</v>
      </c>
      <c r="AA6" s="95">
        <f t="shared" ref="AA6:AD6" si="3">+SUBTOTAL(3,AA7:AA974)</f>
        <v>968</v>
      </c>
      <c r="AB6" s="95">
        <f t="shared" si="3"/>
        <v>236</v>
      </c>
      <c r="AC6" s="95">
        <f t="shared" si="3"/>
        <v>236</v>
      </c>
      <c r="AD6" s="95">
        <f t="shared" si="3"/>
        <v>968</v>
      </c>
    </row>
    <row r="7" spans="1:30" s="76" customFormat="1" ht="37.5">
      <c r="A7" s="82">
        <f>+SUBTOTAL(3,$B$7:B7)</f>
        <v>1</v>
      </c>
      <c r="B7" s="82" t="s">
        <v>444</v>
      </c>
      <c r="C7" s="82" t="s">
        <v>111</v>
      </c>
      <c r="D7" s="66" t="s">
        <v>167</v>
      </c>
      <c r="E7" s="82">
        <v>4</v>
      </c>
      <c r="F7" s="67">
        <v>303874455</v>
      </c>
      <c r="G7" s="66" t="s">
        <v>169</v>
      </c>
      <c r="H7" s="66" t="s">
        <v>41</v>
      </c>
      <c r="I7" s="66" t="s">
        <v>9</v>
      </c>
      <c r="J7" s="82" t="s">
        <v>41</v>
      </c>
      <c r="K7" s="67">
        <v>10335</v>
      </c>
      <c r="L7" s="82">
        <f t="shared" ref="L7:L38" si="4">+N7+R7+T7*10.2+V7*10.2</f>
        <v>9850</v>
      </c>
      <c r="M7" s="67">
        <v>435</v>
      </c>
      <c r="N7" s="82"/>
      <c r="O7" s="82">
        <f t="shared" ref="O7:O70" si="5">+Q7+S7*10.2</f>
        <v>9850</v>
      </c>
      <c r="P7" s="82">
        <f t="shared" ref="P7:P70" si="6">+R7+T7*10.2</f>
        <v>9850</v>
      </c>
      <c r="Q7" s="67">
        <v>4750</v>
      </c>
      <c r="R7" s="82">
        <v>4750</v>
      </c>
      <c r="S7" s="67">
        <v>500</v>
      </c>
      <c r="T7" s="82">
        <v>500</v>
      </c>
      <c r="U7" s="67"/>
      <c r="V7" s="82"/>
      <c r="W7" s="82"/>
      <c r="X7" s="82"/>
      <c r="Y7" s="82">
        <v>3</v>
      </c>
      <c r="Z7" s="82"/>
      <c r="AA7" s="18">
        <v>44348</v>
      </c>
      <c r="AB7" s="74"/>
      <c r="AC7" s="75"/>
      <c r="AD7" s="70" t="s">
        <v>445</v>
      </c>
    </row>
    <row r="8" spans="1:30" s="76" customFormat="1" ht="37.5">
      <c r="A8" s="82">
        <f>+SUBTOTAL(3,$B$7:B8)</f>
        <v>2</v>
      </c>
      <c r="B8" s="82" t="s">
        <v>444</v>
      </c>
      <c r="C8" s="82" t="s">
        <v>111</v>
      </c>
      <c r="D8" s="66" t="s">
        <v>167</v>
      </c>
      <c r="E8" s="82">
        <v>1</v>
      </c>
      <c r="F8" s="67">
        <v>302946047</v>
      </c>
      <c r="G8" s="66" t="s">
        <v>176</v>
      </c>
      <c r="H8" s="66" t="s">
        <v>136</v>
      </c>
      <c r="I8" s="66" t="s">
        <v>9</v>
      </c>
      <c r="J8" s="82" t="s">
        <v>36</v>
      </c>
      <c r="K8" s="67">
        <v>999</v>
      </c>
      <c r="L8" s="82">
        <f t="shared" si="4"/>
        <v>999</v>
      </c>
      <c r="M8" s="67">
        <v>200</v>
      </c>
      <c r="N8" s="82">
        <v>668.3</v>
      </c>
      <c r="O8" s="82">
        <f t="shared" si="5"/>
        <v>799</v>
      </c>
      <c r="P8" s="82">
        <f t="shared" si="6"/>
        <v>330.7</v>
      </c>
      <c r="Q8" s="67">
        <v>799</v>
      </c>
      <c r="R8" s="82">
        <v>330.7</v>
      </c>
      <c r="S8" s="67"/>
      <c r="T8" s="82"/>
      <c r="U8" s="67"/>
      <c r="V8" s="82"/>
      <c r="W8" s="82"/>
      <c r="X8" s="82"/>
      <c r="Y8" s="82">
        <v>6</v>
      </c>
      <c r="Z8" s="82">
        <v>3</v>
      </c>
      <c r="AA8" s="18">
        <v>44175</v>
      </c>
      <c r="AB8" s="74">
        <v>44118</v>
      </c>
      <c r="AC8" s="75" t="s">
        <v>1788</v>
      </c>
      <c r="AD8" s="70" t="s">
        <v>445</v>
      </c>
    </row>
    <row r="9" spans="1:30" s="76" customFormat="1" ht="37.5">
      <c r="A9" s="82">
        <f>+SUBTOTAL(3,$B$7:B9)</f>
        <v>3</v>
      </c>
      <c r="B9" s="82" t="s">
        <v>444</v>
      </c>
      <c r="C9" s="82" t="s">
        <v>111</v>
      </c>
      <c r="D9" s="66" t="s">
        <v>167</v>
      </c>
      <c r="E9" s="82">
        <v>4</v>
      </c>
      <c r="F9" s="67">
        <v>305495500</v>
      </c>
      <c r="G9" s="66" t="s">
        <v>177</v>
      </c>
      <c r="H9" s="66" t="s">
        <v>178</v>
      </c>
      <c r="I9" s="66" t="s">
        <v>10</v>
      </c>
      <c r="J9" s="82" t="s">
        <v>45</v>
      </c>
      <c r="K9" s="67">
        <v>4000</v>
      </c>
      <c r="L9" s="82">
        <f t="shared" si="4"/>
        <v>553</v>
      </c>
      <c r="M9" s="67">
        <v>3400</v>
      </c>
      <c r="N9" s="82"/>
      <c r="O9" s="82">
        <f t="shared" si="5"/>
        <v>600</v>
      </c>
      <c r="P9" s="82">
        <f t="shared" si="6"/>
        <v>553</v>
      </c>
      <c r="Q9" s="67">
        <v>600</v>
      </c>
      <c r="R9" s="82">
        <v>553</v>
      </c>
      <c r="S9" s="67"/>
      <c r="T9" s="82"/>
      <c r="U9" s="67"/>
      <c r="V9" s="82"/>
      <c r="W9" s="82"/>
      <c r="X9" s="82"/>
      <c r="Y9" s="82">
        <v>6</v>
      </c>
      <c r="Z9" s="82"/>
      <c r="AA9" s="18">
        <v>44348</v>
      </c>
      <c r="AB9" s="74"/>
      <c r="AC9" s="75"/>
      <c r="AD9" s="70" t="s">
        <v>446</v>
      </c>
    </row>
    <row r="10" spans="1:30" s="76" customFormat="1" ht="37.5">
      <c r="A10" s="82">
        <f>+SUBTOTAL(3,$B$7:B10)</f>
        <v>4</v>
      </c>
      <c r="B10" s="82" t="s">
        <v>444</v>
      </c>
      <c r="C10" s="82" t="s">
        <v>111</v>
      </c>
      <c r="D10" s="66" t="s">
        <v>167</v>
      </c>
      <c r="E10" s="82">
        <v>3</v>
      </c>
      <c r="F10" s="67">
        <v>306915715</v>
      </c>
      <c r="G10" s="66" t="s">
        <v>179</v>
      </c>
      <c r="H10" s="66" t="s">
        <v>180</v>
      </c>
      <c r="I10" s="66" t="s">
        <v>6</v>
      </c>
      <c r="J10" s="82" t="s">
        <v>31</v>
      </c>
      <c r="K10" s="67">
        <v>90000</v>
      </c>
      <c r="L10" s="82">
        <f t="shared" si="4"/>
        <v>0</v>
      </c>
      <c r="M10" s="67">
        <v>28200</v>
      </c>
      <c r="N10" s="82"/>
      <c r="O10" s="82">
        <f t="shared" si="5"/>
        <v>61199.999999999993</v>
      </c>
      <c r="P10" s="82">
        <f t="shared" si="6"/>
        <v>0</v>
      </c>
      <c r="Q10" s="67"/>
      <c r="R10" s="82"/>
      <c r="S10" s="67">
        <v>6000</v>
      </c>
      <c r="T10" s="82"/>
      <c r="U10" s="67"/>
      <c r="V10" s="82"/>
      <c r="W10" s="82"/>
      <c r="X10" s="82"/>
      <c r="Y10" s="82">
        <v>100</v>
      </c>
      <c r="Z10" s="82"/>
      <c r="AA10" s="18">
        <v>44531</v>
      </c>
      <c r="AB10" s="74"/>
      <c r="AC10" s="75"/>
      <c r="AD10" s="70" t="s">
        <v>0</v>
      </c>
    </row>
    <row r="11" spans="1:30" s="76" customFormat="1" ht="37.5">
      <c r="A11" s="82">
        <f>+SUBTOTAL(3,$B$7:B11)</f>
        <v>5</v>
      </c>
      <c r="B11" s="82" t="s">
        <v>444</v>
      </c>
      <c r="C11" s="82" t="s">
        <v>111</v>
      </c>
      <c r="D11" s="66" t="s">
        <v>167</v>
      </c>
      <c r="E11" s="82">
        <v>1</v>
      </c>
      <c r="F11" s="67">
        <v>305999271</v>
      </c>
      <c r="G11" s="66" t="s">
        <v>447</v>
      </c>
      <c r="H11" s="66" t="s">
        <v>138</v>
      </c>
      <c r="I11" s="66" t="s">
        <v>9</v>
      </c>
      <c r="J11" s="82" t="s">
        <v>36</v>
      </c>
      <c r="K11" s="67">
        <v>873</v>
      </c>
      <c r="L11" s="82">
        <f t="shared" si="4"/>
        <v>873</v>
      </c>
      <c r="M11" s="67">
        <v>110</v>
      </c>
      <c r="N11" s="82">
        <v>128</v>
      </c>
      <c r="O11" s="82">
        <f t="shared" si="5"/>
        <v>763</v>
      </c>
      <c r="P11" s="82">
        <f t="shared" si="6"/>
        <v>745</v>
      </c>
      <c r="Q11" s="67">
        <v>763</v>
      </c>
      <c r="R11" s="82">
        <v>745</v>
      </c>
      <c r="S11" s="67"/>
      <c r="T11" s="82"/>
      <c r="U11" s="67"/>
      <c r="V11" s="82"/>
      <c r="W11" s="82"/>
      <c r="X11" s="82"/>
      <c r="Y11" s="82">
        <v>4</v>
      </c>
      <c r="Z11" s="82">
        <v>4</v>
      </c>
      <c r="AA11" s="18">
        <v>44166</v>
      </c>
      <c r="AB11" s="74">
        <v>44132</v>
      </c>
      <c r="AC11" s="75" t="s">
        <v>1789</v>
      </c>
      <c r="AD11" s="70" t="s">
        <v>445</v>
      </c>
    </row>
    <row r="12" spans="1:30" s="76" customFormat="1" ht="37.5">
      <c r="A12" s="82">
        <f>+SUBTOTAL(3,$B$7:B12)</f>
        <v>6</v>
      </c>
      <c r="B12" s="82" t="s">
        <v>444</v>
      </c>
      <c r="C12" s="82" t="s">
        <v>111</v>
      </c>
      <c r="D12" s="66" t="s">
        <v>167</v>
      </c>
      <c r="E12" s="82">
        <v>1</v>
      </c>
      <c r="F12" s="67">
        <v>304918411</v>
      </c>
      <c r="G12" s="66" t="s">
        <v>448</v>
      </c>
      <c r="H12" s="66" t="s">
        <v>137</v>
      </c>
      <c r="I12" s="66" t="s">
        <v>9</v>
      </c>
      <c r="J12" s="82" t="s">
        <v>36</v>
      </c>
      <c r="K12" s="67">
        <v>1005</v>
      </c>
      <c r="L12" s="82">
        <f t="shared" si="4"/>
        <v>1005</v>
      </c>
      <c r="M12" s="67">
        <v>200</v>
      </c>
      <c r="N12" s="82">
        <v>260</v>
      </c>
      <c r="O12" s="82">
        <f t="shared" si="5"/>
        <v>805</v>
      </c>
      <c r="P12" s="82">
        <f t="shared" si="6"/>
        <v>745</v>
      </c>
      <c r="Q12" s="67">
        <v>805</v>
      </c>
      <c r="R12" s="82">
        <v>745</v>
      </c>
      <c r="S12" s="67"/>
      <c r="T12" s="82"/>
      <c r="U12" s="67"/>
      <c r="V12" s="82"/>
      <c r="W12" s="82"/>
      <c r="X12" s="82"/>
      <c r="Y12" s="82">
        <v>2</v>
      </c>
      <c r="Z12" s="82">
        <v>2</v>
      </c>
      <c r="AA12" s="18">
        <v>44166</v>
      </c>
      <c r="AB12" s="74">
        <v>44124</v>
      </c>
      <c r="AC12" s="75" t="s">
        <v>1790</v>
      </c>
      <c r="AD12" s="70" t="s">
        <v>445</v>
      </c>
    </row>
    <row r="13" spans="1:30" s="76" customFormat="1" ht="37.5">
      <c r="A13" s="82">
        <f>+SUBTOTAL(3,$B$7:B13)</f>
        <v>7</v>
      </c>
      <c r="B13" s="82" t="s">
        <v>444</v>
      </c>
      <c r="C13" s="82" t="s">
        <v>111</v>
      </c>
      <c r="D13" s="66" t="s">
        <v>167</v>
      </c>
      <c r="E13" s="82">
        <v>3</v>
      </c>
      <c r="F13" s="67">
        <v>303956904</v>
      </c>
      <c r="G13" s="66" t="s">
        <v>449</v>
      </c>
      <c r="H13" s="66" t="s">
        <v>138</v>
      </c>
      <c r="I13" s="66" t="s">
        <v>9</v>
      </c>
      <c r="J13" s="82" t="s">
        <v>36</v>
      </c>
      <c r="K13" s="67">
        <v>860</v>
      </c>
      <c r="L13" s="82">
        <f t="shared" si="4"/>
        <v>860</v>
      </c>
      <c r="M13" s="67">
        <v>120</v>
      </c>
      <c r="N13" s="82">
        <v>120</v>
      </c>
      <c r="O13" s="82">
        <f t="shared" si="5"/>
        <v>740</v>
      </c>
      <c r="P13" s="82">
        <f t="shared" si="6"/>
        <v>740</v>
      </c>
      <c r="Q13" s="67">
        <v>740</v>
      </c>
      <c r="R13" s="82">
        <v>740</v>
      </c>
      <c r="S13" s="67"/>
      <c r="T13" s="82"/>
      <c r="U13" s="67"/>
      <c r="V13" s="82"/>
      <c r="W13" s="82"/>
      <c r="X13" s="82"/>
      <c r="Y13" s="82">
        <v>2</v>
      </c>
      <c r="Z13" s="82">
        <v>2</v>
      </c>
      <c r="AA13" s="18">
        <v>44166</v>
      </c>
      <c r="AB13" s="74">
        <v>44132</v>
      </c>
      <c r="AC13" s="75" t="s">
        <v>1791</v>
      </c>
      <c r="AD13" s="70" t="s">
        <v>445</v>
      </c>
    </row>
    <row r="14" spans="1:30" s="76" customFormat="1" ht="37.5">
      <c r="A14" s="82">
        <f>+SUBTOTAL(3,$B$7:B14)</f>
        <v>8</v>
      </c>
      <c r="B14" s="82" t="s">
        <v>444</v>
      </c>
      <c r="C14" s="82" t="s">
        <v>111</v>
      </c>
      <c r="D14" s="66" t="s">
        <v>167</v>
      </c>
      <c r="E14" s="82">
        <v>1</v>
      </c>
      <c r="F14" s="67">
        <v>306234638</v>
      </c>
      <c r="G14" s="66" t="s">
        <v>450</v>
      </c>
      <c r="H14" s="66" t="s">
        <v>138</v>
      </c>
      <c r="I14" s="66" t="s">
        <v>9</v>
      </c>
      <c r="J14" s="82" t="s">
        <v>36</v>
      </c>
      <c r="K14" s="67">
        <v>845</v>
      </c>
      <c r="L14" s="82">
        <f t="shared" si="4"/>
        <v>845</v>
      </c>
      <c r="M14" s="67">
        <v>100</v>
      </c>
      <c r="N14" s="82">
        <v>100</v>
      </c>
      <c r="O14" s="82">
        <f t="shared" si="5"/>
        <v>745</v>
      </c>
      <c r="P14" s="82">
        <f t="shared" si="6"/>
        <v>745</v>
      </c>
      <c r="Q14" s="67">
        <v>745</v>
      </c>
      <c r="R14" s="82">
        <v>745</v>
      </c>
      <c r="S14" s="67"/>
      <c r="T14" s="82"/>
      <c r="U14" s="67"/>
      <c r="V14" s="82"/>
      <c r="W14" s="82"/>
      <c r="X14" s="82"/>
      <c r="Y14" s="82">
        <v>2</v>
      </c>
      <c r="Z14" s="82">
        <v>2</v>
      </c>
      <c r="AA14" s="18">
        <v>44166</v>
      </c>
      <c r="AB14" s="74">
        <v>44126</v>
      </c>
      <c r="AC14" s="75" t="s">
        <v>1792</v>
      </c>
      <c r="AD14" s="70" t="s">
        <v>445</v>
      </c>
    </row>
    <row r="15" spans="1:30" s="76" customFormat="1" ht="37.5">
      <c r="A15" s="82">
        <f>+SUBTOTAL(3,$B$7:B15)</f>
        <v>9</v>
      </c>
      <c r="B15" s="82" t="s">
        <v>444</v>
      </c>
      <c r="C15" s="82" t="s">
        <v>111</v>
      </c>
      <c r="D15" s="66" t="s">
        <v>167</v>
      </c>
      <c r="E15" s="82">
        <v>2</v>
      </c>
      <c r="F15" s="67">
        <v>303303854</v>
      </c>
      <c r="G15" s="66" t="s">
        <v>451</v>
      </c>
      <c r="H15" s="66" t="s">
        <v>452</v>
      </c>
      <c r="I15" s="66" t="s">
        <v>6</v>
      </c>
      <c r="J15" s="82" t="s">
        <v>31</v>
      </c>
      <c r="K15" s="67">
        <v>1500</v>
      </c>
      <c r="L15" s="82">
        <f t="shared" si="4"/>
        <v>1500</v>
      </c>
      <c r="M15" s="67">
        <v>500</v>
      </c>
      <c r="N15" s="82">
        <v>836</v>
      </c>
      <c r="O15" s="82">
        <f t="shared" si="5"/>
        <v>1000</v>
      </c>
      <c r="P15" s="82">
        <f t="shared" si="6"/>
        <v>664</v>
      </c>
      <c r="Q15" s="67">
        <v>1000</v>
      </c>
      <c r="R15" s="82">
        <v>664</v>
      </c>
      <c r="S15" s="67"/>
      <c r="T15" s="82"/>
      <c r="U15" s="67"/>
      <c r="V15" s="82"/>
      <c r="W15" s="82"/>
      <c r="X15" s="82"/>
      <c r="Y15" s="82">
        <v>10</v>
      </c>
      <c r="Z15" s="82">
        <v>10</v>
      </c>
      <c r="AA15" s="18">
        <v>44440</v>
      </c>
      <c r="AB15" s="74">
        <v>44162</v>
      </c>
      <c r="AC15" s="75" t="s">
        <v>2104</v>
      </c>
      <c r="AD15" s="70" t="s">
        <v>453</v>
      </c>
    </row>
    <row r="16" spans="1:30" s="76" customFormat="1" ht="37.5">
      <c r="A16" s="82">
        <f>+SUBTOTAL(3,$B$7:B16)</f>
        <v>10</v>
      </c>
      <c r="B16" s="82" t="s">
        <v>444</v>
      </c>
      <c r="C16" s="82" t="s">
        <v>111</v>
      </c>
      <c r="D16" s="66" t="s">
        <v>167</v>
      </c>
      <c r="E16" s="82">
        <v>2</v>
      </c>
      <c r="F16" s="67">
        <v>304416395</v>
      </c>
      <c r="G16" s="66" t="s">
        <v>454</v>
      </c>
      <c r="H16" s="66" t="s">
        <v>455</v>
      </c>
      <c r="I16" s="66" t="s">
        <v>9</v>
      </c>
      <c r="J16" s="82" t="s">
        <v>36</v>
      </c>
      <c r="K16" s="67">
        <v>1100</v>
      </c>
      <c r="L16" s="82">
        <f t="shared" si="4"/>
        <v>1100</v>
      </c>
      <c r="M16" s="67">
        <v>337</v>
      </c>
      <c r="N16" s="82">
        <v>355</v>
      </c>
      <c r="O16" s="82">
        <f t="shared" si="5"/>
        <v>763</v>
      </c>
      <c r="P16" s="82">
        <f t="shared" si="6"/>
        <v>745</v>
      </c>
      <c r="Q16" s="67">
        <v>763</v>
      </c>
      <c r="R16" s="82">
        <v>745</v>
      </c>
      <c r="S16" s="67"/>
      <c r="T16" s="82"/>
      <c r="U16" s="67"/>
      <c r="V16" s="82"/>
      <c r="W16" s="82"/>
      <c r="X16" s="82"/>
      <c r="Y16" s="82">
        <v>2</v>
      </c>
      <c r="Z16" s="82">
        <v>6</v>
      </c>
      <c r="AA16" s="18">
        <v>44166</v>
      </c>
      <c r="AB16" s="74">
        <v>44110</v>
      </c>
      <c r="AC16" s="75" t="s">
        <v>1793</v>
      </c>
      <c r="AD16" s="70" t="s">
        <v>445</v>
      </c>
    </row>
    <row r="17" spans="1:30" s="76" customFormat="1" ht="37.5">
      <c r="A17" s="82">
        <f>+SUBTOTAL(3,$B$7:B17)</f>
        <v>11</v>
      </c>
      <c r="B17" s="82" t="s">
        <v>444</v>
      </c>
      <c r="C17" s="82" t="s">
        <v>111</v>
      </c>
      <c r="D17" s="66" t="s">
        <v>167</v>
      </c>
      <c r="E17" s="82">
        <v>3</v>
      </c>
      <c r="F17" s="67">
        <v>201972082</v>
      </c>
      <c r="G17" s="66" t="s">
        <v>456</v>
      </c>
      <c r="H17" s="66" t="s">
        <v>455</v>
      </c>
      <c r="I17" s="66" t="s">
        <v>9</v>
      </c>
      <c r="J17" s="82" t="s">
        <v>36</v>
      </c>
      <c r="K17" s="67">
        <v>600</v>
      </c>
      <c r="L17" s="82">
        <f t="shared" si="4"/>
        <v>600</v>
      </c>
      <c r="M17" s="67">
        <v>200</v>
      </c>
      <c r="N17" s="82">
        <v>200</v>
      </c>
      <c r="O17" s="82">
        <f t="shared" si="5"/>
        <v>400</v>
      </c>
      <c r="P17" s="82">
        <f t="shared" si="6"/>
        <v>400</v>
      </c>
      <c r="Q17" s="67">
        <v>400</v>
      </c>
      <c r="R17" s="82">
        <v>400</v>
      </c>
      <c r="S17" s="67"/>
      <c r="T17" s="82"/>
      <c r="U17" s="67"/>
      <c r="V17" s="82"/>
      <c r="W17" s="82"/>
      <c r="X17" s="82"/>
      <c r="Y17" s="82">
        <v>2</v>
      </c>
      <c r="Z17" s="82">
        <v>2</v>
      </c>
      <c r="AA17" s="18">
        <v>44195</v>
      </c>
      <c r="AB17" s="74">
        <v>44166</v>
      </c>
      <c r="AC17" s="75" t="s">
        <v>2052</v>
      </c>
      <c r="AD17" s="70" t="s">
        <v>445</v>
      </c>
    </row>
    <row r="18" spans="1:30" s="76" customFormat="1" ht="37.5">
      <c r="A18" s="82">
        <f>+SUBTOTAL(3,$B$7:B18)</f>
        <v>12</v>
      </c>
      <c r="B18" s="82" t="s">
        <v>444</v>
      </c>
      <c r="C18" s="82" t="s">
        <v>111</v>
      </c>
      <c r="D18" s="66" t="s">
        <v>167</v>
      </c>
      <c r="E18" s="82">
        <v>3</v>
      </c>
      <c r="F18" s="67">
        <v>302144207</v>
      </c>
      <c r="G18" s="66" t="s">
        <v>457</v>
      </c>
      <c r="H18" s="66" t="s">
        <v>455</v>
      </c>
      <c r="I18" s="66" t="s">
        <v>9</v>
      </c>
      <c r="J18" s="82" t="s">
        <v>36</v>
      </c>
      <c r="K18" s="67">
        <v>6000</v>
      </c>
      <c r="L18" s="82">
        <f t="shared" si="4"/>
        <v>0</v>
      </c>
      <c r="M18" s="67">
        <v>2000</v>
      </c>
      <c r="N18" s="82"/>
      <c r="O18" s="82">
        <f t="shared" si="5"/>
        <v>4000</v>
      </c>
      <c r="P18" s="82">
        <f t="shared" si="6"/>
        <v>0</v>
      </c>
      <c r="Q18" s="67">
        <v>4000</v>
      </c>
      <c r="R18" s="82"/>
      <c r="S18" s="67"/>
      <c r="T18" s="82"/>
      <c r="U18" s="67"/>
      <c r="V18" s="82"/>
      <c r="W18" s="82"/>
      <c r="X18" s="82"/>
      <c r="Y18" s="82">
        <v>10</v>
      </c>
      <c r="Z18" s="82"/>
      <c r="AA18" s="18">
        <v>44925</v>
      </c>
      <c r="AB18" s="74"/>
      <c r="AC18" s="75"/>
      <c r="AD18" s="70" t="s">
        <v>445</v>
      </c>
    </row>
    <row r="19" spans="1:30" s="76" customFormat="1" ht="112.5">
      <c r="A19" s="82">
        <f>+SUBTOTAL(3,$B$7:B19)</f>
        <v>13</v>
      </c>
      <c r="B19" s="82" t="s">
        <v>444</v>
      </c>
      <c r="C19" s="82" t="s">
        <v>111</v>
      </c>
      <c r="D19" s="66" t="s">
        <v>167</v>
      </c>
      <c r="E19" s="82">
        <v>2</v>
      </c>
      <c r="F19" s="67">
        <v>204510433</v>
      </c>
      <c r="G19" s="66" t="s">
        <v>458</v>
      </c>
      <c r="H19" s="66" t="s">
        <v>459</v>
      </c>
      <c r="I19" s="66" t="s">
        <v>10</v>
      </c>
      <c r="J19" s="82" t="s">
        <v>66</v>
      </c>
      <c r="K19" s="67">
        <v>8000</v>
      </c>
      <c r="L19" s="82">
        <f t="shared" si="4"/>
        <v>0</v>
      </c>
      <c r="M19" s="67">
        <v>4000</v>
      </c>
      <c r="N19" s="82"/>
      <c r="O19" s="82">
        <f t="shared" si="5"/>
        <v>4000</v>
      </c>
      <c r="P19" s="82">
        <f t="shared" si="6"/>
        <v>0</v>
      </c>
      <c r="Q19" s="67">
        <v>4000</v>
      </c>
      <c r="R19" s="82"/>
      <c r="S19" s="67"/>
      <c r="T19" s="82"/>
      <c r="U19" s="67"/>
      <c r="V19" s="82"/>
      <c r="W19" s="82"/>
      <c r="X19" s="82"/>
      <c r="Y19" s="82">
        <v>20</v>
      </c>
      <c r="Z19" s="82"/>
      <c r="AA19" s="18">
        <v>44550</v>
      </c>
      <c r="AB19" s="74"/>
      <c r="AC19" s="75"/>
      <c r="AD19" s="70" t="s">
        <v>460</v>
      </c>
    </row>
    <row r="20" spans="1:30" s="76" customFormat="1" ht="56.25">
      <c r="A20" s="82">
        <f>+SUBTOTAL(3,$B$7:B20)</f>
        <v>14</v>
      </c>
      <c r="B20" s="82" t="s">
        <v>444</v>
      </c>
      <c r="C20" s="82" t="s">
        <v>111</v>
      </c>
      <c r="D20" s="66" t="s">
        <v>167</v>
      </c>
      <c r="E20" s="82">
        <v>3</v>
      </c>
      <c r="F20" s="67">
        <v>306915715</v>
      </c>
      <c r="G20" s="66" t="s">
        <v>461</v>
      </c>
      <c r="H20" s="66" t="s">
        <v>462</v>
      </c>
      <c r="I20" s="66" t="s">
        <v>6</v>
      </c>
      <c r="J20" s="82" t="s">
        <v>31</v>
      </c>
      <c r="K20" s="67">
        <v>151160</v>
      </c>
      <c r="L20" s="82">
        <f t="shared" si="4"/>
        <v>0</v>
      </c>
      <c r="M20" s="67">
        <v>54340</v>
      </c>
      <c r="N20" s="82"/>
      <c r="O20" s="82">
        <f t="shared" si="5"/>
        <v>95880</v>
      </c>
      <c r="P20" s="82">
        <f t="shared" si="6"/>
        <v>0</v>
      </c>
      <c r="Q20" s="67"/>
      <c r="R20" s="82"/>
      <c r="S20" s="67">
        <v>9400</v>
      </c>
      <c r="T20" s="82"/>
      <c r="U20" s="67"/>
      <c r="V20" s="82"/>
      <c r="W20" s="82"/>
      <c r="X20" s="82"/>
      <c r="Y20" s="82">
        <v>196</v>
      </c>
      <c r="Z20" s="82"/>
      <c r="AA20" s="18">
        <v>44835</v>
      </c>
      <c r="AB20" s="74"/>
      <c r="AC20" s="75"/>
      <c r="AD20" s="70" t="s">
        <v>0</v>
      </c>
    </row>
    <row r="21" spans="1:30" s="76" customFormat="1" ht="93.75">
      <c r="A21" s="82">
        <f>+SUBTOTAL(3,$B$7:B21)</f>
        <v>15</v>
      </c>
      <c r="B21" s="82" t="s">
        <v>444</v>
      </c>
      <c r="C21" s="82" t="s">
        <v>111</v>
      </c>
      <c r="D21" s="66" t="s">
        <v>167</v>
      </c>
      <c r="E21" s="82">
        <v>2</v>
      </c>
      <c r="F21" s="67">
        <v>206080304</v>
      </c>
      <c r="G21" s="66" t="s">
        <v>463</v>
      </c>
      <c r="H21" s="66" t="s">
        <v>464</v>
      </c>
      <c r="I21" s="66" t="s">
        <v>10</v>
      </c>
      <c r="J21" s="82" t="s">
        <v>59</v>
      </c>
      <c r="K21" s="67">
        <v>4000</v>
      </c>
      <c r="L21" s="82">
        <f t="shared" si="4"/>
        <v>0</v>
      </c>
      <c r="M21" s="67">
        <v>2000</v>
      </c>
      <c r="N21" s="82"/>
      <c r="O21" s="82">
        <f t="shared" si="5"/>
        <v>2000</v>
      </c>
      <c r="P21" s="82">
        <f t="shared" si="6"/>
        <v>0</v>
      </c>
      <c r="Q21" s="67">
        <v>2000</v>
      </c>
      <c r="R21" s="82"/>
      <c r="S21" s="67"/>
      <c r="T21" s="82"/>
      <c r="U21" s="67"/>
      <c r="V21" s="82"/>
      <c r="W21" s="82"/>
      <c r="X21" s="82"/>
      <c r="Y21" s="82">
        <v>8</v>
      </c>
      <c r="Z21" s="82"/>
      <c r="AA21" s="18">
        <v>44531</v>
      </c>
      <c r="AB21" s="74"/>
      <c r="AC21" s="75"/>
      <c r="AD21" s="70" t="s">
        <v>460</v>
      </c>
    </row>
    <row r="22" spans="1:30" s="76" customFormat="1" ht="37.5">
      <c r="A22" s="82">
        <f>+SUBTOTAL(3,$B$7:B22)</f>
        <v>16</v>
      </c>
      <c r="B22" s="82" t="s">
        <v>444</v>
      </c>
      <c r="C22" s="82" t="s">
        <v>111</v>
      </c>
      <c r="D22" s="66" t="s">
        <v>167</v>
      </c>
      <c r="E22" s="82">
        <v>3</v>
      </c>
      <c r="F22" s="67">
        <v>300275924</v>
      </c>
      <c r="G22" s="66" t="s">
        <v>465</v>
      </c>
      <c r="H22" s="66" t="s">
        <v>136</v>
      </c>
      <c r="I22" s="66" t="s">
        <v>9</v>
      </c>
      <c r="J22" s="82" t="s">
        <v>36</v>
      </c>
      <c r="K22" s="67">
        <v>5000</v>
      </c>
      <c r="L22" s="82">
        <f t="shared" si="4"/>
        <v>0</v>
      </c>
      <c r="M22" s="67">
        <v>1750</v>
      </c>
      <c r="N22" s="82"/>
      <c r="O22" s="82">
        <f t="shared" si="5"/>
        <v>3250</v>
      </c>
      <c r="P22" s="82">
        <f t="shared" si="6"/>
        <v>0</v>
      </c>
      <c r="Q22" s="67">
        <v>3250</v>
      </c>
      <c r="R22" s="82"/>
      <c r="S22" s="67"/>
      <c r="T22" s="82"/>
      <c r="U22" s="67"/>
      <c r="V22" s="82"/>
      <c r="W22" s="82"/>
      <c r="X22" s="82"/>
      <c r="Y22" s="82">
        <v>5</v>
      </c>
      <c r="Z22" s="82"/>
      <c r="AA22" s="18">
        <v>44835</v>
      </c>
      <c r="AB22" s="74"/>
      <c r="AC22" s="75"/>
      <c r="AD22" s="70" t="s">
        <v>445</v>
      </c>
    </row>
    <row r="23" spans="1:30" s="76" customFormat="1" ht="37.5">
      <c r="A23" s="82">
        <f>+SUBTOTAL(3,$B$7:B23)</f>
        <v>17</v>
      </c>
      <c r="B23" s="82" t="s">
        <v>444</v>
      </c>
      <c r="C23" s="82" t="s">
        <v>111</v>
      </c>
      <c r="D23" s="66" t="s">
        <v>167</v>
      </c>
      <c r="E23" s="82">
        <v>4</v>
      </c>
      <c r="F23" s="67">
        <v>447791373</v>
      </c>
      <c r="G23" s="66" t="s">
        <v>466</v>
      </c>
      <c r="H23" s="66" t="s">
        <v>467</v>
      </c>
      <c r="I23" s="66" t="s">
        <v>10</v>
      </c>
      <c r="J23" s="82" t="s">
        <v>44</v>
      </c>
      <c r="K23" s="67">
        <v>800</v>
      </c>
      <c r="L23" s="82">
        <f t="shared" si="4"/>
        <v>800</v>
      </c>
      <c r="M23" s="67">
        <v>450</v>
      </c>
      <c r="N23" s="82">
        <v>450</v>
      </c>
      <c r="O23" s="82">
        <f t="shared" si="5"/>
        <v>350</v>
      </c>
      <c r="P23" s="82">
        <f t="shared" si="6"/>
        <v>350</v>
      </c>
      <c r="Q23" s="67">
        <v>350</v>
      </c>
      <c r="R23" s="82">
        <v>350</v>
      </c>
      <c r="S23" s="67"/>
      <c r="T23" s="82"/>
      <c r="U23" s="67"/>
      <c r="V23" s="82"/>
      <c r="W23" s="82"/>
      <c r="X23" s="82"/>
      <c r="Y23" s="82">
        <v>2</v>
      </c>
      <c r="Z23" s="82">
        <v>2</v>
      </c>
      <c r="AA23" s="18">
        <v>44175</v>
      </c>
      <c r="AB23" s="74">
        <v>44164</v>
      </c>
      <c r="AC23" s="75" t="s">
        <v>2045</v>
      </c>
      <c r="AD23" s="70" t="s">
        <v>84</v>
      </c>
    </row>
    <row r="24" spans="1:30" s="76" customFormat="1" ht="37.5">
      <c r="A24" s="82">
        <f>+SUBTOTAL(3,$B$7:B24)</f>
        <v>18</v>
      </c>
      <c r="B24" s="82" t="s">
        <v>444</v>
      </c>
      <c r="C24" s="82" t="s">
        <v>111</v>
      </c>
      <c r="D24" s="66" t="s">
        <v>167</v>
      </c>
      <c r="E24" s="82">
        <v>3</v>
      </c>
      <c r="F24" s="67">
        <v>301856864</v>
      </c>
      <c r="G24" s="66" t="s">
        <v>468</v>
      </c>
      <c r="H24" s="66" t="s">
        <v>469</v>
      </c>
      <c r="I24" s="66" t="s">
        <v>10</v>
      </c>
      <c r="J24" s="82" t="s">
        <v>30</v>
      </c>
      <c r="K24" s="67">
        <v>10000</v>
      </c>
      <c r="L24" s="82">
        <f t="shared" si="4"/>
        <v>10000</v>
      </c>
      <c r="M24" s="67">
        <v>10000</v>
      </c>
      <c r="N24" s="82">
        <v>9000</v>
      </c>
      <c r="O24" s="82">
        <f t="shared" si="5"/>
        <v>0</v>
      </c>
      <c r="P24" s="82">
        <f t="shared" si="6"/>
        <v>1000</v>
      </c>
      <c r="Q24" s="67"/>
      <c r="R24" s="82">
        <v>1000</v>
      </c>
      <c r="S24" s="67"/>
      <c r="T24" s="82"/>
      <c r="U24" s="67"/>
      <c r="V24" s="82"/>
      <c r="W24" s="82"/>
      <c r="X24" s="82"/>
      <c r="Y24" s="82">
        <v>10</v>
      </c>
      <c r="Z24" s="82">
        <v>10</v>
      </c>
      <c r="AA24" s="18">
        <v>44196</v>
      </c>
      <c r="AB24" s="74">
        <v>44162</v>
      </c>
      <c r="AC24" s="75" t="s">
        <v>2048</v>
      </c>
      <c r="AD24" s="70" t="s">
        <v>453</v>
      </c>
    </row>
    <row r="25" spans="1:30" s="76" customFormat="1" ht="37.5">
      <c r="A25" s="82">
        <f>+SUBTOTAL(3,$B$7:B25)</f>
        <v>19</v>
      </c>
      <c r="B25" s="82" t="s">
        <v>444</v>
      </c>
      <c r="C25" s="82" t="s">
        <v>111</v>
      </c>
      <c r="D25" s="66" t="s">
        <v>167</v>
      </c>
      <c r="E25" s="82">
        <v>3</v>
      </c>
      <c r="F25" s="67">
        <v>307309011</v>
      </c>
      <c r="G25" s="66" t="s">
        <v>1787</v>
      </c>
      <c r="H25" s="66" t="s">
        <v>144</v>
      </c>
      <c r="I25" s="66" t="s">
        <v>10</v>
      </c>
      <c r="J25" s="82" t="s">
        <v>59</v>
      </c>
      <c r="K25" s="67">
        <v>1500</v>
      </c>
      <c r="L25" s="82">
        <f t="shared" si="4"/>
        <v>1500</v>
      </c>
      <c r="M25" s="67">
        <v>500</v>
      </c>
      <c r="N25" s="82">
        <v>1100</v>
      </c>
      <c r="O25" s="82">
        <f t="shared" si="5"/>
        <v>1000</v>
      </c>
      <c r="P25" s="82">
        <f t="shared" si="6"/>
        <v>400</v>
      </c>
      <c r="Q25" s="67">
        <v>1000</v>
      </c>
      <c r="R25" s="82">
        <v>400</v>
      </c>
      <c r="S25" s="67"/>
      <c r="T25" s="82"/>
      <c r="U25" s="67"/>
      <c r="V25" s="82"/>
      <c r="W25" s="82"/>
      <c r="X25" s="82"/>
      <c r="Y25" s="82">
        <v>4</v>
      </c>
      <c r="Z25" s="82">
        <v>4</v>
      </c>
      <c r="AA25" s="18">
        <v>44195</v>
      </c>
      <c r="AB25" s="74">
        <v>44142</v>
      </c>
      <c r="AC25" s="75" t="s">
        <v>1794</v>
      </c>
      <c r="AD25" s="70" t="s">
        <v>453</v>
      </c>
    </row>
    <row r="26" spans="1:30" s="76" customFormat="1" ht="37.5">
      <c r="A26" s="82">
        <f>+SUBTOTAL(3,$B$7:B26)</f>
        <v>20</v>
      </c>
      <c r="B26" s="82" t="s">
        <v>444</v>
      </c>
      <c r="C26" s="82" t="s">
        <v>111</v>
      </c>
      <c r="D26" s="66" t="s">
        <v>167</v>
      </c>
      <c r="E26" s="82">
        <v>2</v>
      </c>
      <c r="F26" s="67">
        <v>307466395</v>
      </c>
      <c r="G26" s="66" t="s">
        <v>470</v>
      </c>
      <c r="H26" s="66" t="s">
        <v>140</v>
      </c>
      <c r="I26" s="66" t="s">
        <v>9</v>
      </c>
      <c r="J26" s="82" t="s">
        <v>1777</v>
      </c>
      <c r="K26" s="67">
        <v>1000</v>
      </c>
      <c r="L26" s="82">
        <f t="shared" si="4"/>
        <v>1000</v>
      </c>
      <c r="M26" s="67">
        <v>200</v>
      </c>
      <c r="N26" s="82">
        <v>650</v>
      </c>
      <c r="O26" s="82">
        <f t="shared" si="5"/>
        <v>800</v>
      </c>
      <c r="P26" s="82">
        <f t="shared" si="6"/>
        <v>350</v>
      </c>
      <c r="Q26" s="67">
        <v>800</v>
      </c>
      <c r="R26" s="82">
        <v>350</v>
      </c>
      <c r="S26" s="67"/>
      <c r="T26" s="82"/>
      <c r="U26" s="67"/>
      <c r="V26" s="82"/>
      <c r="W26" s="82"/>
      <c r="X26" s="82"/>
      <c r="Y26" s="82">
        <v>3</v>
      </c>
      <c r="Z26" s="82">
        <v>3</v>
      </c>
      <c r="AA26" s="18">
        <v>44166</v>
      </c>
      <c r="AB26" s="74">
        <v>44124</v>
      </c>
      <c r="AC26" s="75" t="s">
        <v>1795</v>
      </c>
      <c r="AD26" s="70" t="s">
        <v>453</v>
      </c>
    </row>
    <row r="27" spans="1:30" s="76" customFormat="1" ht="37.5">
      <c r="A27" s="82">
        <f>+SUBTOTAL(3,$B$7:B27)</f>
        <v>21</v>
      </c>
      <c r="B27" s="82" t="s">
        <v>444</v>
      </c>
      <c r="C27" s="82" t="s">
        <v>111</v>
      </c>
      <c r="D27" s="66" t="s">
        <v>167</v>
      </c>
      <c r="E27" s="82">
        <v>1</v>
      </c>
      <c r="F27" s="67">
        <v>306876607</v>
      </c>
      <c r="G27" s="66" t="s">
        <v>471</v>
      </c>
      <c r="H27" s="66" t="s">
        <v>472</v>
      </c>
      <c r="I27" s="66" t="s">
        <v>10</v>
      </c>
      <c r="J27" s="82" t="s">
        <v>45</v>
      </c>
      <c r="K27" s="67">
        <v>950</v>
      </c>
      <c r="L27" s="82">
        <f t="shared" si="4"/>
        <v>950</v>
      </c>
      <c r="M27" s="67">
        <v>250</v>
      </c>
      <c r="N27" s="82">
        <v>400</v>
      </c>
      <c r="O27" s="82">
        <f t="shared" si="5"/>
        <v>700</v>
      </c>
      <c r="P27" s="82">
        <f t="shared" si="6"/>
        <v>550</v>
      </c>
      <c r="Q27" s="67">
        <v>700</v>
      </c>
      <c r="R27" s="82">
        <v>550</v>
      </c>
      <c r="S27" s="67"/>
      <c r="T27" s="82"/>
      <c r="U27" s="67"/>
      <c r="V27" s="82"/>
      <c r="W27" s="82"/>
      <c r="X27" s="82"/>
      <c r="Y27" s="82">
        <v>2</v>
      </c>
      <c r="Z27" s="82">
        <v>2</v>
      </c>
      <c r="AA27" s="18">
        <v>44196</v>
      </c>
      <c r="AB27" s="74">
        <v>44141</v>
      </c>
      <c r="AC27" s="75" t="s">
        <v>1796</v>
      </c>
      <c r="AD27" s="70" t="s">
        <v>453</v>
      </c>
    </row>
    <row r="28" spans="1:30" s="76" customFormat="1" ht="37.5">
      <c r="A28" s="82">
        <f>+SUBTOTAL(3,$B$7:B28)</f>
        <v>22</v>
      </c>
      <c r="B28" s="82" t="s">
        <v>444</v>
      </c>
      <c r="C28" s="82" t="s">
        <v>111</v>
      </c>
      <c r="D28" s="66" t="s">
        <v>167</v>
      </c>
      <c r="E28" s="82">
        <v>4</v>
      </c>
      <c r="F28" s="67">
        <v>305614591</v>
      </c>
      <c r="G28" s="66" t="s">
        <v>473</v>
      </c>
      <c r="H28" s="66" t="s">
        <v>115</v>
      </c>
      <c r="I28" s="66" t="s">
        <v>6</v>
      </c>
      <c r="J28" s="82" t="s">
        <v>11</v>
      </c>
      <c r="K28" s="67">
        <v>1300</v>
      </c>
      <c r="L28" s="82">
        <f t="shared" si="4"/>
        <v>1600</v>
      </c>
      <c r="M28" s="67">
        <v>500</v>
      </c>
      <c r="N28" s="82">
        <v>400</v>
      </c>
      <c r="O28" s="82">
        <f t="shared" si="5"/>
        <v>800</v>
      </c>
      <c r="P28" s="82">
        <f t="shared" si="6"/>
        <v>1200</v>
      </c>
      <c r="Q28" s="67">
        <v>800</v>
      </c>
      <c r="R28" s="82">
        <v>1200</v>
      </c>
      <c r="S28" s="67"/>
      <c r="T28" s="82"/>
      <c r="U28" s="67"/>
      <c r="V28" s="82"/>
      <c r="W28" s="82"/>
      <c r="X28" s="82"/>
      <c r="Y28" s="82">
        <v>4</v>
      </c>
      <c r="Z28" s="82">
        <v>13</v>
      </c>
      <c r="AA28" s="18">
        <v>44440</v>
      </c>
      <c r="AB28" s="74">
        <v>44057</v>
      </c>
      <c r="AC28" s="75" t="s">
        <v>2084</v>
      </c>
      <c r="AD28" s="70" t="s">
        <v>0</v>
      </c>
    </row>
    <row r="29" spans="1:30" s="76" customFormat="1" ht="37.5">
      <c r="A29" s="82">
        <f>+SUBTOTAL(3,$B$7:B29)</f>
        <v>23</v>
      </c>
      <c r="B29" s="82" t="s">
        <v>444</v>
      </c>
      <c r="C29" s="82" t="s">
        <v>111</v>
      </c>
      <c r="D29" s="66" t="s">
        <v>167</v>
      </c>
      <c r="E29" s="82">
        <v>4</v>
      </c>
      <c r="F29" s="67">
        <v>305470250</v>
      </c>
      <c r="G29" s="66" t="s">
        <v>474</v>
      </c>
      <c r="H29" s="66" t="s">
        <v>475</v>
      </c>
      <c r="I29" s="66" t="s">
        <v>10</v>
      </c>
      <c r="J29" s="82" t="s">
        <v>30</v>
      </c>
      <c r="K29" s="67">
        <v>500</v>
      </c>
      <c r="L29" s="82">
        <f t="shared" si="4"/>
        <v>200</v>
      </c>
      <c r="M29" s="67">
        <v>200</v>
      </c>
      <c r="N29" s="82"/>
      <c r="O29" s="82">
        <f t="shared" si="5"/>
        <v>300</v>
      </c>
      <c r="P29" s="82">
        <f t="shared" si="6"/>
        <v>200</v>
      </c>
      <c r="Q29" s="67">
        <v>300</v>
      </c>
      <c r="R29" s="82">
        <v>200</v>
      </c>
      <c r="S29" s="67"/>
      <c r="T29" s="82"/>
      <c r="U29" s="67"/>
      <c r="V29" s="82"/>
      <c r="W29" s="82"/>
      <c r="X29" s="82"/>
      <c r="Y29" s="82">
        <v>6</v>
      </c>
      <c r="Z29" s="82"/>
      <c r="AA29" s="18">
        <v>44470</v>
      </c>
      <c r="AB29" s="74"/>
      <c r="AC29" s="75"/>
      <c r="AD29" s="70" t="s">
        <v>0</v>
      </c>
    </row>
    <row r="30" spans="1:30" s="76" customFormat="1" ht="37.5">
      <c r="A30" s="82">
        <f>+SUBTOTAL(3,$B$7:B30)</f>
        <v>24</v>
      </c>
      <c r="B30" s="82" t="s">
        <v>444</v>
      </c>
      <c r="C30" s="82" t="s">
        <v>111</v>
      </c>
      <c r="D30" s="66" t="s">
        <v>167</v>
      </c>
      <c r="E30" s="82">
        <v>3</v>
      </c>
      <c r="F30" s="67">
        <v>304989356</v>
      </c>
      <c r="G30" s="66" t="s">
        <v>476</v>
      </c>
      <c r="H30" s="66" t="s">
        <v>174</v>
      </c>
      <c r="I30" s="66" t="s">
        <v>9</v>
      </c>
      <c r="J30" s="82" t="s">
        <v>64</v>
      </c>
      <c r="K30" s="67">
        <v>105050</v>
      </c>
      <c r="L30" s="82">
        <f t="shared" si="4"/>
        <v>0</v>
      </c>
      <c r="M30" s="67">
        <v>99900</v>
      </c>
      <c r="N30" s="82"/>
      <c r="O30" s="82">
        <f t="shared" si="5"/>
        <v>0</v>
      </c>
      <c r="P30" s="82">
        <f t="shared" si="6"/>
        <v>0</v>
      </c>
      <c r="Q30" s="67"/>
      <c r="R30" s="82"/>
      <c r="S30" s="67"/>
      <c r="T30" s="82"/>
      <c r="U30" s="67">
        <v>500</v>
      </c>
      <c r="V30" s="82"/>
      <c r="W30" s="82"/>
      <c r="X30" s="82"/>
      <c r="Y30" s="82">
        <v>402</v>
      </c>
      <c r="Z30" s="82"/>
      <c r="AA30" s="18">
        <v>44285</v>
      </c>
      <c r="AB30" s="74"/>
      <c r="AC30" s="75"/>
      <c r="AD30" s="70" t="s">
        <v>477</v>
      </c>
    </row>
    <row r="31" spans="1:30" s="76" customFormat="1" ht="37.5">
      <c r="A31" s="82">
        <f>+SUBTOTAL(3,$B$7:B31)</f>
        <v>25</v>
      </c>
      <c r="B31" s="82" t="s">
        <v>444</v>
      </c>
      <c r="C31" s="82" t="s">
        <v>111</v>
      </c>
      <c r="D31" s="66" t="s">
        <v>167</v>
      </c>
      <c r="E31" s="82">
        <v>3</v>
      </c>
      <c r="F31" s="67">
        <v>307507880</v>
      </c>
      <c r="G31" s="66" t="s">
        <v>478</v>
      </c>
      <c r="H31" s="66" t="s">
        <v>37</v>
      </c>
      <c r="I31" s="66" t="s">
        <v>9</v>
      </c>
      <c r="J31" s="82" t="s">
        <v>37</v>
      </c>
      <c r="K31" s="67">
        <v>19000</v>
      </c>
      <c r="L31" s="82">
        <f t="shared" si="4"/>
        <v>0</v>
      </c>
      <c r="M31" s="67">
        <v>19000</v>
      </c>
      <c r="N31" s="82"/>
      <c r="O31" s="82">
        <f t="shared" si="5"/>
        <v>0</v>
      </c>
      <c r="P31" s="82">
        <f t="shared" si="6"/>
        <v>0</v>
      </c>
      <c r="Q31" s="67"/>
      <c r="R31" s="82"/>
      <c r="S31" s="67"/>
      <c r="T31" s="82"/>
      <c r="U31" s="67"/>
      <c r="V31" s="82"/>
      <c r="W31" s="82"/>
      <c r="X31" s="82"/>
      <c r="Y31" s="82">
        <v>20</v>
      </c>
      <c r="Z31" s="82"/>
      <c r="AA31" s="18">
        <v>44285</v>
      </c>
      <c r="AB31" s="74"/>
      <c r="AC31" s="75"/>
      <c r="AD31" s="70" t="s">
        <v>477</v>
      </c>
    </row>
    <row r="32" spans="1:30" s="76" customFormat="1" ht="37.5">
      <c r="A32" s="82">
        <f>+SUBTOTAL(3,$B$7:B32)</f>
        <v>26</v>
      </c>
      <c r="B32" s="82" t="s">
        <v>444</v>
      </c>
      <c r="C32" s="82" t="s">
        <v>111</v>
      </c>
      <c r="D32" s="66" t="s">
        <v>167</v>
      </c>
      <c r="E32" s="82">
        <v>2</v>
      </c>
      <c r="F32" s="67">
        <v>305608574</v>
      </c>
      <c r="G32" s="66" t="s">
        <v>479</v>
      </c>
      <c r="H32" s="66" t="s">
        <v>136</v>
      </c>
      <c r="I32" s="66" t="s">
        <v>9</v>
      </c>
      <c r="J32" s="82" t="s">
        <v>36</v>
      </c>
      <c r="K32" s="67">
        <v>800</v>
      </c>
      <c r="L32" s="82">
        <f t="shared" si="4"/>
        <v>0</v>
      </c>
      <c r="M32" s="67">
        <v>800</v>
      </c>
      <c r="N32" s="82"/>
      <c r="O32" s="82">
        <f t="shared" si="5"/>
        <v>0</v>
      </c>
      <c r="P32" s="82">
        <f t="shared" si="6"/>
        <v>0</v>
      </c>
      <c r="Q32" s="67"/>
      <c r="R32" s="82"/>
      <c r="S32" s="67"/>
      <c r="T32" s="82"/>
      <c r="U32" s="67"/>
      <c r="V32" s="82"/>
      <c r="W32" s="82"/>
      <c r="X32" s="82"/>
      <c r="Y32" s="82">
        <v>5</v>
      </c>
      <c r="Z32" s="82"/>
      <c r="AA32" s="18">
        <v>44531</v>
      </c>
      <c r="AB32" s="74"/>
      <c r="AC32" s="75"/>
      <c r="AD32" s="70" t="s">
        <v>477</v>
      </c>
    </row>
    <row r="33" spans="1:30" s="76" customFormat="1" ht="37.5">
      <c r="A33" s="82">
        <f>+SUBTOTAL(3,$B$7:B33)</f>
        <v>27</v>
      </c>
      <c r="B33" s="82" t="s">
        <v>444</v>
      </c>
      <c r="C33" s="82" t="s">
        <v>111</v>
      </c>
      <c r="D33" s="66" t="s">
        <v>167</v>
      </c>
      <c r="E33" s="82">
        <v>3</v>
      </c>
      <c r="F33" s="67">
        <v>305832170</v>
      </c>
      <c r="G33" s="66" t="s">
        <v>171</v>
      </c>
      <c r="H33" s="66" t="s">
        <v>172</v>
      </c>
      <c r="I33" s="66" t="s">
        <v>10</v>
      </c>
      <c r="J33" s="82" t="s">
        <v>56</v>
      </c>
      <c r="K33" s="67">
        <v>3500</v>
      </c>
      <c r="L33" s="82">
        <f t="shared" si="4"/>
        <v>3500</v>
      </c>
      <c r="M33" s="67">
        <v>1000</v>
      </c>
      <c r="N33" s="82">
        <v>1000</v>
      </c>
      <c r="O33" s="82">
        <f t="shared" si="5"/>
        <v>2500</v>
      </c>
      <c r="P33" s="82">
        <f t="shared" si="6"/>
        <v>2500</v>
      </c>
      <c r="Q33" s="67">
        <v>2500</v>
      </c>
      <c r="R33" s="82">
        <v>2500</v>
      </c>
      <c r="S33" s="67"/>
      <c r="T33" s="82"/>
      <c r="U33" s="67"/>
      <c r="V33" s="82"/>
      <c r="W33" s="82"/>
      <c r="X33" s="82"/>
      <c r="Y33" s="82">
        <v>25</v>
      </c>
      <c r="Z33" s="82">
        <v>15</v>
      </c>
      <c r="AA33" s="18">
        <v>44661</v>
      </c>
      <c r="AB33" s="74">
        <v>44041</v>
      </c>
      <c r="AC33" s="75" t="s">
        <v>1984</v>
      </c>
      <c r="AD33" s="70" t="s">
        <v>4</v>
      </c>
    </row>
    <row r="34" spans="1:30" s="76" customFormat="1" ht="37.5">
      <c r="A34" s="82">
        <f>+SUBTOTAL(3,$B$7:B34)</f>
        <v>28</v>
      </c>
      <c r="B34" s="82" t="s">
        <v>444</v>
      </c>
      <c r="C34" s="82" t="s">
        <v>111</v>
      </c>
      <c r="D34" s="66" t="s">
        <v>167</v>
      </c>
      <c r="E34" s="82">
        <v>1</v>
      </c>
      <c r="F34" s="67">
        <v>306562024</v>
      </c>
      <c r="G34" s="66" t="s">
        <v>173</v>
      </c>
      <c r="H34" s="66" t="s">
        <v>174</v>
      </c>
      <c r="I34" s="66" t="s">
        <v>9</v>
      </c>
      <c r="J34" s="82" t="s">
        <v>64</v>
      </c>
      <c r="K34" s="67">
        <v>6000</v>
      </c>
      <c r="L34" s="82">
        <f t="shared" si="4"/>
        <v>2000</v>
      </c>
      <c r="M34" s="67">
        <v>6000</v>
      </c>
      <c r="N34" s="82"/>
      <c r="O34" s="82">
        <f t="shared" si="5"/>
        <v>0</v>
      </c>
      <c r="P34" s="82">
        <f t="shared" si="6"/>
        <v>2000</v>
      </c>
      <c r="Q34" s="67"/>
      <c r="R34" s="82">
        <v>2000</v>
      </c>
      <c r="S34" s="67"/>
      <c r="T34" s="82"/>
      <c r="U34" s="67"/>
      <c r="V34" s="82"/>
      <c r="W34" s="82"/>
      <c r="X34" s="82"/>
      <c r="Y34" s="82">
        <v>25</v>
      </c>
      <c r="Z34" s="82"/>
      <c r="AA34" s="18">
        <v>44317</v>
      </c>
      <c r="AB34" s="74"/>
      <c r="AC34" s="75"/>
      <c r="AD34" s="70" t="s">
        <v>477</v>
      </c>
    </row>
    <row r="35" spans="1:30" s="76" customFormat="1" ht="37.5">
      <c r="A35" s="82">
        <f>+SUBTOTAL(3,$B$7:B35)</f>
        <v>29</v>
      </c>
      <c r="B35" s="82" t="s">
        <v>444</v>
      </c>
      <c r="C35" s="82" t="s">
        <v>111</v>
      </c>
      <c r="D35" s="66" t="s">
        <v>167</v>
      </c>
      <c r="E35" s="82">
        <v>4</v>
      </c>
      <c r="F35" s="67">
        <v>307269774</v>
      </c>
      <c r="G35" s="66" t="s">
        <v>480</v>
      </c>
      <c r="H35" s="66" t="s">
        <v>481</v>
      </c>
      <c r="I35" s="66" t="s">
        <v>10</v>
      </c>
      <c r="J35" s="82" t="s">
        <v>44</v>
      </c>
      <c r="K35" s="67">
        <v>41000</v>
      </c>
      <c r="L35" s="82">
        <f t="shared" si="4"/>
        <v>0</v>
      </c>
      <c r="M35" s="67">
        <v>41000</v>
      </c>
      <c r="N35" s="82"/>
      <c r="O35" s="82">
        <f t="shared" si="5"/>
        <v>0</v>
      </c>
      <c r="P35" s="82">
        <f t="shared" si="6"/>
        <v>0</v>
      </c>
      <c r="Q35" s="67"/>
      <c r="R35" s="82"/>
      <c r="S35" s="67"/>
      <c r="T35" s="82"/>
      <c r="U35" s="67"/>
      <c r="V35" s="82"/>
      <c r="W35" s="82"/>
      <c r="X35" s="82"/>
      <c r="Y35" s="82">
        <v>20</v>
      </c>
      <c r="Z35" s="82"/>
      <c r="AA35" s="18">
        <v>44501</v>
      </c>
      <c r="AB35" s="74"/>
      <c r="AC35" s="75"/>
      <c r="AD35" s="70" t="s">
        <v>477</v>
      </c>
    </row>
    <row r="36" spans="1:30" s="76" customFormat="1" ht="56.25">
      <c r="A36" s="82">
        <f>+SUBTOTAL(3,$B$7:B36)</f>
        <v>30</v>
      </c>
      <c r="B36" s="82" t="s">
        <v>444</v>
      </c>
      <c r="C36" s="82" t="s">
        <v>111</v>
      </c>
      <c r="D36" s="66" t="s">
        <v>167</v>
      </c>
      <c r="E36" s="82">
        <v>3</v>
      </c>
      <c r="F36" s="67">
        <v>306075923</v>
      </c>
      <c r="G36" s="66" t="s">
        <v>482</v>
      </c>
      <c r="H36" s="66" t="s">
        <v>483</v>
      </c>
      <c r="I36" s="66" t="s">
        <v>10</v>
      </c>
      <c r="J36" s="82" t="s">
        <v>30</v>
      </c>
      <c r="K36" s="67">
        <v>6000</v>
      </c>
      <c r="L36" s="82">
        <f t="shared" si="4"/>
        <v>6000</v>
      </c>
      <c r="M36" s="67">
        <v>2000</v>
      </c>
      <c r="N36" s="82">
        <v>2000</v>
      </c>
      <c r="O36" s="82">
        <f t="shared" si="5"/>
        <v>4000</v>
      </c>
      <c r="P36" s="82">
        <f t="shared" si="6"/>
        <v>4000</v>
      </c>
      <c r="Q36" s="67">
        <v>4000</v>
      </c>
      <c r="R36" s="82">
        <v>4000</v>
      </c>
      <c r="S36" s="67"/>
      <c r="T36" s="82"/>
      <c r="U36" s="67"/>
      <c r="V36" s="82"/>
      <c r="W36" s="82"/>
      <c r="X36" s="82"/>
      <c r="Y36" s="82">
        <v>18</v>
      </c>
      <c r="Z36" s="82">
        <v>18</v>
      </c>
      <c r="AA36" s="18">
        <v>44195</v>
      </c>
      <c r="AB36" s="74">
        <v>44133</v>
      </c>
      <c r="AC36" s="75" t="s">
        <v>1797</v>
      </c>
      <c r="AD36" s="70" t="s">
        <v>460</v>
      </c>
    </row>
    <row r="37" spans="1:30" s="76" customFormat="1" ht="37.5">
      <c r="A37" s="82">
        <f>+SUBTOTAL(3,$B$7:B37)</f>
        <v>31</v>
      </c>
      <c r="B37" s="82" t="s">
        <v>444</v>
      </c>
      <c r="C37" s="82" t="s">
        <v>111</v>
      </c>
      <c r="D37" s="66" t="s">
        <v>167</v>
      </c>
      <c r="E37" s="82">
        <v>3</v>
      </c>
      <c r="F37" s="67">
        <v>302059636</v>
      </c>
      <c r="G37" s="66" t="s">
        <v>484</v>
      </c>
      <c r="H37" s="66" t="s">
        <v>485</v>
      </c>
      <c r="I37" s="66" t="s">
        <v>10</v>
      </c>
      <c r="J37" s="82" t="s">
        <v>48</v>
      </c>
      <c r="K37" s="67">
        <v>11500</v>
      </c>
      <c r="L37" s="82">
        <f t="shared" si="4"/>
        <v>0</v>
      </c>
      <c r="M37" s="67">
        <v>11500</v>
      </c>
      <c r="N37" s="82"/>
      <c r="O37" s="82">
        <f t="shared" si="5"/>
        <v>0</v>
      </c>
      <c r="P37" s="82">
        <f t="shared" si="6"/>
        <v>0</v>
      </c>
      <c r="Q37" s="67"/>
      <c r="R37" s="82"/>
      <c r="S37" s="67"/>
      <c r="T37" s="82"/>
      <c r="U37" s="67"/>
      <c r="V37" s="82"/>
      <c r="W37" s="82"/>
      <c r="X37" s="82"/>
      <c r="Y37" s="82">
        <v>70</v>
      </c>
      <c r="Z37" s="82"/>
      <c r="AA37" s="18">
        <v>44285</v>
      </c>
      <c r="AB37" s="74"/>
      <c r="AC37" s="75"/>
      <c r="AD37" s="70" t="s">
        <v>84</v>
      </c>
    </row>
    <row r="38" spans="1:30" s="76" customFormat="1" ht="37.5">
      <c r="A38" s="82">
        <f>+SUBTOTAL(3,$B$7:B38)</f>
        <v>32</v>
      </c>
      <c r="B38" s="82" t="s">
        <v>444</v>
      </c>
      <c r="C38" s="82" t="s">
        <v>111</v>
      </c>
      <c r="D38" s="66" t="s">
        <v>167</v>
      </c>
      <c r="E38" s="82">
        <v>3</v>
      </c>
      <c r="F38" s="67">
        <v>305017622</v>
      </c>
      <c r="G38" s="66" t="s">
        <v>486</v>
      </c>
      <c r="H38" s="66" t="s">
        <v>112</v>
      </c>
      <c r="I38" s="66" t="s">
        <v>6</v>
      </c>
      <c r="J38" s="82" t="s">
        <v>13</v>
      </c>
      <c r="K38" s="67">
        <v>145</v>
      </c>
      <c r="L38" s="82">
        <f t="shared" si="4"/>
        <v>145</v>
      </c>
      <c r="M38" s="67">
        <v>60</v>
      </c>
      <c r="N38" s="82">
        <v>60</v>
      </c>
      <c r="O38" s="82">
        <f t="shared" si="5"/>
        <v>85</v>
      </c>
      <c r="P38" s="82">
        <f t="shared" si="6"/>
        <v>85</v>
      </c>
      <c r="Q38" s="67">
        <v>85</v>
      </c>
      <c r="R38" s="82">
        <v>85</v>
      </c>
      <c r="S38" s="67"/>
      <c r="T38" s="82"/>
      <c r="U38" s="67"/>
      <c r="V38" s="82"/>
      <c r="W38" s="82"/>
      <c r="X38" s="82"/>
      <c r="Y38" s="82">
        <v>3</v>
      </c>
      <c r="Z38" s="82">
        <v>3</v>
      </c>
      <c r="AA38" s="18">
        <v>44185</v>
      </c>
      <c r="AB38" s="74">
        <v>44141</v>
      </c>
      <c r="AC38" s="75" t="s">
        <v>1798</v>
      </c>
      <c r="AD38" s="70" t="s">
        <v>453</v>
      </c>
    </row>
    <row r="39" spans="1:30" s="76" customFormat="1" ht="37.5">
      <c r="A39" s="82">
        <f>+SUBTOTAL(3,$B$7:B39)</f>
        <v>33</v>
      </c>
      <c r="B39" s="82" t="s">
        <v>444</v>
      </c>
      <c r="C39" s="82" t="s">
        <v>111</v>
      </c>
      <c r="D39" s="66" t="s">
        <v>167</v>
      </c>
      <c r="E39" s="82">
        <v>1</v>
      </c>
      <c r="F39" s="67">
        <v>307384009</v>
      </c>
      <c r="G39" s="66" t="s">
        <v>487</v>
      </c>
      <c r="H39" s="66" t="s">
        <v>488</v>
      </c>
      <c r="I39" s="66" t="s">
        <v>10</v>
      </c>
      <c r="J39" s="82" t="s">
        <v>30</v>
      </c>
      <c r="K39" s="67">
        <v>250</v>
      </c>
      <c r="L39" s="82">
        <f t="shared" ref="L39:L73" si="7">+N39+R39+T39*10.2+V39*10.2</f>
        <v>250</v>
      </c>
      <c r="M39" s="67">
        <v>100</v>
      </c>
      <c r="N39" s="82">
        <v>100</v>
      </c>
      <c r="O39" s="82">
        <f t="shared" si="5"/>
        <v>150</v>
      </c>
      <c r="P39" s="82">
        <f t="shared" si="6"/>
        <v>150</v>
      </c>
      <c r="Q39" s="67">
        <v>150</v>
      </c>
      <c r="R39" s="82">
        <v>150</v>
      </c>
      <c r="S39" s="67"/>
      <c r="T39" s="82"/>
      <c r="U39" s="67"/>
      <c r="V39" s="82"/>
      <c r="W39" s="82"/>
      <c r="X39" s="82"/>
      <c r="Y39" s="82">
        <v>4</v>
      </c>
      <c r="Z39" s="82">
        <v>4</v>
      </c>
      <c r="AA39" s="18">
        <v>44185</v>
      </c>
      <c r="AB39" s="74">
        <v>44142</v>
      </c>
      <c r="AC39" s="75" t="s">
        <v>1799</v>
      </c>
      <c r="AD39" s="70" t="s">
        <v>453</v>
      </c>
    </row>
    <row r="40" spans="1:30" s="76" customFormat="1" ht="37.5">
      <c r="A40" s="82">
        <f>+SUBTOTAL(3,$B$7:B40)</f>
        <v>34</v>
      </c>
      <c r="B40" s="82" t="s">
        <v>444</v>
      </c>
      <c r="C40" s="82" t="s">
        <v>111</v>
      </c>
      <c r="D40" s="66" t="s">
        <v>167</v>
      </c>
      <c r="E40" s="82">
        <v>2</v>
      </c>
      <c r="F40" s="67">
        <v>307592256</v>
      </c>
      <c r="G40" s="66" t="s">
        <v>489</v>
      </c>
      <c r="H40" s="66" t="s">
        <v>490</v>
      </c>
      <c r="I40" s="66" t="s">
        <v>10</v>
      </c>
      <c r="J40" s="82" t="s">
        <v>30</v>
      </c>
      <c r="K40" s="67">
        <v>1600</v>
      </c>
      <c r="L40" s="82">
        <f t="shared" si="7"/>
        <v>0</v>
      </c>
      <c r="M40" s="67">
        <v>400</v>
      </c>
      <c r="N40" s="82"/>
      <c r="O40" s="82">
        <f t="shared" si="5"/>
        <v>1200</v>
      </c>
      <c r="P40" s="82">
        <f t="shared" si="6"/>
        <v>0</v>
      </c>
      <c r="Q40" s="67">
        <v>1200</v>
      </c>
      <c r="R40" s="82"/>
      <c r="S40" s="67"/>
      <c r="T40" s="82"/>
      <c r="U40" s="67"/>
      <c r="V40" s="82"/>
      <c r="W40" s="82"/>
      <c r="X40" s="82"/>
      <c r="Y40" s="82">
        <v>10</v>
      </c>
      <c r="Z40" s="82"/>
      <c r="AA40" s="18">
        <v>44317</v>
      </c>
      <c r="AB40" s="74"/>
      <c r="AC40" s="75"/>
      <c r="AD40" s="70" t="s">
        <v>2</v>
      </c>
    </row>
    <row r="41" spans="1:30" s="76" customFormat="1" ht="37.5">
      <c r="A41" s="82">
        <f>+SUBTOTAL(3,$B$7:B41)</f>
        <v>35</v>
      </c>
      <c r="B41" s="82" t="s">
        <v>444</v>
      </c>
      <c r="C41" s="82" t="s">
        <v>111</v>
      </c>
      <c r="D41" s="66" t="s">
        <v>167</v>
      </c>
      <c r="E41" s="82">
        <v>3</v>
      </c>
      <c r="F41" s="67">
        <v>302461422</v>
      </c>
      <c r="G41" s="66" t="s">
        <v>491</v>
      </c>
      <c r="H41" s="66" t="s">
        <v>141</v>
      </c>
      <c r="I41" s="66" t="s">
        <v>9</v>
      </c>
      <c r="J41" s="82" t="s">
        <v>40</v>
      </c>
      <c r="K41" s="67">
        <v>400</v>
      </c>
      <c r="L41" s="82">
        <f t="shared" si="7"/>
        <v>133</v>
      </c>
      <c r="M41" s="67">
        <v>200</v>
      </c>
      <c r="N41" s="82"/>
      <c r="O41" s="82">
        <f t="shared" si="5"/>
        <v>200</v>
      </c>
      <c r="P41" s="82">
        <f t="shared" si="6"/>
        <v>133</v>
      </c>
      <c r="Q41" s="67">
        <v>200</v>
      </c>
      <c r="R41" s="82">
        <v>133</v>
      </c>
      <c r="S41" s="67"/>
      <c r="T41" s="82"/>
      <c r="U41" s="67"/>
      <c r="V41" s="82"/>
      <c r="W41" s="82"/>
      <c r="X41" s="82"/>
      <c r="Y41" s="82">
        <v>4</v>
      </c>
      <c r="Z41" s="82"/>
      <c r="AA41" s="18">
        <v>44287</v>
      </c>
      <c r="AB41" s="74"/>
      <c r="AC41" s="75"/>
      <c r="AD41" s="70" t="s">
        <v>3</v>
      </c>
    </row>
    <row r="42" spans="1:30" s="76" customFormat="1" ht="37.5">
      <c r="A42" s="82">
        <f>+SUBTOTAL(3,$B$7:B42)</f>
        <v>36</v>
      </c>
      <c r="B42" s="82" t="s">
        <v>444</v>
      </c>
      <c r="C42" s="82" t="s">
        <v>111</v>
      </c>
      <c r="D42" s="66" t="s">
        <v>167</v>
      </c>
      <c r="E42" s="82">
        <v>2</v>
      </c>
      <c r="F42" s="67">
        <v>301149825</v>
      </c>
      <c r="G42" s="66" t="s">
        <v>492</v>
      </c>
      <c r="H42" s="66" t="s">
        <v>136</v>
      </c>
      <c r="I42" s="66" t="s">
        <v>9</v>
      </c>
      <c r="J42" s="82" t="s">
        <v>36</v>
      </c>
      <c r="K42" s="67">
        <v>1000</v>
      </c>
      <c r="L42" s="82">
        <f t="shared" si="7"/>
        <v>0</v>
      </c>
      <c r="M42" s="67">
        <v>1000</v>
      </c>
      <c r="N42" s="82"/>
      <c r="O42" s="82">
        <f t="shared" si="5"/>
        <v>0</v>
      </c>
      <c r="P42" s="82">
        <f t="shared" si="6"/>
        <v>0</v>
      </c>
      <c r="Q42" s="67"/>
      <c r="R42" s="82"/>
      <c r="S42" s="67"/>
      <c r="T42" s="82"/>
      <c r="U42" s="67"/>
      <c r="V42" s="82"/>
      <c r="W42" s="82"/>
      <c r="X42" s="82"/>
      <c r="Y42" s="82">
        <v>10</v>
      </c>
      <c r="Z42" s="82"/>
      <c r="AA42" s="18">
        <v>44317</v>
      </c>
      <c r="AB42" s="74"/>
      <c r="AC42" s="75"/>
      <c r="AD42" s="70" t="s">
        <v>3</v>
      </c>
    </row>
    <row r="43" spans="1:30" s="76" customFormat="1" ht="56.25">
      <c r="A43" s="82">
        <f>+SUBTOTAL(3,$B$7:B43)</f>
        <v>37</v>
      </c>
      <c r="B43" s="82" t="s">
        <v>2100</v>
      </c>
      <c r="C43" s="82" t="s">
        <v>111</v>
      </c>
      <c r="D43" s="66" t="s">
        <v>167</v>
      </c>
      <c r="E43" s="82">
        <v>1</v>
      </c>
      <c r="F43" s="67">
        <v>305789668</v>
      </c>
      <c r="G43" s="66" t="s">
        <v>493</v>
      </c>
      <c r="H43" s="66" t="s">
        <v>494</v>
      </c>
      <c r="I43" s="66" t="s">
        <v>9</v>
      </c>
      <c r="J43" s="82" t="s">
        <v>37</v>
      </c>
      <c r="K43" s="67">
        <v>15450.000000000002</v>
      </c>
      <c r="L43" s="82">
        <f t="shared" si="7"/>
        <v>0</v>
      </c>
      <c r="M43" s="67"/>
      <c r="N43" s="82"/>
      <c r="O43" s="82">
        <f t="shared" si="5"/>
        <v>0</v>
      </c>
      <c r="P43" s="82">
        <f t="shared" si="6"/>
        <v>0</v>
      </c>
      <c r="Q43" s="67"/>
      <c r="R43" s="82"/>
      <c r="S43" s="67"/>
      <c r="T43" s="82"/>
      <c r="U43" s="67">
        <v>1500</v>
      </c>
      <c r="V43" s="82"/>
      <c r="W43" s="82" t="s">
        <v>1800</v>
      </c>
      <c r="X43" s="82" t="s">
        <v>1801</v>
      </c>
      <c r="Y43" s="82">
        <v>25</v>
      </c>
      <c r="Z43" s="82"/>
      <c r="AA43" s="18">
        <v>44896</v>
      </c>
      <c r="AB43" s="74"/>
      <c r="AC43" s="75"/>
      <c r="AD43" s="70" t="s">
        <v>446</v>
      </c>
    </row>
    <row r="44" spans="1:30" s="76" customFormat="1" ht="56.25">
      <c r="A44" s="82">
        <f>+SUBTOTAL(3,$B$7:B44)</f>
        <v>38</v>
      </c>
      <c r="B44" s="82" t="s">
        <v>444</v>
      </c>
      <c r="C44" s="82" t="s">
        <v>111</v>
      </c>
      <c r="D44" s="66" t="s">
        <v>167</v>
      </c>
      <c r="E44" s="82">
        <v>1</v>
      </c>
      <c r="F44" s="67">
        <v>304192922</v>
      </c>
      <c r="G44" s="66" t="s">
        <v>495</v>
      </c>
      <c r="H44" s="66" t="s">
        <v>496</v>
      </c>
      <c r="I44" s="66" t="s">
        <v>6</v>
      </c>
      <c r="J44" s="82" t="s">
        <v>55</v>
      </c>
      <c r="K44" s="67">
        <v>12200</v>
      </c>
      <c r="L44" s="82">
        <f t="shared" si="7"/>
        <v>0</v>
      </c>
      <c r="M44" s="67">
        <v>1900</v>
      </c>
      <c r="N44" s="82"/>
      <c r="O44" s="82">
        <f t="shared" si="5"/>
        <v>0</v>
      </c>
      <c r="P44" s="82">
        <f t="shared" si="6"/>
        <v>0</v>
      </c>
      <c r="Q44" s="67"/>
      <c r="R44" s="82"/>
      <c r="S44" s="67"/>
      <c r="T44" s="82"/>
      <c r="U44" s="67">
        <v>1000</v>
      </c>
      <c r="V44" s="82"/>
      <c r="W44" s="82" t="s">
        <v>1802</v>
      </c>
      <c r="X44" s="82" t="s">
        <v>1803</v>
      </c>
      <c r="Y44" s="82">
        <v>10</v>
      </c>
      <c r="Z44" s="82"/>
      <c r="AA44" s="18">
        <v>44531</v>
      </c>
      <c r="AB44" s="74"/>
      <c r="AC44" s="75"/>
      <c r="AD44" s="70" t="s">
        <v>477</v>
      </c>
    </row>
    <row r="45" spans="1:30" s="76" customFormat="1" ht="37.5">
      <c r="A45" s="82">
        <f>+SUBTOTAL(3,$B$7:B45)</f>
        <v>39</v>
      </c>
      <c r="B45" s="82" t="s">
        <v>444</v>
      </c>
      <c r="C45" s="82" t="s">
        <v>111</v>
      </c>
      <c r="D45" s="66" t="s">
        <v>167</v>
      </c>
      <c r="E45" s="82">
        <v>4</v>
      </c>
      <c r="F45" s="67">
        <v>307567111</v>
      </c>
      <c r="G45" s="66" t="s">
        <v>497</v>
      </c>
      <c r="H45" s="66" t="s">
        <v>498</v>
      </c>
      <c r="I45" s="66" t="s">
        <v>10</v>
      </c>
      <c r="J45" s="82" t="s">
        <v>66</v>
      </c>
      <c r="K45" s="67">
        <v>2000</v>
      </c>
      <c r="L45" s="82">
        <f t="shared" si="7"/>
        <v>1000</v>
      </c>
      <c r="M45" s="67">
        <v>500</v>
      </c>
      <c r="N45" s="82"/>
      <c r="O45" s="82">
        <f t="shared" si="5"/>
        <v>1500</v>
      </c>
      <c r="P45" s="82">
        <f t="shared" si="6"/>
        <v>1000</v>
      </c>
      <c r="Q45" s="67">
        <v>1500</v>
      </c>
      <c r="R45" s="82">
        <v>1000</v>
      </c>
      <c r="S45" s="67"/>
      <c r="T45" s="82"/>
      <c r="U45" s="67"/>
      <c r="V45" s="82"/>
      <c r="W45" s="82"/>
      <c r="X45" s="82"/>
      <c r="Y45" s="68">
        <v>8</v>
      </c>
      <c r="Z45" s="82"/>
      <c r="AA45" s="69">
        <v>44469</v>
      </c>
      <c r="AB45" s="74"/>
      <c r="AC45" s="75"/>
      <c r="AD45" s="70" t="s">
        <v>445</v>
      </c>
    </row>
    <row r="46" spans="1:30" s="76" customFormat="1" ht="37.5">
      <c r="A46" s="82">
        <f>+SUBTOTAL(3,$B$7:B46)</f>
        <v>40</v>
      </c>
      <c r="B46" s="82" t="s">
        <v>444</v>
      </c>
      <c r="C46" s="82" t="s">
        <v>111</v>
      </c>
      <c r="D46" s="66" t="s">
        <v>167</v>
      </c>
      <c r="E46" s="82">
        <v>4</v>
      </c>
      <c r="F46" s="67">
        <v>304115794</v>
      </c>
      <c r="G46" s="66" t="s">
        <v>499</v>
      </c>
      <c r="H46" s="66" t="s">
        <v>500</v>
      </c>
      <c r="I46" s="66" t="s">
        <v>10</v>
      </c>
      <c r="J46" s="82" t="s">
        <v>30</v>
      </c>
      <c r="K46" s="67">
        <v>1224</v>
      </c>
      <c r="L46" s="82">
        <f t="shared" si="7"/>
        <v>0</v>
      </c>
      <c r="M46" s="67">
        <v>1224</v>
      </c>
      <c r="N46" s="82"/>
      <c r="O46" s="82">
        <f t="shared" si="5"/>
        <v>0</v>
      </c>
      <c r="P46" s="82">
        <f t="shared" si="6"/>
        <v>0</v>
      </c>
      <c r="Q46" s="67"/>
      <c r="R46" s="82"/>
      <c r="S46" s="67"/>
      <c r="T46" s="82"/>
      <c r="U46" s="67"/>
      <c r="V46" s="82"/>
      <c r="W46" s="82"/>
      <c r="X46" s="82"/>
      <c r="Y46" s="68">
        <v>10</v>
      </c>
      <c r="Z46" s="82"/>
      <c r="AA46" s="69">
        <v>44560</v>
      </c>
      <c r="AB46" s="74"/>
      <c r="AC46" s="75"/>
      <c r="AD46" s="70" t="s">
        <v>477</v>
      </c>
    </row>
    <row r="47" spans="1:30" s="76" customFormat="1" ht="37.5">
      <c r="A47" s="82">
        <f>+SUBTOTAL(3,$B$7:B47)</f>
        <v>41</v>
      </c>
      <c r="B47" s="82" t="s">
        <v>444</v>
      </c>
      <c r="C47" s="82" t="s">
        <v>111</v>
      </c>
      <c r="D47" s="66" t="s">
        <v>167</v>
      </c>
      <c r="E47" s="82">
        <v>4</v>
      </c>
      <c r="F47" s="67">
        <v>301437775</v>
      </c>
      <c r="G47" s="66" t="s">
        <v>501</v>
      </c>
      <c r="H47" s="66" t="s">
        <v>502</v>
      </c>
      <c r="I47" s="66" t="s">
        <v>6</v>
      </c>
      <c r="J47" s="82" t="s">
        <v>12</v>
      </c>
      <c r="K47" s="67">
        <v>1000</v>
      </c>
      <c r="L47" s="82">
        <f t="shared" si="7"/>
        <v>1000</v>
      </c>
      <c r="M47" s="67">
        <v>700</v>
      </c>
      <c r="N47" s="82">
        <v>700</v>
      </c>
      <c r="O47" s="82">
        <f t="shared" si="5"/>
        <v>300</v>
      </c>
      <c r="P47" s="82">
        <f t="shared" si="6"/>
        <v>300</v>
      </c>
      <c r="Q47" s="67">
        <v>300</v>
      </c>
      <c r="R47" s="82">
        <v>300</v>
      </c>
      <c r="S47" s="67"/>
      <c r="T47" s="82"/>
      <c r="U47" s="67"/>
      <c r="V47" s="82"/>
      <c r="W47" s="82"/>
      <c r="X47" s="82"/>
      <c r="Y47" s="68">
        <v>5</v>
      </c>
      <c r="Z47" s="82">
        <v>5</v>
      </c>
      <c r="AA47" s="69">
        <v>44166</v>
      </c>
      <c r="AB47" s="74">
        <v>44133</v>
      </c>
      <c r="AC47" s="75" t="s">
        <v>1804</v>
      </c>
      <c r="AD47" s="70" t="s">
        <v>84</v>
      </c>
    </row>
    <row r="48" spans="1:30" s="76" customFormat="1" ht="56.25">
      <c r="A48" s="82">
        <f>+SUBTOTAL(3,$B$7:B48)</f>
        <v>42</v>
      </c>
      <c r="B48" s="82" t="s">
        <v>444</v>
      </c>
      <c r="C48" s="82" t="s">
        <v>111</v>
      </c>
      <c r="D48" s="66" t="s">
        <v>167</v>
      </c>
      <c r="E48" s="82">
        <v>4</v>
      </c>
      <c r="F48" s="67">
        <v>305023085</v>
      </c>
      <c r="G48" s="66" t="s">
        <v>503</v>
      </c>
      <c r="H48" s="66" t="s">
        <v>504</v>
      </c>
      <c r="I48" s="66" t="s">
        <v>6</v>
      </c>
      <c r="J48" s="82" t="s">
        <v>14</v>
      </c>
      <c r="K48" s="67">
        <v>2430</v>
      </c>
      <c r="L48" s="82">
        <f t="shared" si="7"/>
        <v>2430</v>
      </c>
      <c r="M48" s="67">
        <v>1053</v>
      </c>
      <c r="N48" s="82">
        <v>1053</v>
      </c>
      <c r="O48" s="82">
        <f t="shared" si="5"/>
        <v>1377</v>
      </c>
      <c r="P48" s="82">
        <f t="shared" si="6"/>
        <v>1377</v>
      </c>
      <c r="Q48" s="67">
        <v>1377</v>
      </c>
      <c r="R48" s="82">
        <v>1377</v>
      </c>
      <c r="S48" s="67"/>
      <c r="T48" s="82"/>
      <c r="U48" s="67"/>
      <c r="V48" s="82"/>
      <c r="W48" s="82"/>
      <c r="X48" s="82"/>
      <c r="Y48" s="68">
        <v>10</v>
      </c>
      <c r="Z48" s="82">
        <v>10</v>
      </c>
      <c r="AA48" s="69">
        <v>44166</v>
      </c>
      <c r="AB48" s="74">
        <v>43521</v>
      </c>
      <c r="AC48" s="75" t="s">
        <v>2011</v>
      </c>
      <c r="AD48" s="70" t="s">
        <v>1</v>
      </c>
    </row>
    <row r="49" spans="1:30" s="76" customFormat="1" ht="37.5">
      <c r="A49" s="82">
        <f>+SUBTOTAL(3,$B$7:B49)</f>
        <v>43</v>
      </c>
      <c r="B49" s="82" t="s">
        <v>444</v>
      </c>
      <c r="C49" s="82" t="s">
        <v>111</v>
      </c>
      <c r="D49" s="66" t="s">
        <v>167</v>
      </c>
      <c r="E49" s="82">
        <v>3</v>
      </c>
      <c r="F49" s="67">
        <v>303366436</v>
      </c>
      <c r="G49" s="66" t="s">
        <v>181</v>
      </c>
      <c r="H49" s="66" t="s">
        <v>182</v>
      </c>
      <c r="I49" s="66" t="s">
        <v>9</v>
      </c>
      <c r="J49" s="82" t="s">
        <v>37</v>
      </c>
      <c r="K49" s="67">
        <v>6575</v>
      </c>
      <c r="L49" s="82">
        <f t="shared" si="7"/>
        <v>5100</v>
      </c>
      <c r="M49" s="67">
        <v>1425</v>
      </c>
      <c r="N49" s="82"/>
      <c r="O49" s="82">
        <f t="shared" si="5"/>
        <v>5100</v>
      </c>
      <c r="P49" s="82">
        <f t="shared" si="6"/>
        <v>5100</v>
      </c>
      <c r="Q49" s="67"/>
      <c r="R49" s="82"/>
      <c r="S49" s="67">
        <v>500</v>
      </c>
      <c r="T49" s="82">
        <v>500</v>
      </c>
      <c r="U49" s="67"/>
      <c r="V49" s="82"/>
      <c r="W49" s="82"/>
      <c r="X49" s="82"/>
      <c r="Y49" s="82">
        <v>7</v>
      </c>
      <c r="Z49" s="82"/>
      <c r="AA49" s="18">
        <v>44287</v>
      </c>
      <c r="AB49" s="74"/>
      <c r="AC49" s="75"/>
      <c r="AD49" s="70" t="s">
        <v>7</v>
      </c>
    </row>
    <row r="50" spans="1:30" s="76" customFormat="1" ht="37.5">
      <c r="A50" s="82">
        <f>+SUBTOTAL(3,$B$7:B50)</f>
        <v>44</v>
      </c>
      <c r="B50" s="82" t="s">
        <v>444</v>
      </c>
      <c r="C50" s="82" t="s">
        <v>111</v>
      </c>
      <c r="D50" s="66" t="s">
        <v>167</v>
      </c>
      <c r="E50" s="82">
        <v>4</v>
      </c>
      <c r="F50" s="67">
        <v>307384894</v>
      </c>
      <c r="G50" s="66" t="s">
        <v>505</v>
      </c>
      <c r="H50" s="66" t="s">
        <v>506</v>
      </c>
      <c r="I50" s="66" t="s">
        <v>6</v>
      </c>
      <c r="J50" s="82" t="s">
        <v>13</v>
      </c>
      <c r="K50" s="67">
        <v>300</v>
      </c>
      <c r="L50" s="82">
        <f t="shared" si="7"/>
        <v>200</v>
      </c>
      <c r="M50" s="67">
        <v>100</v>
      </c>
      <c r="N50" s="82"/>
      <c r="O50" s="82">
        <f t="shared" si="5"/>
        <v>200</v>
      </c>
      <c r="P50" s="82">
        <f t="shared" si="6"/>
        <v>200</v>
      </c>
      <c r="Q50" s="67">
        <v>200</v>
      </c>
      <c r="R50" s="82">
        <v>200</v>
      </c>
      <c r="S50" s="67"/>
      <c r="T50" s="82"/>
      <c r="U50" s="67"/>
      <c r="V50" s="82"/>
      <c r="W50" s="82"/>
      <c r="X50" s="82"/>
      <c r="Y50" s="82">
        <v>4</v>
      </c>
      <c r="Z50" s="82"/>
      <c r="AA50" s="18">
        <v>44287</v>
      </c>
      <c r="AB50" s="74"/>
      <c r="AC50" s="75"/>
      <c r="AD50" s="70" t="s">
        <v>7</v>
      </c>
    </row>
    <row r="51" spans="1:30" s="76" customFormat="1" ht="37.5">
      <c r="A51" s="82">
        <f>+SUBTOTAL(3,$B$7:B51)</f>
        <v>45</v>
      </c>
      <c r="B51" s="82" t="s">
        <v>444</v>
      </c>
      <c r="C51" s="82" t="s">
        <v>111</v>
      </c>
      <c r="D51" s="66" t="s">
        <v>167</v>
      </c>
      <c r="E51" s="82">
        <v>4</v>
      </c>
      <c r="F51" s="67">
        <v>305678061</v>
      </c>
      <c r="G51" s="66" t="s">
        <v>507</v>
      </c>
      <c r="H51" s="66" t="s">
        <v>508</v>
      </c>
      <c r="I51" s="66" t="s">
        <v>6</v>
      </c>
      <c r="J51" s="82" t="s">
        <v>12</v>
      </c>
      <c r="K51" s="67">
        <v>350</v>
      </c>
      <c r="L51" s="82">
        <f t="shared" si="7"/>
        <v>250</v>
      </c>
      <c r="M51" s="67">
        <v>100</v>
      </c>
      <c r="N51" s="82"/>
      <c r="O51" s="82">
        <f t="shared" si="5"/>
        <v>250</v>
      </c>
      <c r="P51" s="82">
        <f t="shared" si="6"/>
        <v>250</v>
      </c>
      <c r="Q51" s="67">
        <v>250</v>
      </c>
      <c r="R51" s="82">
        <v>250</v>
      </c>
      <c r="S51" s="67"/>
      <c r="T51" s="82"/>
      <c r="U51" s="67"/>
      <c r="V51" s="82"/>
      <c r="W51" s="82"/>
      <c r="X51" s="82"/>
      <c r="Y51" s="82">
        <v>9</v>
      </c>
      <c r="Z51" s="82"/>
      <c r="AA51" s="18">
        <v>44317</v>
      </c>
      <c r="AB51" s="74"/>
      <c r="AC51" s="75"/>
      <c r="AD51" s="70" t="s">
        <v>7</v>
      </c>
    </row>
    <row r="52" spans="1:30" s="76" customFormat="1" ht="37.5">
      <c r="A52" s="82">
        <f>+SUBTOTAL(3,$B$7:B52)</f>
        <v>46</v>
      </c>
      <c r="B52" s="82" t="s">
        <v>444</v>
      </c>
      <c r="C52" s="82" t="s">
        <v>111</v>
      </c>
      <c r="D52" s="66" t="s">
        <v>167</v>
      </c>
      <c r="E52" s="82">
        <v>4</v>
      </c>
      <c r="F52" s="67">
        <v>307543442</v>
      </c>
      <c r="G52" s="66" t="s">
        <v>509</v>
      </c>
      <c r="H52" s="66" t="s">
        <v>510</v>
      </c>
      <c r="I52" s="66" t="s">
        <v>10</v>
      </c>
      <c r="J52" s="82" t="s">
        <v>44</v>
      </c>
      <c r="K52" s="67">
        <v>740</v>
      </c>
      <c r="L52" s="82">
        <f t="shared" si="7"/>
        <v>740</v>
      </c>
      <c r="M52" s="67">
        <v>140</v>
      </c>
      <c r="N52" s="82">
        <v>240</v>
      </c>
      <c r="O52" s="82">
        <f t="shared" si="5"/>
        <v>600</v>
      </c>
      <c r="P52" s="82">
        <f t="shared" si="6"/>
        <v>500</v>
      </c>
      <c r="Q52" s="67">
        <v>600</v>
      </c>
      <c r="R52" s="82">
        <v>500</v>
      </c>
      <c r="S52" s="67"/>
      <c r="T52" s="82"/>
      <c r="U52" s="67"/>
      <c r="V52" s="82"/>
      <c r="W52" s="82"/>
      <c r="X52" s="82"/>
      <c r="Y52" s="82">
        <v>6</v>
      </c>
      <c r="Z52" s="82">
        <v>1</v>
      </c>
      <c r="AA52" s="18">
        <v>44228</v>
      </c>
      <c r="AB52" s="74">
        <v>44110</v>
      </c>
      <c r="AC52" s="75" t="s">
        <v>1805</v>
      </c>
      <c r="AD52" s="70" t="s">
        <v>7</v>
      </c>
    </row>
    <row r="53" spans="1:30" s="76" customFormat="1" ht="37.5">
      <c r="A53" s="82">
        <f>+SUBTOTAL(3,$B$7:B53)</f>
        <v>47</v>
      </c>
      <c r="B53" s="82" t="s">
        <v>444</v>
      </c>
      <c r="C53" s="82" t="s">
        <v>111</v>
      </c>
      <c r="D53" s="66" t="s">
        <v>167</v>
      </c>
      <c r="E53" s="82">
        <v>3</v>
      </c>
      <c r="F53" s="67">
        <v>307309011</v>
      </c>
      <c r="G53" s="66" t="s">
        <v>511</v>
      </c>
      <c r="H53" s="66" t="s">
        <v>512</v>
      </c>
      <c r="I53" s="66" t="s">
        <v>6</v>
      </c>
      <c r="J53" s="82" t="s">
        <v>12</v>
      </c>
      <c r="K53" s="67">
        <v>240</v>
      </c>
      <c r="L53" s="82">
        <f t="shared" si="7"/>
        <v>240</v>
      </c>
      <c r="M53" s="67">
        <v>60</v>
      </c>
      <c r="N53" s="82">
        <v>60</v>
      </c>
      <c r="O53" s="82">
        <f t="shared" si="5"/>
        <v>180</v>
      </c>
      <c r="P53" s="82">
        <f t="shared" si="6"/>
        <v>180</v>
      </c>
      <c r="Q53" s="67">
        <v>180</v>
      </c>
      <c r="R53" s="82">
        <v>180</v>
      </c>
      <c r="S53" s="67"/>
      <c r="T53" s="82"/>
      <c r="U53" s="67"/>
      <c r="V53" s="82"/>
      <c r="W53" s="82"/>
      <c r="X53" s="82"/>
      <c r="Y53" s="82">
        <v>2</v>
      </c>
      <c r="Z53" s="82">
        <v>2</v>
      </c>
      <c r="AA53" s="18">
        <v>44195</v>
      </c>
      <c r="AB53" s="74">
        <v>44150</v>
      </c>
      <c r="AC53" s="75" t="s">
        <v>2049</v>
      </c>
      <c r="AD53" s="70" t="s">
        <v>7</v>
      </c>
    </row>
    <row r="54" spans="1:30" s="76" customFormat="1" ht="37.5">
      <c r="A54" s="82">
        <f>+SUBTOTAL(3,$B$7:B54)</f>
        <v>48</v>
      </c>
      <c r="B54" s="82" t="s">
        <v>444</v>
      </c>
      <c r="C54" s="82" t="s">
        <v>111</v>
      </c>
      <c r="D54" s="66" t="s">
        <v>167</v>
      </c>
      <c r="E54" s="82">
        <v>2</v>
      </c>
      <c r="F54" s="67">
        <v>305689000</v>
      </c>
      <c r="G54" s="66" t="s">
        <v>513</v>
      </c>
      <c r="H54" s="66" t="s">
        <v>514</v>
      </c>
      <c r="I54" s="66" t="s">
        <v>6</v>
      </c>
      <c r="J54" s="82" t="s">
        <v>12</v>
      </c>
      <c r="K54" s="67">
        <v>400</v>
      </c>
      <c r="L54" s="82">
        <f t="shared" si="7"/>
        <v>400</v>
      </c>
      <c r="M54" s="67">
        <v>100</v>
      </c>
      <c r="N54" s="82">
        <v>100</v>
      </c>
      <c r="O54" s="82">
        <f t="shared" si="5"/>
        <v>300</v>
      </c>
      <c r="P54" s="82">
        <f t="shared" si="6"/>
        <v>300</v>
      </c>
      <c r="Q54" s="67">
        <v>300</v>
      </c>
      <c r="R54" s="82">
        <v>300</v>
      </c>
      <c r="S54" s="67"/>
      <c r="T54" s="82"/>
      <c r="U54" s="67"/>
      <c r="V54" s="82"/>
      <c r="W54" s="82"/>
      <c r="X54" s="82"/>
      <c r="Y54" s="82">
        <v>3</v>
      </c>
      <c r="Z54" s="82">
        <v>3</v>
      </c>
      <c r="AA54" s="18">
        <v>44378</v>
      </c>
      <c r="AB54" s="74">
        <v>44166</v>
      </c>
      <c r="AC54" s="75" t="s">
        <v>2058</v>
      </c>
      <c r="AD54" s="70" t="s">
        <v>7</v>
      </c>
    </row>
    <row r="55" spans="1:30" s="76" customFormat="1" ht="37.5">
      <c r="A55" s="82">
        <f>+SUBTOTAL(3,$B$7:B55)</f>
        <v>49</v>
      </c>
      <c r="B55" s="82" t="s">
        <v>444</v>
      </c>
      <c r="C55" s="82" t="s">
        <v>111</v>
      </c>
      <c r="D55" s="66" t="s">
        <v>167</v>
      </c>
      <c r="E55" s="82">
        <v>1</v>
      </c>
      <c r="F55" s="67">
        <v>205146584</v>
      </c>
      <c r="G55" s="66" t="s">
        <v>515</v>
      </c>
      <c r="H55" s="66" t="s">
        <v>516</v>
      </c>
      <c r="I55" s="66" t="s">
        <v>10</v>
      </c>
      <c r="J55" s="82" t="s">
        <v>66</v>
      </c>
      <c r="K55" s="67">
        <v>1000</v>
      </c>
      <c r="L55" s="82">
        <f t="shared" si="7"/>
        <v>1000</v>
      </c>
      <c r="M55" s="67">
        <v>600</v>
      </c>
      <c r="N55" s="82">
        <v>600</v>
      </c>
      <c r="O55" s="82">
        <f t="shared" si="5"/>
        <v>400</v>
      </c>
      <c r="P55" s="82">
        <f t="shared" si="6"/>
        <v>400</v>
      </c>
      <c r="Q55" s="67">
        <v>400</v>
      </c>
      <c r="R55" s="82">
        <v>400</v>
      </c>
      <c r="S55" s="67"/>
      <c r="T55" s="82"/>
      <c r="U55" s="67"/>
      <c r="V55" s="82"/>
      <c r="W55" s="82"/>
      <c r="X55" s="82"/>
      <c r="Y55" s="82">
        <v>5</v>
      </c>
      <c r="Z55" s="82">
        <v>5</v>
      </c>
      <c r="AA55" s="18">
        <v>44195</v>
      </c>
      <c r="AB55" s="74">
        <v>44150</v>
      </c>
      <c r="AC55" s="75" t="s">
        <v>2059</v>
      </c>
      <c r="AD55" s="70" t="s">
        <v>7</v>
      </c>
    </row>
    <row r="56" spans="1:30" s="76" customFormat="1" ht="37.5">
      <c r="A56" s="82">
        <f>+SUBTOTAL(3,$B$7:B56)</f>
        <v>50</v>
      </c>
      <c r="B56" s="82" t="s">
        <v>444</v>
      </c>
      <c r="C56" s="82" t="s">
        <v>111</v>
      </c>
      <c r="D56" s="66" t="s">
        <v>167</v>
      </c>
      <c r="E56" s="82">
        <v>4</v>
      </c>
      <c r="F56" s="67">
        <v>306966289</v>
      </c>
      <c r="G56" s="66" t="s">
        <v>517</v>
      </c>
      <c r="H56" s="66" t="s">
        <v>162</v>
      </c>
      <c r="I56" s="66" t="s">
        <v>10</v>
      </c>
      <c r="J56" s="82" t="s">
        <v>59</v>
      </c>
      <c r="K56" s="67">
        <v>554</v>
      </c>
      <c r="L56" s="82">
        <f t="shared" si="7"/>
        <v>554</v>
      </c>
      <c r="M56" s="67">
        <v>100</v>
      </c>
      <c r="N56" s="82">
        <v>100</v>
      </c>
      <c r="O56" s="82">
        <f t="shared" si="5"/>
        <v>454</v>
      </c>
      <c r="P56" s="82">
        <f t="shared" si="6"/>
        <v>454</v>
      </c>
      <c r="Q56" s="67">
        <v>454</v>
      </c>
      <c r="R56" s="82">
        <v>454</v>
      </c>
      <c r="S56" s="67"/>
      <c r="T56" s="82"/>
      <c r="U56" s="67"/>
      <c r="V56" s="82"/>
      <c r="W56" s="82"/>
      <c r="X56" s="82"/>
      <c r="Y56" s="82">
        <v>2</v>
      </c>
      <c r="Z56" s="82">
        <v>1</v>
      </c>
      <c r="AA56" s="18">
        <v>44195</v>
      </c>
      <c r="AB56" s="74">
        <v>43931</v>
      </c>
      <c r="AC56" s="75" t="s">
        <v>1806</v>
      </c>
      <c r="AD56" s="70" t="s">
        <v>7</v>
      </c>
    </row>
    <row r="57" spans="1:30" s="76" customFormat="1" ht="37.5">
      <c r="A57" s="82">
        <f>+SUBTOTAL(3,$B$7:B57)</f>
        <v>51</v>
      </c>
      <c r="B57" s="82" t="s">
        <v>444</v>
      </c>
      <c r="C57" s="82" t="s">
        <v>111</v>
      </c>
      <c r="D57" s="66" t="s">
        <v>167</v>
      </c>
      <c r="E57" s="82">
        <v>1</v>
      </c>
      <c r="F57" s="67">
        <v>328280641</v>
      </c>
      <c r="G57" s="66" t="s">
        <v>518</v>
      </c>
      <c r="H57" s="66" t="s">
        <v>519</v>
      </c>
      <c r="I57" s="66" t="s">
        <v>6</v>
      </c>
      <c r="J57" s="82" t="s">
        <v>12</v>
      </c>
      <c r="K57" s="67">
        <v>700</v>
      </c>
      <c r="L57" s="82">
        <f t="shared" si="7"/>
        <v>700</v>
      </c>
      <c r="M57" s="67">
        <v>600</v>
      </c>
      <c r="N57" s="82">
        <v>600</v>
      </c>
      <c r="O57" s="82">
        <f t="shared" si="5"/>
        <v>100</v>
      </c>
      <c r="P57" s="82">
        <f t="shared" si="6"/>
        <v>100</v>
      </c>
      <c r="Q57" s="67">
        <v>100</v>
      </c>
      <c r="R57" s="82">
        <v>100</v>
      </c>
      <c r="S57" s="67"/>
      <c r="T57" s="82"/>
      <c r="U57" s="67"/>
      <c r="V57" s="82"/>
      <c r="W57" s="82"/>
      <c r="X57" s="82"/>
      <c r="Y57" s="82">
        <v>5</v>
      </c>
      <c r="Z57" s="82">
        <v>5</v>
      </c>
      <c r="AA57" s="18">
        <v>44195</v>
      </c>
      <c r="AB57" s="74">
        <v>44132</v>
      </c>
      <c r="AC57" s="75" t="s">
        <v>1807</v>
      </c>
      <c r="AD57" s="70" t="s">
        <v>7</v>
      </c>
    </row>
    <row r="58" spans="1:30" s="76" customFormat="1" ht="37.5">
      <c r="A58" s="82">
        <f>+SUBTOTAL(3,$B$7:B58)</f>
        <v>52</v>
      </c>
      <c r="B58" s="82" t="s">
        <v>444</v>
      </c>
      <c r="C58" s="82" t="s">
        <v>111</v>
      </c>
      <c r="D58" s="66" t="s">
        <v>167</v>
      </c>
      <c r="E58" s="82">
        <v>1</v>
      </c>
      <c r="F58" s="67">
        <v>307423630</v>
      </c>
      <c r="G58" s="66" t="s">
        <v>520</v>
      </c>
      <c r="H58" s="66" t="s">
        <v>168</v>
      </c>
      <c r="I58" s="66" t="s">
        <v>10</v>
      </c>
      <c r="J58" s="82" t="s">
        <v>59</v>
      </c>
      <c r="K58" s="67">
        <v>350</v>
      </c>
      <c r="L58" s="82">
        <f t="shared" si="7"/>
        <v>350</v>
      </c>
      <c r="M58" s="67">
        <v>80</v>
      </c>
      <c r="N58" s="82">
        <v>80</v>
      </c>
      <c r="O58" s="82">
        <f t="shared" si="5"/>
        <v>270</v>
      </c>
      <c r="P58" s="82">
        <f t="shared" si="6"/>
        <v>270</v>
      </c>
      <c r="Q58" s="67">
        <v>270</v>
      </c>
      <c r="R58" s="82">
        <v>270</v>
      </c>
      <c r="S58" s="67"/>
      <c r="T58" s="82"/>
      <c r="U58" s="67"/>
      <c r="V58" s="82"/>
      <c r="W58" s="82"/>
      <c r="X58" s="82"/>
      <c r="Y58" s="82">
        <v>2</v>
      </c>
      <c r="Z58" s="82">
        <v>2</v>
      </c>
      <c r="AA58" s="18">
        <v>44195</v>
      </c>
      <c r="AB58" s="74">
        <v>44130</v>
      </c>
      <c r="AC58" s="75" t="s">
        <v>1808</v>
      </c>
      <c r="AD58" s="70" t="s">
        <v>7</v>
      </c>
    </row>
    <row r="59" spans="1:30" s="76" customFormat="1" ht="37.5">
      <c r="A59" s="82">
        <f>+SUBTOTAL(3,$B$7:B59)</f>
        <v>53</v>
      </c>
      <c r="B59" s="82" t="s">
        <v>444</v>
      </c>
      <c r="C59" s="82" t="s">
        <v>111</v>
      </c>
      <c r="D59" s="66" t="s">
        <v>167</v>
      </c>
      <c r="E59" s="82">
        <v>4</v>
      </c>
      <c r="F59" s="67">
        <v>305071035</v>
      </c>
      <c r="G59" s="66" t="s">
        <v>521</v>
      </c>
      <c r="H59" s="66" t="s">
        <v>522</v>
      </c>
      <c r="I59" s="66" t="s">
        <v>10</v>
      </c>
      <c r="J59" s="82" t="s">
        <v>59</v>
      </c>
      <c r="K59" s="67">
        <v>1000</v>
      </c>
      <c r="L59" s="82">
        <f t="shared" si="7"/>
        <v>0</v>
      </c>
      <c r="M59" s="67">
        <v>1000</v>
      </c>
      <c r="N59" s="82"/>
      <c r="O59" s="82">
        <f t="shared" si="5"/>
        <v>0</v>
      </c>
      <c r="P59" s="82">
        <f t="shared" si="6"/>
        <v>0</v>
      </c>
      <c r="Q59" s="67"/>
      <c r="R59" s="82"/>
      <c r="S59" s="67"/>
      <c r="T59" s="82"/>
      <c r="U59" s="67"/>
      <c r="V59" s="82"/>
      <c r="W59" s="82"/>
      <c r="X59" s="82"/>
      <c r="Y59" s="82">
        <v>50</v>
      </c>
      <c r="Z59" s="82"/>
      <c r="AA59" s="18">
        <v>44378</v>
      </c>
      <c r="AB59" s="74"/>
      <c r="AC59" s="75"/>
      <c r="AD59" s="70" t="s">
        <v>7</v>
      </c>
    </row>
    <row r="60" spans="1:30" s="76" customFormat="1" ht="37.5">
      <c r="A60" s="82">
        <f>+SUBTOTAL(3,$B$7:B60)</f>
        <v>54</v>
      </c>
      <c r="B60" s="82" t="s">
        <v>444</v>
      </c>
      <c r="C60" s="82" t="s">
        <v>111</v>
      </c>
      <c r="D60" s="66" t="s">
        <v>167</v>
      </c>
      <c r="E60" s="82">
        <v>2</v>
      </c>
      <c r="F60" s="67">
        <v>306857036</v>
      </c>
      <c r="G60" s="66" t="s">
        <v>523</v>
      </c>
      <c r="H60" s="66" t="s">
        <v>524</v>
      </c>
      <c r="I60" s="66" t="s">
        <v>6</v>
      </c>
      <c r="J60" s="82" t="s">
        <v>12</v>
      </c>
      <c r="K60" s="67">
        <v>800</v>
      </c>
      <c r="L60" s="82">
        <f t="shared" si="7"/>
        <v>850</v>
      </c>
      <c r="M60" s="67">
        <v>150</v>
      </c>
      <c r="N60" s="82">
        <v>200</v>
      </c>
      <c r="O60" s="82">
        <f t="shared" si="5"/>
        <v>650</v>
      </c>
      <c r="P60" s="82">
        <f t="shared" si="6"/>
        <v>650</v>
      </c>
      <c r="Q60" s="67">
        <v>650</v>
      </c>
      <c r="R60" s="82">
        <v>650</v>
      </c>
      <c r="S60" s="67"/>
      <c r="T60" s="82"/>
      <c r="U60" s="67"/>
      <c r="V60" s="82"/>
      <c r="W60" s="82"/>
      <c r="X60" s="82"/>
      <c r="Y60" s="82">
        <v>10</v>
      </c>
      <c r="Z60" s="82">
        <v>10</v>
      </c>
      <c r="AA60" s="18">
        <v>44195</v>
      </c>
      <c r="AB60" s="74">
        <v>44151</v>
      </c>
      <c r="AC60" s="75" t="s">
        <v>1809</v>
      </c>
      <c r="AD60" s="70" t="s">
        <v>7</v>
      </c>
    </row>
    <row r="61" spans="1:30" s="76" customFormat="1" ht="56.25">
      <c r="A61" s="82">
        <f>+SUBTOTAL(3,$B$7:B61)</f>
        <v>55</v>
      </c>
      <c r="B61" s="82" t="s">
        <v>444</v>
      </c>
      <c r="C61" s="82" t="s">
        <v>111</v>
      </c>
      <c r="D61" s="66" t="s">
        <v>167</v>
      </c>
      <c r="E61" s="82">
        <v>4</v>
      </c>
      <c r="F61" s="67">
        <v>306418620</v>
      </c>
      <c r="G61" s="66" t="s">
        <v>525</v>
      </c>
      <c r="H61" s="66" t="s">
        <v>526</v>
      </c>
      <c r="I61" s="66" t="s">
        <v>10</v>
      </c>
      <c r="J61" s="82" t="s">
        <v>59</v>
      </c>
      <c r="K61" s="67">
        <v>200</v>
      </c>
      <c r="L61" s="82">
        <f t="shared" si="7"/>
        <v>200</v>
      </c>
      <c r="M61" s="67">
        <v>50</v>
      </c>
      <c r="N61" s="82">
        <v>50</v>
      </c>
      <c r="O61" s="82">
        <f t="shared" si="5"/>
        <v>150</v>
      </c>
      <c r="P61" s="82">
        <f t="shared" si="6"/>
        <v>150</v>
      </c>
      <c r="Q61" s="67">
        <v>150</v>
      </c>
      <c r="R61" s="82">
        <v>150</v>
      </c>
      <c r="S61" s="67"/>
      <c r="T61" s="82"/>
      <c r="U61" s="67"/>
      <c r="V61" s="82"/>
      <c r="W61" s="82"/>
      <c r="X61" s="82"/>
      <c r="Y61" s="82">
        <v>5</v>
      </c>
      <c r="Z61" s="82">
        <v>5</v>
      </c>
      <c r="AA61" s="18">
        <v>44185</v>
      </c>
      <c r="AB61" s="74">
        <v>44155</v>
      </c>
      <c r="AC61" s="75" t="s">
        <v>2046</v>
      </c>
      <c r="AD61" s="70" t="s">
        <v>7</v>
      </c>
    </row>
    <row r="62" spans="1:30" s="76" customFormat="1" ht="37.5">
      <c r="A62" s="82">
        <f>+SUBTOTAL(3,$B$7:B62)</f>
        <v>56</v>
      </c>
      <c r="B62" s="82" t="s">
        <v>444</v>
      </c>
      <c r="C62" s="82" t="s">
        <v>111</v>
      </c>
      <c r="D62" s="66" t="s">
        <v>167</v>
      </c>
      <c r="E62" s="82">
        <v>4</v>
      </c>
      <c r="F62" s="67">
        <v>305071035</v>
      </c>
      <c r="G62" s="66" t="s">
        <v>527</v>
      </c>
      <c r="H62" s="66" t="s">
        <v>131</v>
      </c>
      <c r="I62" s="66" t="s">
        <v>9</v>
      </c>
      <c r="J62" s="82" t="s">
        <v>37</v>
      </c>
      <c r="K62" s="67">
        <v>150000</v>
      </c>
      <c r="L62" s="82">
        <f t="shared" si="7"/>
        <v>75092</v>
      </c>
      <c r="M62" s="67">
        <v>30000</v>
      </c>
      <c r="N62" s="82"/>
      <c r="O62" s="82">
        <f t="shared" si="5"/>
        <v>120000</v>
      </c>
      <c r="P62" s="82">
        <f t="shared" si="6"/>
        <v>75092</v>
      </c>
      <c r="Q62" s="67">
        <v>120000</v>
      </c>
      <c r="R62" s="82">
        <v>75092</v>
      </c>
      <c r="S62" s="67"/>
      <c r="T62" s="82"/>
      <c r="U62" s="67"/>
      <c r="V62" s="82"/>
      <c r="W62" s="82"/>
      <c r="X62" s="82"/>
      <c r="Y62" s="82">
        <v>100</v>
      </c>
      <c r="Z62" s="82"/>
      <c r="AA62" s="18">
        <v>44409</v>
      </c>
      <c r="AB62" s="74"/>
      <c r="AC62" s="75"/>
      <c r="AD62" s="70" t="s">
        <v>7</v>
      </c>
    </row>
    <row r="63" spans="1:30" s="76" customFormat="1" ht="37.5">
      <c r="A63" s="82">
        <f>+SUBTOTAL(3,$B$7:B63)</f>
        <v>57</v>
      </c>
      <c r="B63" s="82" t="s">
        <v>444</v>
      </c>
      <c r="C63" s="82" t="s">
        <v>111</v>
      </c>
      <c r="D63" s="66" t="s">
        <v>167</v>
      </c>
      <c r="E63" s="82">
        <v>4</v>
      </c>
      <c r="F63" s="67">
        <v>203585246</v>
      </c>
      <c r="G63" s="66" t="s">
        <v>528</v>
      </c>
      <c r="H63" s="66" t="s">
        <v>2087</v>
      </c>
      <c r="I63" s="66" t="s">
        <v>9</v>
      </c>
      <c r="J63" s="82" t="s">
        <v>41</v>
      </c>
      <c r="K63" s="67">
        <v>6650</v>
      </c>
      <c r="L63" s="82">
        <f t="shared" si="7"/>
        <v>5100</v>
      </c>
      <c r="M63" s="67">
        <v>1500</v>
      </c>
      <c r="N63" s="82"/>
      <c r="O63" s="82">
        <f t="shared" si="5"/>
        <v>5100</v>
      </c>
      <c r="P63" s="82">
        <f t="shared" si="6"/>
        <v>5100</v>
      </c>
      <c r="Q63" s="67"/>
      <c r="R63" s="82"/>
      <c r="S63" s="67">
        <v>500</v>
      </c>
      <c r="T63" s="82">
        <v>500</v>
      </c>
      <c r="U63" s="67"/>
      <c r="V63" s="82"/>
      <c r="W63" s="82"/>
      <c r="X63" s="82"/>
      <c r="Y63" s="68">
        <v>15</v>
      </c>
      <c r="Z63" s="82"/>
      <c r="AA63" s="69">
        <v>44470</v>
      </c>
      <c r="AB63" s="74"/>
      <c r="AC63" s="75"/>
      <c r="AD63" s="70" t="s">
        <v>7</v>
      </c>
    </row>
    <row r="64" spans="1:30" s="76" customFormat="1" ht="37.5">
      <c r="A64" s="82">
        <f>+SUBTOTAL(3,$B$7:B64)</f>
        <v>58</v>
      </c>
      <c r="B64" s="82" t="s">
        <v>444</v>
      </c>
      <c r="C64" s="82" t="s">
        <v>111</v>
      </c>
      <c r="D64" s="66" t="s">
        <v>183</v>
      </c>
      <c r="E64" s="82">
        <v>1</v>
      </c>
      <c r="F64" s="67">
        <v>305275287</v>
      </c>
      <c r="G64" s="66" t="s">
        <v>529</v>
      </c>
      <c r="H64" s="66" t="s">
        <v>530</v>
      </c>
      <c r="I64" s="66" t="s">
        <v>10</v>
      </c>
      <c r="J64" s="82" t="s">
        <v>56</v>
      </c>
      <c r="K64" s="67">
        <v>1450</v>
      </c>
      <c r="L64" s="82">
        <f t="shared" si="7"/>
        <v>1100</v>
      </c>
      <c r="M64" s="67">
        <v>350</v>
      </c>
      <c r="N64" s="82"/>
      <c r="O64" s="82">
        <f t="shared" si="5"/>
        <v>1100</v>
      </c>
      <c r="P64" s="82">
        <f t="shared" si="6"/>
        <v>1100</v>
      </c>
      <c r="Q64" s="67">
        <v>1100</v>
      </c>
      <c r="R64" s="82">
        <v>1100</v>
      </c>
      <c r="S64" s="67"/>
      <c r="T64" s="82"/>
      <c r="U64" s="67"/>
      <c r="V64" s="82"/>
      <c r="W64" s="82"/>
      <c r="X64" s="82"/>
      <c r="Y64" s="82">
        <v>10</v>
      </c>
      <c r="Z64" s="82"/>
      <c r="AA64" s="18">
        <v>44531</v>
      </c>
      <c r="AB64" s="74"/>
      <c r="AC64" s="75"/>
      <c r="AD64" s="70" t="s">
        <v>4</v>
      </c>
    </row>
    <row r="65" spans="1:30" s="76" customFormat="1" ht="37.5">
      <c r="A65" s="82">
        <f>+SUBTOTAL(3,$B$7:B65)</f>
        <v>59</v>
      </c>
      <c r="B65" s="82" t="s">
        <v>444</v>
      </c>
      <c r="C65" s="82" t="s">
        <v>111</v>
      </c>
      <c r="D65" s="66" t="s">
        <v>183</v>
      </c>
      <c r="E65" s="82">
        <v>2</v>
      </c>
      <c r="F65" s="67">
        <v>307088423</v>
      </c>
      <c r="G65" s="66" t="s">
        <v>531</v>
      </c>
      <c r="H65" s="66" t="s">
        <v>532</v>
      </c>
      <c r="I65" s="66" t="s">
        <v>9</v>
      </c>
      <c r="J65" s="82" t="s">
        <v>38</v>
      </c>
      <c r="K65" s="67">
        <v>4000</v>
      </c>
      <c r="L65" s="82">
        <f t="shared" si="7"/>
        <v>0</v>
      </c>
      <c r="M65" s="67">
        <v>2000</v>
      </c>
      <c r="N65" s="82"/>
      <c r="O65" s="82">
        <f t="shared" si="5"/>
        <v>2000</v>
      </c>
      <c r="P65" s="82">
        <f t="shared" si="6"/>
        <v>0</v>
      </c>
      <c r="Q65" s="67">
        <v>2000</v>
      </c>
      <c r="R65" s="82"/>
      <c r="S65" s="67"/>
      <c r="T65" s="82"/>
      <c r="U65" s="67"/>
      <c r="V65" s="82"/>
      <c r="W65" s="82"/>
      <c r="X65" s="82"/>
      <c r="Y65" s="82">
        <v>15</v>
      </c>
      <c r="Z65" s="82"/>
      <c r="AA65" s="18">
        <v>44621</v>
      </c>
      <c r="AB65" s="74"/>
      <c r="AC65" s="75"/>
      <c r="AD65" s="70" t="s">
        <v>7</v>
      </c>
    </row>
    <row r="66" spans="1:30" s="76" customFormat="1" ht="56.25">
      <c r="A66" s="82">
        <f>+SUBTOTAL(3,$B$7:B66)</f>
        <v>60</v>
      </c>
      <c r="B66" s="82" t="s">
        <v>444</v>
      </c>
      <c r="C66" s="82" t="s">
        <v>111</v>
      </c>
      <c r="D66" s="66" t="s">
        <v>183</v>
      </c>
      <c r="E66" s="82">
        <v>2</v>
      </c>
      <c r="F66" s="67">
        <v>306962982</v>
      </c>
      <c r="G66" s="66" t="s">
        <v>533</v>
      </c>
      <c r="H66" s="66" t="s">
        <v>534</v>
      </c>
      <c r="I66" s="66" t="s">
        <v>10</v>
      </c>
      <c r="J66" s="82" t="s">
        <v>30</v>
      </c>
      <c r="K66" s="67">
        <v>1050</v>
      </c>
      <c r="L66" s="82">
        <f t="shared" si="7"/>
        <v>0</v>
      </c>
      <c r="M66" s="67">
        <v>300</v>
      </c>
      <c r="N66" s="82"/>
      <c r="O66" s="82">
        <f t="shared" si="5"/>
        <v>750</v>
      </c>
      <c r="P66" s="82">
        <f t="shared" si="6"/>
        <v>0</v>
      </c>
      <c r="Q66" s="67">
        <v>750</v>
      </c>
      <c r="R66" s="82"/>
      <c r="S66" s="67"/>
      <c r="T66" s="82"/>
      <c r="U66" s="67"/>
      <c r="V66" s="82"/>
      <c r="W66" s="82"/>
      <c r="X66" s="82"/>
      <c r="Y66" s="82">
        <v>20</v>
      </c>
      <c r="Z66" s="82"/>
      <c r="AA66" s="18">
        <v>44531</v>
      </c>
      <c r="AB66" s="74"/>
      <c r="AC66" s="75"/>
      <c r="AD66" s="70" t="s">
        <v>7</v>
      </c>
    </row>
    <row r="67" spans="1:30" s="76" customFormat="1" ht="37.5">
      <c r="A67" s="82">
        <f>+SUBTOTAL(3,$B$7:B67)</f>
        <v>61</v>
      </c>
      <c r="B67" s="82" t="s">
        <v>444</v>
      </c>
      <c r="C67" s="82" t="s">
        <v>111</v>
      </c>
      <c r="D67" s="66" t="s">
        <v>183</v>
      </c>
      <c r="E67" s="82">
        <v>2</v>
      </c>
      <c r="F67" s="67">
        <v>205805713</v>
      </c>
      <c r="G67" s="66" t="s">
        <v>535</v>
      </c>
      <c r="H67" s="66" t="s">
        <v>120</v>
      </c>
      <c r="I67" s="66" t="s">
        <v>6</v>
      </c>
      <c r="J67" s="82" t="s">
        <v>13</v>
      </c>
      <c r="K67" s="67">
        <v>6150</v>
      </c>
      <c r="L67" s="82">
        <f t="shared" si="7"/>
        <v>5100</v>
      </c>
      <c r="M67" s="67">
        <v>1000</v>
      </c>
      <c r="N67" s="82"/>
      <c r="O67" s="82">
        <f t="shared" si="5"/>
        <v>5100</v>
      </c>
      <c r="P67" s="82">
        <f t="shared" si="6"/>
        <v>5100</v>
      </c>
      <c r="Q67" s="67"/>
      <c r="R67" s="82"/>
      <c r="S67" s="67">
        <v>500</v>
      </c>
      <c r="T67" s="82">
        <v>500</v>
      </c>
      <c r="U67" s="67"/>
      <c r="V67" s="82"/>
      <c r="W67" s="82"/>
      <c r="X67" s="82"/>
      <c r="Y67" s="82">
        <v>15</v>
      </c>
      <c r="Z67" s="82"/>
      <c r="AA67" s="69">
        <v>44531</v>
      </c>
      <c r="AB67" s="74"/>
      <c r="AC67" s="75"/>
      <c r="AD67" s="70" t="s">
        <v>445</v>
      </c>
    </row>
    <row r="68" spans="1:30" s="76" customFormat="1" ht="56.25">
      <c r="A68" s="82">
        <f>+SUBTOTAL(3,$B$7:B68)</f>
        <v>62</v>
      </c>
      <c r="B68" s="82" t="s">
        <v>444</v>
      </c>
      <c r="C68" s="82" t="s">
        <v>111</v>
      </c>
      <c r="D68" s="66" t="s">
        <v>183</v>
      </c>
      <c r="E68" s="82">
        <v>2</v>
      </c>
      <c r="F68" s="67">
        <v>205969636</v>
      </c>
      <c r="G68" s="66" t="s">
        <v>536</v>
      </c>
      <c r="H68" s="66" t="s">
        <v>537</v>
      </c>
      <c r="I68" s="66" t="s">
        <v>10</v>
      </c>
      <c r="J68" s="82" t="s">
        <v>30</v>
      </c>
      <c r="K68" s="67">
        <v>6500</v>
      </c>
      <c r="L68" s="82">
        <f t="shared" si="7"/>
        <v>2800</v>
      </c>
      <c r="M68" s="67">
        <v>1500</v>
      </c>
      <c r="N68" s="82"/>
      <c r="O68" s="82">
        <f t="shared" si="5"/>
        <v>5000</v>
      </c>
      <c r="P68" s="82">
        <f t="shared" si="6"/>
        <v>2800</v>
      </c>
      <c r="Q68" s="67">
        <v>5000</v>
      </c>
      <c r="R68" s="82">
        <v>2800</v>
      </c>
      <c r="S68" s="67"/>
      <c r="T68" s="82"/>
      <c r="U68" s="67"/>
      <c r="V68" s="82"/>
      <c r="W68" s="82"/>
      <c r="X68" s="82"/>
      <c r="Y68" s="82">
        <v>10</v>
      </c>
      <c r="Z68" s="82"/>
      <c r="AA68" s="18">
        <v>44531</v>
      </c>
      <c r="AB68" s="74"/>
      <c r="AC68" s="75"/>
      <c r="AD68" s="70" t="s">
        <v>453</v>
      </c>
    </row>
    <row r="69" spans="1:30" s="76" customFormat="1" ht="37.5">
      <c r="A69" s="82">
        <f>+SUBTOTAL(3,$B$7:B69)</f>
        <v>63</v>
      </c>
      <c r="B69" s="82" t="s">
        <v>444</v>
      </c>
      <c r="C69" s="82" t="s">
        <v>111</v>
      </c>
      <c r="D69" s="66" t="s">
        <v>183</v>
      </c>
      <c r="E69" s="82">
        <v>1</v>
      </c>
      <c r="F69" s="67">
        <v>206938705</v>
      </c>
      <c r="G69" s="66" t="s">
        <v>538</v>
      </c>
      <c r="H69" s="66" t="s">
        <v>42</v>
      </c>
      <c r="I69" s="66" t="s">
        <v>9</v>
      </c>
      <c r="J69" s="82" t="s">
        <v>42</v>
      </c>
      <c r="K69" s="67">
        <v>150</v>
      </c>
      <c r="L69" s="82">
        <f t="shared" si="7"/>
        <v>186</v>
      </c>
      <c r="M69" s="67">
        <v>50</v>
      </c>
      <c r="N69" s="82">
        <v>50</v>
      </c>
      <c r="O69" s="82">
        <f t="shared" si="5"/>
        <v>100</v>
      </c>
      <c r="P69" s="82">
        <f t="shared" si="6"/>
        <v>136</v>
      </c>
      <c r="Q69" s="67">
        <v>100</v>
      </c>
      <c r="R69" s="82">
        <v>136</v>
      </c>
      <c r="S69" s="67"/>
      <c r="T69" s="82"/>
      <c r="U69" s="67"/>
      <c r="V69" s="82"/>
      <c r="W69" s="82"/>
      <c r="X69" s="82"/>
      <c r="Y69" s="82">
        <v>2</v>
      </c>
      <c r="Z69" s="82">
        <v>2</v>
      </c>
      <c r="AA69" s="18">
        <v>44166</v>
      </c>
      <c r="AB69" s="74">
        <v>44166</v>
      </c>
      <c r="AC69" s="75" t="s">
        <v>2005</v>
      </c>
      <c r="AD69" s="70" t="s">
        <v>8</v>
      </c>
    </row>
    <row r="70" spans="1:30" s="76" customFormat="1" ht="37.5">
      <c r="A70" s="82">
        <f>+SUBTOTAL(3,$B$7:B70)</f>
        <v>64</v>
      </c>
      <c r="B70" s="82" t="s">
        <v>444</v>
      </c>
      <c r="C70" s="82" t="s">
        <v>111</v>
      </c>
      <c r="D70" s="66" t="s">
        <v>183</v>
      </c>
      <c r="E70" s="82">
        <v>1</v>
      </c>
      <c r="F70" s="67">
        <v>307420381</v>
      </c>
      <c r="G70" s="66" t="s">
        <v>539</v>
      </c>
      <c r="H70" s="66" t="s">
        <v>540</v>
      </c>
      <c r="I70" s="66" t="s">
        <v>10</v>
      </c>
      <c r="J70" s="82" t="s">
        <v>45</v>
      </c>
      <c r="K70" s="67">
        <v>1500</v>
      </c>
      <c r="L70" s="82">
        <f t="shared" si="7"/>
        <v>1285</v>
      </c>
      <c r="M70" s="67">
        <v>500</v>
      </c>
      <c r="N70" s="82"/>
      <c r="O70" s="82">
        <f t="shared" si="5"/>
        <v>1000</v>
      </c>
      <c r="P70" s="82">
        <f t="shared" si="6"/>
        <v>1285</v>
      </c>
      <c r="Q70" s="67">
        <v>1000</v>
      </c>
      <c r="R70" s="82">
        <v>1285</v>
      </c>
      <c r="S70" s="67"/>
      <c r="T70" s="82"/>
      <c r="U70" s="67"/>
      <c r="V70" s="82"/>
      <c r="W70" s="82"/>
      <c r="X70" s="82"/>
      <c r="Y70" s="82">
        <v>3</v>
      </c>
      <c r="Z70" s="82">
        <v>3</v>
      </c>
      <c r="AA70" s="18">
        <v>44166</v>
      </c>
      <c r="AB70" s="74">
        <v>44124</v>
      </c>
      <c r="AC70" s="75" t="s">
        <v>1956</v>
      </c>
      <c r="AD70" s="70" t="s">
        <v>460</v>
      </c>
    </row>
    <row r="71" spans="1:30" s="76" customFormat="1" ht="37.5">
      <c r="A71" s="82">
        <f>+SUBTOTAL(3,$B$7:B71)</f>
        <v>65</v>
      </c>
      <c r="B71" s="82" t="s">
        <v>444</v>
      </c>
      <c r="C71" s="82" t="s">
        <v>111</v>
      </c>
      <c r="D71" s="66" t="s">
        <v>183</v>
      </c>
      <c r="E71" s="82">
        <v>2</v>
      </c>
      <c r="F71" s="67">
        <v>300440473</v>
      </c>
      <c r="G71" s="66" t="s">
        <v>541</v>
      </c>
      <c r="H71" s="66" t="s">
        <v>542</v>
      </c>
      <c r="I71" s="66" t="s">
        <v>6</v>
      </c>
      <c r="J71" s="82" t="s">
        <v>12</v>
      </c>
      <c r="K71" s="67">
        <v>4620</v>
      </c>
      <c r="L71" s="82">
        <f t="shared" si="7"/>
        <v>4079.9999999999995</v>
      </c>
      <c r="M71" s="67">
        <v>500</v>
      </c>
      <c r="N71" s="82"/>
      <c r="O71" s="82">
        <f t="shared" ref="O71:O134" si="8">+Q71+S71*10.2</f>
        <v>4079.9999999999995</v>
      </c>
      <c r="P71" s="82">
        <f t="shared" ref="P71:P134" si="9">+R71+T71*10.2</f>
        <v>4079.9999999999995</v>
      </c>
      <c r="Q71" s="67"/>
      <c r="R71" s="82"/>
      <c r="S71" s="67">
        <v>400</v>
      </c>
      <c r="T71" s="82">
        <v>400</v>
      </c>
      <c r="U71" s="67"/>
      <c r="V71" s="82"/>
      <c r="W71" s="82"/>
      <c r="X71" s="82"/>
      <c r="Y71" s="82">
        <v>10</v>
      </c>
      <c r="Z71" s="82"/>
      <c r="AA71" s="18">
        <v>44348</v>
      </c>
      <c r="AB71" s="74"/>
      <c r="AC71" s="75"/>
      <c r="AD71" s="70" t="s">
        <v>543</v>
      </c>
    </row>
    <row r="72" spans="1:30" s="76" customFormat="1" ht="37.5">
      <c r="A72" s="82">
        <f>+SUBTOTAL(3,$B$7:B72)</f>
        <v>66</v>
      </c>
      <c r="B72" s="82" t="s">
        <v>444</v>
      </c>
      <c r="C72" s="82" t="s">
        <v>111</v>
      </c>
      <c r="D72" s="66" t="s">
        <v>183</v>
      </c>
      <c r="E72" s="82">
        <v>2</v>
      </c>
      <c r="F72" s="67">
        <v>303065099</v>
      </c>
      <c r="G72" s="66" t="s">
        <v>544</v>
      </c>
      <c r="H72" s="66" t="s">
        <v>138</v>
      </c>
      <c r="I72" s="66" t="s">
        <v>9</v>
      </c>
      <c r="J72" s="82" t="s">
        <v>36</v>
      </c>
      <c r="K72" s="67">
        <v>1100</v>
      </c>
      <c r="L72" s="82">
        <f t="shared" si="7"/>
        <v>1100</v>
      </c>
      <c r="M72" s="67">
        <v>100</v>
      </c>
      <c r="N72" s="82">
        <v>100</v>
      </c>
      <c r="O72" s="82">
        <f t="shared" si="8"/>
        <v>1000</v>
      </c>
      <c r="P72" s="82">
        <f t="shared" si="9"/>
        <v>1000</v>
      </c>
      <c r="Q72" s="67">
        <v>1000</v>
      </c>
      <c r="R72" s="82">
        <v>1000</v>
      </c>
      <c r="S72" s="67"/>
      <c r="T72" s="82"/>
      <c r="U72" s="67"/>
      <c r="V72" s="82"/>
      <c r="W72" s="82"/>
      <c r="X72" s="82"/>
      <c r="Y72" s="82">
        <v>4</v>
      </c>
      <c r="Z72" s="82">
        <v>5</v>
      </c>
      <c r="AA72" s="69">
        <v>44256</v>
      </c>
      <c r="AB72" s="74">
        <v>44239</v>
      </c>
      <c r="AC72" s="75" t="s">
        <v>2009</v>
      </c>
      <c r="AD72" s="70" t="s">
        <v>1</v>
      </c>
    </row>
    <row r="73" spans="1:30" s="76" customFormat="1" ht="37.5">
      <c r="A73" s="82">
        <f>+SUBTOTAL(3,$B$7:B73)</f>
        <v>67</v>
      </c>
      <c r="B73" s="82" t="s">
        <v>444</v>
      </c>
      <c r="C73" s="82" t="s">
        <v>111</v>
      </c>
      <c r="D73" s="66" t="s">
        <v>183</v>
      </c>
      <c r="E73" s="82">
        <v>1</v>
      </c>
      <c r="F73" s="67">
        <v>303786855</v>
      </c>
      <c r="G73" s="66" t="s">
        <v>545</v>
      </c>
      <c r="H73" s="66" t="s">
        <v>321</v>
      </c>
      <c r="I73" s="66" t="s">
        <v>10</v>
      </c>
      <c r="J73" s="82" t="s">
        <v>44</v>
      </c>
      <c r="K73" s="67">
        <v>1000</v>
      </c>
      <c r="L73" s="82">
        <f t="shared" si="7"/>
        <v>400</v>
      </c>
      <c r="M73" s="67">
        <v>500</v>
      </c>
      <c r="N73" s="82"/>
      <c r="O73" s="82">
        <f t="shared" si="8"/>
        <v>500</v>
      </c>
      <c r="P73" s="82">
        <f t="shared" si="9"/>
        <v>400</v>
      </c>
      <c r="Q73" s="67">
        <v>500</v>
      </c>
      <c r="R73" s="82">
        <v>400</v>
      </c>
      <c r="S73" s="67"/>
      <c r="T73" s="82"/>
      <c r="U73" s="67"/>
      <c r="V73" s="82"/>
      <c r="W73" s="82"/>
      <c r="X73" s="82"/>
      <c r="Y73" s="82">
        <v>4</v>
      </c>
      <c r="Z73" s="82"/>
      <c r="AA73" s="69">
        <v>44531</v>
      </c>
      <c r="AB73" s="74"/>
      <c r="AC73" s="75"/>
      <c r="AD73" s="70" t="s">
        <v>460</v>
      </c>
    </row>
    <row r="74" spans="1:30" s="76" customFormat="1" ht="37.5">
      <c r="A74" s="82">
        <f>+SUBTOTAL(3,$B$7:B74)</f>
        <v>68</v>
      </c>
      <c r="B74" s="82" t="s">
        <v>444</v>
      </c>
      <c r="C74" s="82" t="s">
        <v>111</v>
      </c>
      <c r="D74" s="66" t="s">
        <v>183</v>
      </c>
      <c r="E74" s="82">
        <v>2</v>
      </c>
      <c r="F74" s="67">
        <v>304241184</v>
      </c>
      <c r="G74" s="66" t="s">
        <v>546</v>
      </c>
      <c r="H74" s="66" t="s">
        <v>540</v>
      </c>
      <c r="I74" s="66" t="s">
        <v>10</v>
      </c>
      <c r="J74" s="82" t="s">
        <v>45</v>
      </c>
      <c r="K74" s="67">
        <v>2000</v>
      </c>
      <c r="L74" s="82">
        <v>1434</v>
      </c>
      <c r="M74" s="67">
        <v>600</v>
      </c>
      <c r="N74" s="82">
        <v>100</v>
      </c>
      <c r="O74" s="82">
        <f t="shared" si="8"/>
        <v>1400</v>
      </c>
      <c r="P74" s="82">
        <f t="shared" si="9"/>
        <v>1320.8999999999999</v>
      </c>
      <c r="Q74" s="67">
        <v>1400</v>
      </c>
      <c r="R74" s="82"/>
      <c r="S74" s="67"/>
      <c r="T74" s="82">
        <v>129.5</v>
      </c>
      <c r="U74" s="67"/>
      <c r="V74" s="82"/>
      <c r="W74" s="82"/>
      <c r="X74" s="82"/>
      <c r="Y74" s="82">
        <v>5</v>
      </c>
      <c r="Z74" s="82">
        <v>2</v>
      </c>
      <c r="AA74" s="18">
        <v>44196</v>
      </c>
      <c r="AB74" s="74">
        <v>43845</v>
      </c>
      <c r="AC74" s="75" t="s">
        <v>1983</v>
      </c>
      <c r="AD74" s="70" t="s">
        <v>446</v>
      </c>
    </row>
    <row r="75" spans="1:30" s="76" customFormat="1" ht="37.5">
      <c r="A75" s="82">
        <f>+SUBTOTAL(3,$B$7:B75)</f>
        <v>69</v>
      </c>
      <c r="B75" s="82" t="s">
        <v>444</v>
      </c>
      <c r="C75" s="82" t="s">
        <v>111</v>
      </c>
      <c r="D75" s="66" t="s">
        <v>183</v>
      </c>
      <c r="E75" s="82">
        <v>1</v>
      </c>
      <c r="F75" s="67">
        <v>304305351</v>
      </c>
      <c r="G75" s="66" t="s">
        <v>547</v>
      </c>
      <c r="H75" s="66" t="s">
        <v>548</v>
      </c>
      <c r="I75" s="66" t="s">
        <v>10</v>
      </c>
      <c r="J75" s="82" t="s">
        <v>59</v>
      </c>
      <c r="K75" s="67">
        <v>300</v>
      </c>
      <c r="L75" s="82">
        <f t="shared" ref="L75:L106" si="10">+N75+R75+T75*10.2+V75*10.2</f>
        <v>300</v>
      </c>
      <c r="M75" s="67">
        <v>100</v>
      </c>
      <c r="N75" s="82">
        <v>150</v>
      </c>
      <c r="O75" s="82">
        <f t="shared" si="8"/>
        <v>200</v>
      </c>
      <c r="P75" s="82">
        <f t="shared" si="9"/>
        <v>150</v>
      </c>
      <c r="Q75" s="67">
        <v>200</v>
      </c>
      <c r="R75" s="82">
        <v>150</v>
      </c>
      <c r="S75" s="67"/>
      <c r="T75" s="82"/>
      <c r="U75" s="67"/>
      <c r="V75" s="82"/>
      <c r="W75" s="82"/>
      <c r="X75" s="82"/>
      <c r="Y75" s="82">
        <v>5</v>
      </c>
      <c r="Z75" s="82">
        <v>5</v>
      </c>
      <c r="AA75" s="18">
        <v>44531</v>
      </c>
      <c r="AB75" s="74">
        <v>44216</v>
      </c>
      <c r="AC75" s="75" t="s">
        <v>2035</v>
      </c>
      <c r="AD75" s="70" t="s">
        <v>453</v>
      </c>
    </row>
    <row r="76" spans="1:30" s="76" customFormat="1" ht="37.5">
      <c r="A76" s="82">
        <f>+SUBTOTAL(3,$B$7:B76)</f>
        <v>70</v>
      </c>
      <c r="B76" s="82" t="s">
        <v>444</v>
      </c>
      <c r="C76" s="82" t="s">
        <v>111</v>
      </c>
      <c r="D76" s="66" t="s">
        <v>183</v>
      </c>
      <c r="E76" s="82">
        <v>2</v>
      </c>
      <c r="F76" s="67">
        <v>304504476</v>
      </c>
      <c r="G76" s="66" t="s">
        <v>186</v>
      </c>
      <c r="H76" s="66" t="s">
        <v>129</v>
      </c>
      <c r="I76" s="66" t="s">
        <v>9</v>
      </c>
      <c r="J76" s="82" t="s">
        <v>39</v>
      </c>
      <c r="K76" s="67">
        <v>7000</v>
      </c>
      <c r="L76" s="82">
        <f t="shared" si="10"/>
        <v>1084</v>
      </c>
      <c r="M76" s="67">
        <v>2000</v>
      </c>
      <c r="N76" s="82"/>
      <c r="O76" s="82">
        <f t="shared" si="8"/>
        <v>5000</v>
      </c>
      <c r="P76" s="82">
        <f t="shared" si="9"/>
        <v>1084</v>
      </c>
      <c r="Q76" s="67">
        <v>5000</v>
      </c>
      <c r="R76" s="82">
        <v>1084</v>
      </c>
      <c r="S76" s="67"/>
      <c r="T76" s="82"/>
      <c r="U76" s="67">
        <v>0</v>
      </c>
      <c r="V76" s="82"/>
      <c r="W76" s="82"/>
      <c r="X76" s="82"/>
      <c r="Y76" s="82">
        <v>15</v>
      </c>
      <c r="Z76" s="82"/>
      <c r="AA76" s="18">
        <v>44378</v>
      </c>
      <c r="AB76" s="74"/>
      <c r="AC76" s="75"/>
      <c r="AD76" s="70" t="s">
        <v>543</v>
      </c>
    </row>
    <row r="77" spans="1:30" s="76" customFormat="1" ht="37.5">
      <c r="A77" s="82">
        <f>+SUBTOTAL(3,$B$7:B77)</f>
        <v>71</v>
      </c>
      <c r="B77" s="82" t="s">
        <v>444</v>
      </c>
      <c r="C77" s="82" t="s">
        <v>111</v>
      </c>
      <c r="D77" s="66" t="s">
        <v>183</v>
      </c>
      <c r="E77" s="82">
        <v>1</v>
      </c>
      <c r="F77" s="67">
        <v>304761103</v>
      </c>
      <c r="G77" s="66" t="s">
        <v>549</v>
      </c>
      <c r="H77" s="66" t="s">
        <v>550</v>
      </c>
      <c r="I77" s="66" t="s">
        <v>9</v>
      </c>
      <c r="J77" s="82" t="s">
        <v>36</v>
      </c>
      <c r="K77" s="67">
        <v>645.90000000000009</v>
      </c>
      <c r="L77" s="82">
        <f t="shared" si="10"/>
        <v>0</v>
      </c>
      <c r="M77" s="67">
        <v>100</v>
      </c>
      <c r="N77" s="82"/>
      <c r="O77" s="82">
        <f t="shared" si="8"/>
        <v>540.59999999999991</v>
      </c>
      <c r="P77" s="82">
        <f t="shared" si="9"/>
        <v>0</v>
      </c>
      <c r="Q77" s="67"/>
      <c r="R77" s="82"/>
      <c r="S77" s="67">
        <v>53</v>
      </c>
      <c r="T77" s="82"/>
      <c r="U77" s="67"/>
      <c r="V77" s="82"/>
      <c r="W77" s="82"/>
      <c r="X77" s="82"/>
      <c r="Y77" s="82">
        <v>4</v>
      </c>
      <c r="Z77" s="82"/>
      <c r="AA77" s="18">
        <v>44896</v>
      </c>
      <c r="AB77" s="74"/>
      <c r="AC77" s="75"/>
      <c r="AD77" s="70" t="s">
        <v>445</v>
      </c>
    </row>
    <row r="78" spans="1:30" s="76" customFormat="1" ht="37.5">
      <c r="A78" s="82">
        <f>+SUBTOTAL(3,$B$7:B78)</f>
        <v>72</v>
      </c>
      <c r="B78" s="82" t="s">
        <v>444</v>
      </c>
      <c r="C78" s="82" t="s">
        <v>111</v>
      </c>
      <c r="D78" s="66" t="s">
        <v>183</v>
      </c>
      <c r="E78" s="82">
        <v>4</v>
      </c>
      <c r="F78" s="67">
        <v>304852242</v>
      </c>
      <c r="G78" s="66" t="s">
        <v>551</v>
      </c>
      <c r="H78" s="66" t="s">
        <v>540</v>
      </c>
      <c r="I78" s="66" t="s">
        <v>10</v>
      </c>
      <c r="J78" s="82" t="s">
        <v>45</v>
      </c>
      <c r="K78" s="67">
        <v>500</v>
      </c>
      <c r="L78" s="82">
        <f t="shared" si="10"/>
        <v>0</v>
      </c>
      <c r="M78" s="67">
        <v>300</v>
      </c>
      <c r="N78" s="82"/>
      <c r="O78" s="82">
        <f t="shared" si="8"/>
        <v>200</v>
      </c>
      <c r="P78" s="82">
        <f t="shared" si="9"/>
        <v>0</v>
      </c>
      <c r="Q78" s="67">
        <v>200</v>
      </c>
      <c r="R78" s="82"/>
      <c r="S78" s="67"/>
      <c r="T78" s="82"/>
      <c r="U78" s="67"/>
      <c r="V78" s="82"/>
      <c r="W78" s="82"/>
      <c r="X78" s="82"/>
      <c r="Y78" s="82">
        <v>2</v>
      </c>
      <c r="Z78" s="82"/>
      <c r="AA78" s="18">
        <v>44470</v>
      </c>
      <c r="AB78" s="74"/>
      <c r="AC78" s="75"/>
      <c r="AD78" s="70" t="s">
        <v>8</v>
      </c>
    </row>
    <row r="79" spans="1:30" s="76" customFormat="1" ht="37.5">
      <c r="A79" s="82">
        <f>+SUBTOTAL(3,$B$7:B79)</f>
        <v>73</v>
      </c>
      <c r="B79" s="82" t="s">
        <v>444</v>
      </c>
      <c r="C79" s="82" t="s">
        <v>111</v>
      </c>
      <c r="D79" s="66" t="s">
        <v>183</v>
      </c>
      <c r="E79" s="82">
        <v>1</v>
      </c>
      <c r="F79" s="67">
        <v>304975833</v>
      </c>
      <c r="G79" s="66" t="s">
        <v>552</v>
      </c>
      <c r="H79" s="66" t="s">
        <v>553</v>
      </c>
      <c r="I79" s="66" t="s">
        <v>6</v>
      </c>
      <c r="J79" s="82" t="s">
        <v>12</v>
      </c>
      <c r="K79" s="67">
        <v>1500</v>
      </c>
      <c r="L79" s="82">
        <f t="shared" si="10"/>
        <v>0</v>
      </c>
      <c r="M79" s="67">
        <v>500</v>
      </c>
      <c r="N79" s="82"/>
      <c r="O79" s="82">
        <f t="shared" si="8"/>
        <v>1000</v>
      </c>
      <c r="P79" s="82">
        <f t="shared" si="9"/>
        <v>0</v>
      </c>
      <c r="Q79" s="67">
        <v>1000</v>
      </c>
      <c r="R79" s="82"/>
      <c r="S79" s="67"/>
      <c r="T79" s="82"/>
      <c r="U79" s="67"/>
      <c r="V79" s="82"/>
      <c r="W79" s="82"/>
      <c r="X79" s="82"/>
      <c r="Y79" s="82">
        <v>10</v>
      </c>
      <c r="Z79" s="82"/>
      <c r="AA79" s="18">
        <v>44896</v>
      </c>
      <c r="AB79" s="74"/>
      <c r="AC79" s="75"/>
      <c r="AD79" s="70" t="s">
        <v>445</v>
      </c>
    </row>
    <row r="80" spans="1:30" s="76" customFormat="1" ht="37.5">
      <c r="A80" s="82">
        <f>+SUBTOTAL(3,$B$7:B80)</f>
        <v>74</v>
      </c>
      <c r="B80" s="82" t="s">
        <v>444</v>
      </c>
      <c r="C80" s="82" t="s">
        <v>111</v>
      </c>
      <c r="D80" s="66" t="s">
        <v>183</v>
      </c>
      <c r="E80" s="82">
        <v>1</v>
      </c>
      <c r="F80" s="67">
        <v>304992702</v>
      </c>
      <c r="G80" s="66" t="s">
        <v>554</v>
      </c>
      <c r="H80" s="66" t="s">
        <v>555</v>
      </c>
      <c r="I80" s="66" t="s">
        <v>10</v>
      </c>
      <c r="J80" s="82" t="s">
        <v>59</v>
      </c>
      <c r="K80" s="67">
        <v>400</v>
      </c>
      <c r="L80" s="82">
        <f t="shared" si="10"/>
        <v>300</v>
      </c>
      <c r="M80" s="67">
        <v>100</v>
      </c>
      <c r="N80" s="82"/>
      <c r="O80" s="82">
        <f t="shared" si="8"/>
        <v>300</v>
      </c>
      <c r="P80" s="82">
        <f t="shared" si="9"/>
        <v>300</v>
      </c>
      <c r="Q80" s="67">
        <v>300</v>
      </c>
      <c r="R80" s="82">
        <v>300</v>
      </c>
      <c r="S80" s="67"/>
      <c r="T80" s="82"/>
      <c r="U80" s="67"/>
      <c r="V80" s="82"/>
      <c r="W80" s="82"/>
      <c r="X80" s="82"/>
      <c r="Y80" s="82">
        <v>4</v>
      </c>
      <c r="Z80" s="82"/>
      <c r="AA80" s="18">
        <v>44287</v>
      </c>
      <c r="AB80" s="74"/>
      <c r="AC80" s="75"/>
      <c r="AD80" s="70" t="s">
        <v>1</v>
      </c>
    </row>
    <row r="81" spans="1:30" s="76" customFormat="1" ht="37.5">
      <c r="A81" s="82">
        <f>+SUBTOTAL(3,$B$7:B81)</f>
        <v>75</v>
      </c>
      <c r="B81" s="82" t="s">
        <v>444</v>
      </c>
      <c r="C81" s="82" t="s">
        <v>111</v>
      </c>
      <c r="D81" s="66" t="s">
        <v>183</v>
      </c>
      <c r="E81" s="82">
        <v>2</v>
      </c>
      <c r="F81" s="67">
        <v>303836769</v>
      </c>
      <c r="G81" s="66" t="s">
        <v>556</v>
      </c>
      <c r="H81" s="66" t="s">
        <v>557</v>
      </c>
      <c r="I81" s="66" t="s">
        <v>9</v>
      </c>
      <c r="J81" s="82" t="s">
        <v>37</v>
      </c>
      <c r="K81" s="67">
        <v>2100</v>
      </c>
      <c r="L81" s="82">
        <f t="shared" si="10"/>
        <v>500</v>
      </c>
      <c r="M81" s="67">
        <v>735</v>
      </c>
      <c r="N81" s="82"/>
      <c r="O81" s="82">
        <f t="shared" si="8"/>
        <v>1365</v>
      </c>
      <c r="P81" s="82">
        <f t="shared" si="9"/>
        <v>500</v>
      </c>
      <c r="Q81" s="67">
        <v>1365</v>
      </c>
      <c r="R81" s="82">
        <v>500</v>
      </c>
      <c r="S81" s="67"/>
      <c r="T81" s="82"/>
      <c r="U81" s="67"/>
      <c r="V81" s="82"/>
      <c r="W81" s="82"/>
      <c r="X81" s="82"/>
      <c r="Y81" s="82">
        <v>15</v>
      </c>
      <c r="Z81" s="82"/>
      <c r="AA81" s="18">
        <v>44531</v>
      </c>
      <c r="AB81" s="74"/>
      <c r="AC81" s="75"/>
      <c r="AD81" s="70" t="s">
        <v>1</v>
      </c>
    </row>
    <row r="82" spans="1:30" s="76" customFormat="1" ht="37.5">
      <c r="A82" s="82">
        <f>+SUBTOTAL(3,$B$7:B82)</f>
        <v>76</v>
      </c>
      <c r="B82" s="82" t="s">
        <v>444</v>
      </c>
      <c r="C82" s="82" t="s">
        <v>111</v>
      </c>
      <c r="D82" s="66" t="s">
        <v>183</v>
      </c>
      <c r="E82" s="82">
        <v>2</v>
      </c>
      <c r="F82" s="67">
        <v>305604200</v>
      </c>
      <c r="G82" s="66" t="s">
        <v>558</v>
      </c>
      <c r="H82" s="66" t="s">
        <v>557</v>
      </c>
      <c r="I82" s="66" t="s">
        <v>9</v>
      </c>
      <c r="J82" s="82" t="s">
        <v>37</v>
      </c>
      <c r="K82" s="67">
        <v>2100</v>
      </c>
      <c r="L82" s="82">
        <f t="shared" si="10"/>
        <v>0</v>
      </c>
      <c r="M82" s="67">
        <v>735</v>
      </c>
      <c r="N82" s="82"/>
      <c r="O82" s="82">
        <f t="shared" si="8"/>
        <v>1365</v>
      </c>
      <c r="P82" s="82">
        <f t="shared" si="9"/>
        <v>0</v>
      </c>
      <c r="Q82" s="67">
        <v>1365</v>
      </c>
      <c r="R82" s="82"/>
      <c r="S82" s="67"/>
      <c r="T82" s="82"/>
      <c r="U82" s="67"/>
      <c r="V82" s="82"/>
      <c r="W82" s="82"/>
      <c r="X82" s="82"/>
      <c r="Y82" s="82">
        <v>15</v>
      </c>
      <c r="Z82" s="82"/>
      <c r="AA82" s="18">
        <v>44531</v>
      </c>
      <c r="AB82" s="74"/>
      <c r="AC82" s="75"/>
      <c r="AD82" s="70" t="s">
        <v>1</v>
      </c>
    </row>
    <row r="83" spans="1:30" s="76" customFormat="1" ht="37.5">
      <c r="A83" s="82">
        <f>+SUBTOTAL(3,$B$7:B83)</f>
        <v>77</v>
      </c>
      <c r="B83" s="82" t="s">
        <v>444</v>
      </c>
      <c r="C83" s="82" t="s">
        <v>111</v>
      </c>
      <c r="D83" s="66" t="s">
        <v>183</v>
      </c>
      <c r="E83" s="82">
        <v>4</v>
      </c>
      <c r="F83" s="67">
        <v>305813692</v>
      </c>
      <c r="G83" s="66" t="s">
        <v>559</v>
      </c>
      <c r="H83" s="66" t="s">
        <v>560</v>
      </c>
      <c r="I83" s="66" t="s">
        <v>10</v>
      </c>
      <c r="J83" s="82" t="s">
        <v>30</v>
      </c>
      <c r="K83" s="67">
        <v>300</v>
      </c>
      <c r="L83" s="82">
        <f t="shared" si="10"/>
        <v>300</v>
      </c>
      <c r="M83" s="67">
        <v>100</v>
      </c>
      <c r="N83" s="82">
        <v>100</v>
      </c>
      <c r="O83" s="82">
        <f t="shared" si="8"/>
        <v>200</v>
      </c>
      <c r="P83" s="82">
        <f t="shared" si="9"/>
        <v>200</v>
      </c>
      <c r="Q83" s="67">
        <v>200</v>
      </c>
      <c r="R83" s="82">
        <v>200</v>
      </c>
      <c r="S83" s="67"/>
      <c r="T83" s="82"/>
      <c r="U83" s="67"/>
      <c r="V83" s="82"/>
      <c r="W83" s="82"/>
      <c r="X83" s="82"/>
      <c r="Y83" s="82">
        <v>3</v>
      </c>
      <c r="Z83" s="82">
        <v>2</v>
      </c>
      <c r="AA83" s="18">
        <v>44470</v>
      </c>
      <c r="AB83" s="74">
        <v>44166</v>
      </c>
      <c r="AC83" s="75" t="s">
        <v>1899</v>
      </c>
      <c r="AD83" s="70" t="s">
        <v>460</v>
      </c>
    </row>
    <row r="84" spans="1:30" s="76" customFormat="1" ht="37.5">
      <c r="A84" s="82">
        <f>+SUBTOTAL(3,$B$7:B84)</f>
        <v>78</v>
      </c>
      <c r="B84" s="82" t="s">
        <v>444</v>
      </c>
      <c r="C84" s="82" t="s">
        <v>111</v>
      </c>
      <c r="D84" s="66" t="s">
        <v>183</v>
      </c>
      <c r="E84" s="82">
        <v>1</v>
      </c>
      <c r="F84" s="67">
        <v>305826154</v>
      </c>
      <c r="G84" s="66" t="s">
        <v>561</v>
      </c>
      <c r="H84" s="66" t="s">
        <v>562</v>
      </c>
      <c r="I84" s="66" t="s">
        <v>10</v>
      </c>
      <c r="J84" s="82" t="s">
        <v>30</v>
      </c>
      <c r="K84" s="67">
        <v>1000</v>
      </c>
      <c r="L84" s="82">
        <f t="shared" si="10"/>
        <v>0</v>
      </c>
      <c r="M84" s="67">
        <v>500</v>
      </c>
      <c r="N84" s="82"/>
      <c r="O84" s="82">
        <f t="shared" si="8"/>
        <v>500</v>
      </c>
      <c r="P84" s="82">
        <f t="shared" si="9"/>
        <v>0</v>
      </c>
      <c r="Q84" s="67">
        <v>500</v>
      </c>
      <c r="R84" s="82"/>
      <c r="S84" s="67"/>
      <c r="T84" s="82"/>
      <c r="U84" s="67"/>
      <c r="V84" s="82"/>
      <c r="W84" s="82"/>
      <c r="X84" s="82"/>
      <c r="Y84" s="82">
        <v>4</v>
      </c>
      <c r="Z84" s="82"/>
      <c r="AA84" s="18">
        <v>44896</v>
      </c>
      <c r="AB84" s="74"/>
      <c r="AC84" s="75"/>
      <c r="AD84" s="70" t="s">
        <v>445</v>
      </c>
    </row>
    <row r="85" spans="1:30" s="76" customFormat="1" ht="37.5">
      <c r="A85" s="82">
        <f>+SUBTOTAL(3,$B$7:B85)</f>
        <v>79</v>
      </c>
      <c r="B85" s="82" t="s">
        <v>444</v>
      </c>
      <c r="C85" s="82" t="s">
        <v>111</v>
      </c>
      <c r="D85" s="66" t="s">
        <v>183</v>
      </c>
      <c r="E85" s="82">
        <v>2</v>
      </c>
      <c r="F85" s="67">
        <v>305957134</v>
      </c>
      <c r="G85" s="66" t="s">
        <v>563</v>
      </c>
      <c r="H85" s="66" t="s">
        <v>557</v>
      </c>
      <c r="I85" s="66" t="s">
        <v>9</v>
      </c>
      <c r="J85" s="82" t="s">
        <v>37</v>
      </c>
      <c r="K85" s="67">
        <v>700</v>
      </c>
      <c r="L85" s="82">
        <f t="shared" si="10"/>
        <v>360</v>
      </c>
      <c r="M85" s="67">
        <v>200</v>
      </c>
      <c r="N85" s="82"/>
      <c r="O85" s="82">
        <f t="shared" si="8"/>
        <v>500</v>
      </c>
      <c r="P85" s="82">
        <f t="shared" si="9"/>
        <v>360</v>
      </c>
      <c r="Q85" s="67">
        <v>500</v>
      </c>
      <c r="R85" s="82">
        <v>360</v>
      </c>
      <c r="S85" s="67"/>
      <c r="T85" s="82"/>
      <c r="U85" s="67"/>
      <c r="V85" s="82"/>
      <c r="W85" s="82"/>
      <c r="X85" s="82"/>
      <c r="Y85" s="82">
        <v>5</v>
      </c>
      <c r="Z85" s="82"/>
      <c r="AA85" s="18">
        <v>44348</v>
      </c>
      <c r="AB85" s="74"/>
      <c r="AC85" s="75"/>
      <c r="AD85" s="70" t="s">
        <v>1</v>
      </c>
    </row>
    <row r="86" spans="1:30" s="76" customFormat="1" ht="37.5">
      <c r="A86" s="82">
        <f>+SUBTOTAL(3,$B$7:B86)</f>
        <v>80</v>
      </c>
      <c r="B86" s="82" t="s">
        <v>444</v>
      </c>
      <c r="C86" s="82" t="s">
        <v>111</v>
      </c>
      <c r="D86" s="66" t="s">
        <v>183</v>
      </c>
      <c r="E86" s="82">
        <v>2</v>
      </c>
      <c r="F86" s="67">
        <v>306460175</v>
      </c>
      <c r="G86" s="66" t="s">
        <v>564</v>
      </c>
      <c r="H86" s="66" t="s">
        <v>37</v>
      </c>
      <c r="I86" s="66" t="s">
        <v>9</v>
      </c>
      <c r="J86" s="82" t="s">
        <v>37</v>
      </c>
      <c r="K86" s="67">
        <v>2540</v>
      </c>
      <c r="L86" s="82">
        <f t="shared" si="10"/>
        <v>2060</v>
      </c>
      <c r="M86" s="67">
        <v>660</v>
      </c>
      <c r="N86" s="82">
        <v>660</v>
      </c>
      <c r="O86" s="82">
        <f t="shared" si="8"/>
        <v>1880</v>
      </c>
      <c r="P86" s="82">
        <f t="shared" si="9"/>
        <v>1400</v>
      </c>
      <c r="Q86" s="67">
        <v>1880</v>
      </c>
      <c r="R86" s="82">
        <v>1400</v>
      </c>
      <c r="S86" s="67"/>
      <c r="T86" s="82"/>
      <c r="U86" s="67"/>
      <c r="V86" s="82"/>
      <c r="W86" s="82"/>
      <c r="X86" s="82"/>
      <c r="Y86" s="82">
        <v>5</v>
      </c>
      <c r="Z86" s="82">
        <v>10</v>
      </c>
      <c r="AA86" s="18">
        <v>44166</v>
      </c>
      <c r="AB86" s="74">
        <v>44189</v>
      </c>
      <c r="AC86" s="75" t="s">
        <v>2013</v>
      </c>
      <c r="AD86" s="70" t="s">
        <v>1</v>
      </c>
    </row>
    <row r="87" spans="1:30" s="76" customFormat="1" ht="37.5">
      <c r="A87" s="82">
        <f>+SUBTOTAL(3,$B$7:B87)</f>
        <v>81</v>
      </c>
      <c r="B87" s="82" t="s">
        <v>444</v>
      </c>
      <c r="C87" s="82" t="s">
        <v>111</v>
      </c>
      <c r="D87" s="66" t="s">
        <v>183</v>
      </c>
      <c r="E87" s="82">
        <v>4</v>
      </c>
      <c r="F87" s="67">
        <v>306487513</v>
      </c>
      <c r="G87" s="66" t="s">
        <v>565</v>
      </c>
      <c r="H87" s="66" t="s">
        <v>566</v>
      </c>
      <c r="I87" s="66" t="s">
        <v>6</v>
      </c>
      <c r="J87" s="82" t="s">
        <v>12</v>
      </c>
      <c r="K87" s="67">
        <v>1000</v>
      </c>
      <c r="L87" s="82">
        <f t="shared" si="10"/>
        <v>1000</v>
      </c>
      <c r="M87" s="67">
        <v>1000</v>
      </c>
      <c r="N87" s="82">
        <v>1000</v>
      </c>
      <c r="O87" s="82">
        <f t="shared" si="8"/>
        <v>0</v>
      </c>
      <c r="P87" s="82">
        <f t="shared" si="9"/>
        <v>0</v>
      </c>
      <c r="Q87" s="67">
        <v>0</v>
      </c>
      <c r="R87" s="82"/>
      <c r="S87" s="67"/>
      <c r="T87" s="82"/>
      <c r="U87" s="67"/>
      <c r="V87" s="82"/>
      <c r="W87" s="82"/>
      <c r="X87" s="82"/>
      <c r="Y87" s="82">
        <v>10</v>
      </c>
      <c r="Z87" s="82">
        <v>5</v>
      </c>
      <c r="AA87" s="18">
        <v>44166</v>
      </c>
      <c r="AB87" s="74">
        <v>44166</v>
      </c>
      <c r="AC87" s="75" t="s">
        <v>2016</v>
      </c>
      <c r="AD87" s="70" t="s">
        <v>446</v>
      </c>
    </row>
    <row r="88" spans="1:30" s="76" customFormat="1" ht="37.5">
      <c r="A88" s="82">
        <f>+SUBTOTAL(3,$B$7:B88)</f>
        <v>82</v>
      </c>
      <c r="B88" s="82" t="s">
        <v>444</v>
      </c>
      <c r="C88" s="82" t="s">
        <v>111</v>
      </c>
      <c r="D88" s="66" t="s">
        <v>183</v>
      </c>
      <c r="E88" s="82">
        <v>1</v>
      </c>
      <c r="F88" s="67">
        <v>306541557</v>
      </c>
      <c r="G88" s="66" t="s">
        <v>567</v>
      </c>
      <c r="H88" s="66" t="s">
        <v>568</v>
      </c>
      <c r="I88" s="66" t="s">
        <v>10</v>
      </c>
      <c r="J88" s="82" t="s">
        <v>59</v>
      </c>
      <c r="K88" s="67">
        <v>300</v>
      </c>
      <c r="L88" s="82">
        <f t="shared" si="10"/>
        <v>300</v>
      </c>
      <c r="M88" s="67">
        <v>200</v>
      </c>
      <c r="N88" s="82">
        <v>200</v>
      </c>
      <c r="O88" s="82">
        <f t="shared" si="8"/>
        <v>100</v>
      </c>
      <c r="P88" s="82">
        <f t="shared" si="9"/>
        <v>100</v>
      </c>
      <c r="Q88" s="67">
        <v>100</v>
      </c>
      <c r="R88" s="82">
        <v>100</v>
      </c>
      <c r="S88" s="67"/>
      <c r="T88" s="82"/>
      <c r="U88" s="67"/>
      <c r="V88" s="82"/>
      <c r="W88" s="82"/>
      <c r="X88" s="82"/>
      <c r="Y88" s="82">
        <v>5</v>
      </c>
      <c r="Z88" s="82">
        <v>5</v>
      </c>
      <c r="AA88" s="18">
        <v>44190</v>
      </c>
      <c r="AB88" s="74">
        <v>44166</v>
      </c>
      <c r="AC88" s="75" t="s">
        <v>1910</v>
      </c>
      <c r="AD88" s="70" t="s">
        <v>2</v>
      </c>
    </row>
    <row r="89" spans="1:30" s="76" customFormat="1" ht="37.5">
      <c r="A89" s="82">
        <f>+SUBTOTAL(3,$B$7:B89)</f>
        <v>83</v>
      </c>
      <c r="B89" s="82" t="s">
        <v>444</v>
      </c>
      <c r="C89" s="82" t="s">
        <v>111</v>
      </c>
      <c r="D89" s="66" t="s">
        <v>183</v>
      </c>
      <c r="E89" s="82">
        <v>1</v>
      </c>
      <c r="F89" s="67">
        <v>304355994</v>
      </c>
      <c r="G89" s="66" t="s">
        <v>569</v>
      </c>
      <c r="H89" s="66" t="s">
        <v>570</v>
      </c>
      <c r="I89" s="66" t="s">
        <v>10</v>
      </c>
      <c r="J89" s="82" t="s">
        <v>59</v>
      </c>
      <c r="K89" s="67">
        <v>520</v>
      </c>
      <c r="L89" s="82">
        <f t="shared" si="10"/>
        <v>400</v>
      </c>
      <c r="M89" s="67">
        <v>120</v>
      </c>
      <c r="N89" s="82"/>
      <c r="O89" s="82">
        <f t="shared" si="8"/>
        <v>400</v>
      </c>
      <c r="P89" s="82">
        <f t="shared" si="9"/>
        <v>400</v>
      </c>
      <c r="Q89" s="67">
        <v>400</v>
      </c>
      <c r="R89" s="82">
        <v>400</v>
      </c>
      <c r="S89" s="67"/>
      <c r="T89" s="82"/>
      <c r="U89" s="67"/>
      <c r="V89" s="82"/>
      <c r="W89" s="82"/>
      <c r="X89" s="82"/>
      <c r="Y89" s="82">
        <v>5</v>
      </c>
      <c r="Z89" s="82"/>
      <c r="AA89" s="18">
        <v>44409</v>
      </c>
      <c r="AB89" s="74"/>
      <c r="AC89" s="75"/>
      <c r="AD89" s="70" t="s">
        <v>2</v>
      </c>
    </row>
    <row r="90" spans="1:30" s="76" customFormat="1" ht="37.5">
      <c r="A90" s="82">
        <f>+SUBTOTAL(3,$B$7:B90)</f>
        <v>84</v>
      </c>
      <c r="B90" s="82" t="s">
        <v>444</v>
      </c>
      <c r="C90" s="82" t="s">
        <v>111</v>
      </c>
      <c r="D90" s="66" t="s">
        <v>183</v>
      </c>
      <c r="E90" s="82">
        <v>1</v>
      </c>
      <c r="F90" s="67">
        <v>306832764</v>
      </c>
      <c r="G90" s="66" t="s">
        <v>571</v>
      </c>
      <c r="H90" s="66" t="s">
        <v>550</v>
      </c>
      <c r="I90" s="66" t="s">
        <v>9</v>
      </c>
      <c r="J90" s="82" t="s">
        <v>36</v>
      </c>
      <c r="K90" s="67">
        <v>745.90000000000009</v>
      </c>
      <c r="L90" s="82">
        <f t="shared" si="10"/>
        <v>0</v>
      </c>
      <c r="M90" s="67">
        <v>200</v>
      </c>
      <c r="N90" s="82"/>
      <c r="O90" s="82">
        <f t="shared" si="8"/>
        <v>540.59999999999991</v>
      </c>
      <c r="P90" s="82">
        <f t="shared" si="9"/>
        <v>0</v>
      </c>
      <c r="Q90" s="67"/>
      <c r="R90" s="82"/>
      <c r="S90" s="67">
        <v>53</v>
      </c>
      <c r="T90" s="82"/>
      <c r="U90" s="67"/>
      <c r="V90" s="82"/>
      <c r="W90" s="82"/>
      <c r="X90" s="82"/>
      <c r="Y90" s="82">
        <v>4</v>
      </c>
      <c r="Z90" s="82"/>
      <c r="AA90" s="18">
        <v>44896</v>
      </c>
      <c r="AB90" s="74"/>
      <c r="AC90" s="75"/>
      <c r="AD90" s="70" t="s">
        <v>445</v>
      </c>
    </row>
    <row r="91" spans="1:30" s="76" customFormat="1" ht="37.5">
      <c r="A91" s="82">
        <f>+SUBTOTAL(3,$B$7:B91)</f>
        <v>85</v>
      </c>
      <c r="B91" s="82" t="s">
        <v>444</v>
      </c>
      <c r="C91" s="82" t="s">
        <v>111</v>
      </c>
      <c r="D91" s="66" t="s">
        <v>183</v>
      </c>
      <c r="E91" s="82">
        <v>1</v>
      </c>
      <c r="F91" s="67">
        <v>485806713</v>
      </c>
      <c r="G91" s="66" t="s">
        <v>572</v>
      </c>
      <c r="H91" s="66" t="s">
        <v>573</v>
      </c>
      <c r="I91" s="66" t="s">
        <v>9</v>
      </c>
      <c r="J91" s="82" t="s">
        <v>63</v>
      </c>
      <c r="K91" s="67">
        <v>500</v>
      </c>
      <c r="L91" s="82">
        <f t="shared" si="10"/>
        <v>200</v>
      </c>
      <c r="M91" s="67">
        <v>300</v>
      </c>
      <c r="N91" s="82"/>
      <c r="O91" s="82">
        <f t="shared" si="8"/>
        <v>200</v>
      </c>
      <c r="P91" s="82">
        <f t="shared" si="9"/>
        <v>200</v>
      </c>
      <c r="Q91" s="67">
        <v>200</v>
      </c>
      <c r="R91" s="82">
        <v>200</v>
      </c>
      <c r="S91" s="67"/>
      <c r="T91" s="82"/>
      <c r="U91" s="67"/>
      <c r="V91" s="82"/>
      <c r="W91" s="82"/>
      <c r="X91" s="82"/>
      <c r="Y91" s="82">
        <v>5</v>
      </c>
      <c r="Z91" s="82"/>
      <c r="AA91" s="69">
        <v>44256</v>
      </c>
      <c r="AB91" s="74"/>
      <c r="AC91" s="75"/>
      <c r="AD91" s="70" t="s">
        <v>84</v>
      </c>
    </row>
    <row r="92" spans="1:30" s="76" customFormat="1" ht="37.5">
      <c r="A92" s="82">
        <f>+SUBTOTAL(3,$B$7:B92)</f>
        <v>86</v>
      </c>
      <c r="B92" s="82" t="s">
        <v>444</v>
      </c>
      <c r="C92" s="82" t="s">
        <v>111</v>
      </c>
      <c r="D92" s="66" t="s">
        <v>183</v>
      </c>
      <c r="E92" s="82">
        <v>1</v>
      </c>
      <c r="F92" s="67">
        <v>480606854</v>
      </c>
      <c r="G92" s="66" t="s">
        <v>574</v>
      </c>
      <c r="H92" s="66" t="s">
        <v>575</v>
      </c>
      <c r="I92" s="66" t="s">
        <v>10</v>
      </c>
      <c r="J92" s="82" t="s">
        <v>30</v>
      </c>
      <c r="K92" s="67">
        <v>300</v>
      </c>
      <c r="L92" s="82">
        <f t="shared" si="10"/>
        <v>0</v>
      </c>
      <c r="M92" s="67">
        <v>200</v>
      </c>
      <c r="N92" s="82"/>
      <c r="O92" s="82">
        <f t="shared" si="8"/>
        <v>100</v>
      </c>
      <c r="P92" s="82">
        <f t="shared" si="9"/>
        <v>0</v>
      </c>
      <c r="Q92" s="67">
        <v>100</v>
      </c>
      <c r="R92" s="82"/>
      <c r="S92" s="67"/>
      <c r="T92" s="82"/>
      <c r="U92" s="67"/>
      <c r="V92" s="82"/>
      <c r="W92" s="82"/>
      <c r="X92" s="82"/>
      <c r="Y92" s="82">
        <v>3</v>
      </c>
      <c r="Z92" s="82"/>
      <c r="AA92" s="18">
        <v>44531</v>
      </c>
      <c r="AB92" s="74"/>
      <c r="AC92" s="75"/>
      <c r="AD92" s="70" t="s">
        <v>445</v>
      </c>
    </row>
    <row r="93" spans="1:30" s="76" customFormat="1" ht="37.5">
      <c r="A93" s="82">
        <f>+SUBTOTAL(3,$B$7:B93)</f>
        <v>87</v>
      </c>
      <c r="B93" s="82" t="s">
        <v>444</v>
      </c>
      <c r="C93" s="82" t="s">
        <v>111</v>
      </c>
      <c r="D93" s="66" t="s">
        <v>183</v>
      </c>
      <c r="E93" s="82">
        <v>2</v>
      </c>
      <c r="F93" s="67">
        <v>501866498</v>
      </c>
      <c r="G93" s="66" t="s">
        <v>576</v>
      </c>
      <c r="H93" s="66" t="s">
        <v>577</v>
      </c>
      <c r="I93" s="66" t="s">
        <v>10</v>
      </c>
      <c r="J93" s="82" t="s">
        <v>44</v>
      </c>
      <c r="K93" s="67">
        <v>1000</v>
      </c>
      <c r="L93" s="82">
        <f t="shared" si="10"/>
        <v>0</v>
      </c>
      <c r="M93" s="67">
        <v>1000</v>
      </c>
      <c r="N93" s="82"/>
      <c r="O93" s="82">
        <f t="shared" si="8"/>
        <v>0</v>
      </c>
      <c r="P93" s="82">
        <f t="shared" si="9"/>
        <v>0</v>
      </c>
      <c r="Q93" s="67">
        <v>0</v>
      </c>
      <c r="R93" s="82"/>
      <c r="S93" s="67"/>
      <c r="T93" s="82"/>
      <c r="U93" s="67"/>
      <c r="V93" s="82"/>
      <c r="W93" s="82"/>
      <c r="X93" s="82"/>
      <c r="Y93" s="82">
        <v>12</v>
      </c>
      <c r="Z93" s="82"/>
      <c r="AA93" s="18">
        <v>44531</v>
      </c>
      <c r="AB93" s="74"/>
      <c r="AC93" s="75"/>
      <c r="AD93" s="70" t="s">
        <v>2</v>
      </c>
    </row>
    <row r="94" spans="1:30" s="76" customFormat="1" ht="37.5">
      <c r="A94" s="82">
        <f>+SUBTOTAL(3,$B$7:B94)</f>
        <v>88</v>
      </c>
      <c r="B94" s="82" t="s">
        <v>444</v>
      </c>
      <c r="C94" s="82" t="s">
        <v>111</v>
      </c>
      <c r="D94" s="66" t="s">
        <v>183</v>
      </c>
      <c r="E94" s="82">
        <v>1</v>
      </c>
      <c r="F94" s="67">
        <v>591159785</v>
      </c>
      <c r="G94" s="66" t="s">
        <v>578</v>
      </c>
      <c r="H94" s="66" t="s">
        <v>579</v>
      </c>
      <c r="I94" s="66" t="s">
        <v>10</v>
      </c>
      <c r="J94" s="82" t="s">
        <v>30</v>
      </c>
      <c r="K94" s="67">
        <v>250</v>
      </c>
      <c r="L94" s="82">
        <f t="shared" si="10"/>
        <v>0</v>
      </c>
      <c r="M94" s="67">
        <v>150</v>
      </c>
      <c r="N94" s="82"/>
      <c r="O94" s="82">
        <f t="shared" si="8"/>
        <v>100</v>
      </c>
      <c r="P94" s="82">
        <f t="shared" si="9"/>
        <v>0</v>
      </c>
      <c r="Q94" s="67">
        <v>100</v>
      </c>
      <c r="R94" s="82"/>
      <c r="S94" s="67"/>
      <c r="T94" s="82"/>
      <c r="U94" s="67"/>
      <c r="V94" s="82"/>
      <c r="W94" s="82"/>
      <c r="X94" s="82"/>
      <c r="Y94" s="82">
        <v>3</v>
      </c>
      <c r="Z94" s="82"/>
      <c r="AA94" s="18">
        <v>44896</v>
      </c>
      <c r="AB94" s="74"/>
      <c r="AC94" s="75"/>
      <c r="AD94" s="70" t="s">
        <v>445</v>
      </c>
    </row>
    <row r="95" spans="1:30" s="76" customFormat="1" ht="37.5">
      <c r="A95" s="82">
        <f>+SUBTOTAL(3,$B$7:B95)</f>
        <v>89</v>
      </c>
      <c r="B95" s="82" t="s">
        <v>444</v>
      </c>
      <c r="C95" s="82" t="s">
        <v>111</v>
      </c>
      <c r="D95" s="66" t="s">
        <v>183</v>
      </c>
      <c r="E95" s="82">
        <v>1</v>
      </c>
      <c r="F95" s="67">
        <v>601666823</v>
      </c>
      <c r="G95" s="66" t="s">
        <v>580</v>
      </c>
      <c r="H95" s="66" t="s">
        <v>581</v>
      </c>
      <c r="I95" s="66" t="s">
        <v>10</v>
      </c>
      <c r="J95" s="82" t="s">
        <v>30</v>
      </c>
      <c r="K95" s="67">
        <v>1500</v>
      </c>
      <c r="L95" s="82">
        <f t="shared" si="10"/>
        <v>206</v>
      </c>
      <c r="M95" s="67">
        <v>500</v>
      </c>
      <c r="N95" s="82"/>
      <c r="O95" s="82">
        <f t="shared" si="8"/>
        <v>1000</v>
      </c>
      <c r="P95" s="82">
        <f t="shared" si="9"/>
        <v>206</v>
      </c>
      <c r="Q95" s="67">
        <v>1000</v>
      </c>
      <c r="R95" s="82">
        <v>206</v>
      </c>
      <c r="S95" s="67"/>
      <c r="T95" s="82"/>
      <c r="U95" s="67"/>
      <c r="V95" s="82"/>
      <c r="W95" s="82"/>
      <c r="X95" s="82"/>
      <c r="Y95" s="82">
        <v>5</v>
      </c>
      <c r="Z95" s="82"/>
      <c r="AA95" s="18">
        <v>44896</v>
      </c>
      <c r="AB95" s="74"/>
      <c r="AC95" s="75"/>
      <c r="AD95" s="70" t="s">
        <v>0</v>
      </c>
    </row>
    <row r="96" spans="1:30" s="76" customFormat="1" ht="37.5">
      <c r="A96" s="82">
        <f>+SUBTOTAL(3,$B$7:B96)</f>
        <v>90</v>
      </c>
      <c r="B96" s="82" t="s">
        <v>444</v>
      </c>
      <c r="C96" s="82" t="s">
        <v>111</v>
      </c>
      <c r="D96" s="66" t="s">
        <v>183</v>
      </c>
      <c r="E96" s="82">
        <v>2</v>
      </c>
      <c r="F96" s="67">
        <v>608474424</v>
      </c>
      <c r="G96" s="66" t="s">
        <v>582</v>
      </c>
      <c r="H96" s="66" t="s">
        <v>583</v>
      </c>
      <c r="I96" s="66" t="s">
        <v>10</v>
      </c>
      <c r="J96" s="82" t="s">
        <v>59</v>
      </c>
      <c r="K96" s="67">
        <v>300</v>
      </c>
      <c r="L96" s="82">
        <f t="shared" si="10"/>
        <v>242</v>
      </c>
      <c r="M96" s="67">
        <v>150</v>
      </c>
      <c r="N96" s="82">
        <v>150</v>
      </c>
      <c r="O96" s="82">
        <f t="shared" si="8"/>
        <v>150</v>
      </c>
      <c r="P96" s="82">
        <f t="shared" si="9"/>
        <v>92</v>
      </c>
      <c r="Q96" s="67">
        <v>150</v>
      </c>
      <c r="R96" s="82">
        <v>92</v>
      </c>
      <c r="S96" s="67"/>
      <c r="T96" s="82"/>
      <c r="U96" s="67"/>
      <c r="V96" s="82"/>
      <c r="W96" s="82"/>
      <c r="X96" s="82"/>
      <c r="Y96" s="82">
        <v>3</v>
      </c>
      <c r="Z96" s="82">
        <v>3</v>
      </c>
      <c r="AA96" s="18">
        <v>44531</v>
      </c>
      <c r="AB96" s="74">
        <v>44239</v>
      </c>
      <c r="AC96" s="75" t="s">
        <v>1904</v>
      </c>
      <c r="AD96" s="70" t="s">
        <v>445</v>
      </c>
    </row>
    <row r="97" spans="1:30" s="76" customFormat="1" ht="37.5">
      <c r="A97" s="82">
        <f>+SUBTOTAL(3,$B$7:B97)</f>
        <v>91</v>
      </c>
      <c r="B97" s="82" t="s">
        <v>444</v>
      </c>
      <c r="C97" s="82" t="s">
        <v>111</v>
      </c>
      <c r="D97" s="66" t="s">
        <v>183</v>
      </c>
      <c r="E97" s="82">
        <v>1</v>
      </c>
      <c r="F97" s="67">
        <v>305142524</v>
      </c>
      <c r="G97" s="66" t="s">
        <v>584</v>
      </c>
      <c r="H97" s="66" t="s">
        <v>136</v>
      </c>
      <c r="I97" s="66" t="s">
        <v>9</v>
      </c>
      <c r="J97" s="82" t="s">
        <v>36</v>
      </c>
      <c r="K97" s="67">
        <v>1600</v>
      </c>
      <c r="L97" s="82">
        <f t="shared" si="10"/>
        <v>0</v>
      </c>
      <c r="M97" s="67">
        <v>500</v>
      </c>
      <c r="N97" s="82"/>
      <c r="O97" s="82">
        <f t="shared" si="8"/>
        <v>1100</v>
      </c>
      <c r="P97" s="82">
        <f t="shared" si="9"/>
        <v>0</v>
      </c>
      <c r="Q97" s="67">
        <v>1100</v>
      </c>
      <c r="R97" s="82"/>
      <c r="S97" s="67"/>
      <c r="T97" s="82"/>
      <c r="U97" s="67"/>
      <c r="V97" s="82"/>
      <c r="W97" s="82"/>
      <c r="X97" s="82"/>
      <c r="Y97" s="82">
        <v>7</v>
      </c>
      <c r="Z97" s="82"/>
      <c r="AA97" s="18">
        <v>44531</v>
      </c>
      <c r="AB97" s="74"/>
      <c r="AC97" s="75"/>
      <c r="AD97" s="70" t="s">
        <v>445</v>
      </c>
    </row>
    <row r="98" spans="1:30" s="76" customFormat="1" ht="37.5">
      <c r="A98" s="82">
        <f>+SUBTOTAL(3,$B$7:B98)</f>
        <v>92</v>
      </c>
      <c r="B98" s="82" t="s">
        <v>444</v>
      </c>
      <c r="C98" s="82" t="s">
        <v>111</v>
      </c>
      <c r="D98" s="66" t="s">
        <v>183</v>
      </c>
      <c r="E98" s="82">
        <v>3</v>
      </c>
      <c r="F98" s="67">
        <v>306625467</v>
      </c>
      <c r="G98" s="66" t="s">
        <v>585</v>
      </c>
      <c r="H98" s="66" t="s">
        <v>138</v>
      </c>
      <c r="I98" s="66" t="s">
        <v>9</v>
      </c>
      <c r="J98" s="82" t="s">
        <v>36</v>
      </c>
      <c r="K98" s="67">
        <v>160</v>
      </c>
      <c r="L98" s="82">
        <f t="shared" si="10"/>
        <v>0</v>
      </c>
      <c r="M98" s="67">
        <v>40</v>
      </c>
      <c r="N98" s="82"/>
      <c r="O98" s="82">
        <f t="shared" si="8"/>
        <v>120</v>
      </c>
      <c r="P98" s="82">
        <f t="shared" si="9"/>
        <v>0</v>
      </c>
      <c r="Q98" s="67">
        <v>120</v>
      </c>
      <c r="R98" s="82"/>
      <c r="S98" s="67"/>
      <c r="T98" s="82"/>
      <c r="U98" s="67"/>
      <c r="V98" s="82"/>
      <c r="W98" s="82"/>
      <c r="X98" s="82"/>
      <c r="Y98" s="82">
        <v>6</v>
      </c>
      <c r="Z98" s="82"/>
      <c r="AA98" s="69">
        <v>44531</v>
      </c>
      <c r="AB98" s="74"/>
      <c r="AC98" s="75"/>
      <c r="AD98" s="70" t="s">
        <v>445</v>
      </c>
    </row>
    <row r="99" spans="1:30" s="76" customFormat="1" ht="37.5">
      <c r="A99" s="82">
        <f>+SUBTOTAL(3,$B$7:B99)</f>
        <v>93</v>
      </c>
      <c r="B99" s="82" t="s">
        <v>444</v>
      </c>
      <c r="C99" s="82" t="s">
        <v>111</v>
      </c>
      <c r="D99" s="66" t="s">
        <v>183</v>
      </c>
      <c r="E99" s="82">
        <v>3</v>
      </c>
      <c r="F99" s="67">
        <v>307088423</v>
      </c>
      <c r="G99" s="66" t="s">
        <v>586</v>
      </c>
      <c r="H99" s="66" t="s">
        <v>587</v>
      </c>
      <c r="I99" s="66" t="s">
        <v>6</v>
      </c>
      <c r="J99" s="82" t="s">
        <v>13</v>
      </c>
      <c r="K99" s="67">
        <v>150</v>
      </c>
      <c r="L99" s="82">
        <f t="shared" si="10"/>
        <v>100</v>
      </c>
      <c r="M99" s="67">
        <v>50</v>
      </c>
      <c r="N99" s="82"/>
      <c r="O99" s="82">
        <f t="shared" si="8"/>
        <v>100</v>
      </c>
      <c r="P99" s="82">
        <f t="shared" si="9"/>
        <v>100</v>
      </c>
      <c r="Q99" s="67">
        <v>100</v>
      </c>
      <c r="R99" s="82">
        <v>100</v>
      </c>
      <c r="S99" s="67"/>
      <c r="T99" s="82"/>
      <c r="U99" s="67"/>
      <c r="V99" s="82"/>
      <c r="W99" s="82"/>
      <c r="X99" s="82"/>
      <c r="Y99" s="82">
        <v>3</v>
      </c>
      <c r="Z99" s="82"/>
      <c r="AA99" s="18">
        <v>44531</v>
      </c>
      <c r="AB99" s="74"/>
      <c r="AC99" s="75"/>
      <c r="AD99" s="70" t="s">
        <v>445</v>
      </c>
    </row>
    <row r="100" spans="1:30" s="76" customFormat="1" ht="37.5">
      <c r="A100" s="82">
        <f>+SUBTOTAL(3,$B$7:B100)</f>
        <v>94</v>
      </c>
      <c r="B100" s="82" t="s">
        <v>444</v>
      </c>
      <c r="C100" s="82" t="s">
        <v>111</v>
      </c>
      <c r="D100" s="66" t="s">
        <v>183</v>
      </c>
      <c r="E100" s="82">
        <v>2</v>
      </c>
      <c r="F100" s="67">
        <v>304504476</v>
      </c>
      <c r="G100" s="66" t="s">
        <v>588</v>
      </c>
      <c r="H100" s="66" t="s">
        <v>589</v>
      </c>
      <c r="I100" s="66" t="s">
        <v>10</v>
      </c>
      <c r="J100" s="82" t="s">
        <v>30</v>
      </c>
      <c r="K100" s="67">
        <v>4000</v>
      </c>
      <c r="L100" s="82">
        <f t="shared" si="10"/>
        <v>0</v>
      </c>
      <c r="M100" s="67">
        <v>1500</v>
      </c>
      <c r="N100" s="82"/>
      <c r="O100" s="82">
        <f t="shared" si="8"/>
        <v>2500</v>
      </c>
      <c r="P100" s="82">
        <f t="shared" si="9"/>
        <v>0</v>
      </c>
      <c r="Q100" s="67">
        <v>2500</v>
      </c>
      <c r="R100" s="82"/>
      <c r="S100" s="67"/>
      <c r="T100" s="82"/>
      <c r="U100" s="67"/>
      <c r="V100" s="82"/>
      <c r="W100" s="82"/>
      <c r="X100" s="82"/>
      <c r="Y100" s="82">
        <v>12</v>
      </c>
      <c r="Z100" s="82"/>
      <c r="AA100" s="18">
        <v>44713</v>
      </c>
      <c r="AB100" s="74"/>
      <c r="AC100" s="75"/>
      <c r="AD100" s="70" t="s">
        <v>543</v>
      </c>
    </row>
    <row r="101" spans="1:30" s="76" customFormat="1" ht="37.5">
      <c r="A101" s="82">
        <f>+SUBTOTAL(3,$B$7:B101)</f>
        <v>95</v>
      </c>
      <c r="B101" s="82" t="s">
        <v>444</v>
      </c>
      <c r="C101" s="82" t="s">
        <v>111</v>
      </c>
      <c r="D101" s="66" t="s">
        <v>183</v>
      </c>
      <c r="E101" s="82">
        <v>2</v>
      </c>
      <c r="F101" s="67">
        <v>307337745</v>
      </c>
      <c r="G101" s="66" t="s">
        <v>590</v>
      </c>
      <c r="H101" s="66" t="s">
        <v>591</v>
      </c>
      <c r="I101" s="66" t="s">
        <v>9</v>
      </c>
      <c r="J101" s="82" t="s">
        <v>38</v>
      </c>
      <c r="K101" s="67">
        <v>150</v>
      </c>
      <c r="L101" s="82">
        <f t="shared" si="10"/>
        <v>100</v>
      </c>
      <c r="M101" s="67">
        <v>50</v>
      </c>
      <c r="N101" s="82"/>
      <c r="O101" s="82">
        <f t="shared" si="8"/>
        <v>100</v>
      </c>
      <c r="P101" s="82">
        <f t="shared" si="9"/>
        <v>100</v>
      </c>
      <c r="Q101" s="67">
        <v>100</v>
      </c>
      <c r="R101" s="82">
        <v>100</v>
      </c>
      <c r="S101" s="67"/>
      <c r="T101" s="82"/>
      <c r="U101" s="67"/>
      <c r="V101" s="82"/>
      <c r="W101" s="82"/>
      <c r="X101" s="82"/>
      <c r="Y101" s="82">
        <v>2</v>
      </c>
      <c r="Z101" s="82"/>
      <c r="AA101" s="18">
        <v>44531</v>
      </c>
      <c r="AB101" s="74"/>
      <c r="AC101" s="75"/>
      <c r="AD101" s="70" t="s">
        <v>4</v>
      </c>
    </row>
    <row r="102" spans="1:30" s="76" customFormat="1" ht="37.5">
      <c r="A102" s="82">
        <f>+SUBTOTAL(3,$B$7:B102)</f>
        <v>96</v>
      </c>
      <c r="B102" s="82" t="s">
        <v>444</v>
      </c>
      <c r="C102" s="82" t="s">
        <v>111</v>
      </c>
      <c r="D102" s="66" t="s">
        <v>183</v>
      </c>
      <c r="E102" s="82">
        <v>4</v>
      </c>
      <c r="F102" s="67">
        <v>304479089</v>
      </c>
      <c r="G102" s="66" t="s">
        <v>592</v>
      </c>
      <c r="H102" s="66" t="s">
        <v>593</v>
      </c>
      <c r="I102" s="66" t="s">
        <v>9</v>
      </c>
      <c r="J102" s="82" t="s">
        <v>38</v>
      </c>
      <c r="K102" s="67">
        <v>160</v>
      </c>
      <c r="L102" s="82">
        <f t="shared" si="10"/>
        <v>500</v>
      </c>
      <c r="M102" s="67">
        <v>60</v>
      </c>
      <c r="N102" s="82"/>
      <c r="O102" s="82">
        <f t="shared" si="8"/>
        <v>100</v>
      </c>
      <c r="P102" s="82">
        <f t="shared" si="9"/>
        <v>500</v>
      </c>
      <c r="Q102" s="67">
        <v>100</v>
      </c>
      <c r="R102" s="82">
        <v>500</v>
      </c>
      <c r="S102" s="67"/>
      <c r="T102" s="82"/>
      <c r="U102" s="67"/>
      <c r="V102" s="82"/>
      <c r="W102" s="82"/>
      <c r="X102" s="82"/>
      <c r="Y102" s="82">
        <v>3</v>
      </c>
      <c r="Z102" s="82"/>
      <c r="AA102" s="18">
        <v>44531</v>
      </c>
      <c r="AB102" s="74"/>
      <c r="AC102" s="75"/>
      <c r="AD102" s="70" t="s">
        <v>4</v>
      </c>
    </row>
    <row r="103" spans="1:30" s="76" customFormat="1" ht="37.5">
      <c r="A103" s="82">
        <f>+SUBTOTAL(3,$B$7:B103)</f>
        <v>97</v>
      </c>
      <c r="B103" s="82" t="s">
        <v>444</v>
      </c>
      <c r="C103" s="82" t="s">
        <v>111</v>
      </c>
      <c r="D103" s="66" t="s">
        <v>183</v>
      </c>
      <c r="E103" s="82">
        <v>1</v>
      </c>
      <c r="F103" s="67">
        <v>306932347</v>
      </c>
      <c r="G103" s="66" t="s">
        <v>594</v>
      </c>
      <c r="H103" s="66" t="s">
        <v>595</v>
      </c>
      <c r="I103" s="66" t="s">
        <v>6</v>
      </c>
      <c r="J103" s="82" t="s">
        <v>12</v>
      </c>
      <c r="K103" s="67">
        <v>4390</v>
      </c>
      <c r="L103" s="82">
        <f t="shared" si="10"/>
        <v>3060</v>
      </c>
      <c r="M103" s="67">
        <v>1300</v>
      </c>
      <c r="N103" s="82"/>
      <c r="O103" s="82">
        <f t="shared" si="8"/>
        <v>3060</v>
      </c>
      <c r="P103" s="82">
        <f t="shared" si="9"/>
        <v>3060</v>
      </c>
      <c r="Q103" s="67"/>
      <c r="R103" s="82"/>
      <c r="S103" s="67">
        <v>300</v>
      </c>
      <c r="T103" s="82">
        <v>300</v>
      </c>
      <c r="U103" s="67"/>
      <c r="V103" s="82"/>
      <c r="W103" s="82"/>
      <c r="X103" s="82"/>
      <c r="Y103" s="82">
        <v>15</v>
      </c>
      <c r="Z103" s="82"/>
      <c r="AA103" s="18">
        <v>44348</v>
      </c>
      <c r="AB103" s="74"/>
      <c r="AC103" s="75"/>
      <c r="AD103" s="70" t="s">
        <v>543</v>
      </c>
    </row>
    <row r="104" spans="1:30" s="76" customFormat="1" ht="37.5">
      <c r="A104" s="82">
        <f>+SUBTOTAL(3,$B$7:B104)</f>
        <v>98</v>
      </c>
      <c r="B104" s="82" t="s">
        <v>444</v>
      </c>
      <c r="C104" s="82" t="s">
        <v>111</v>
      </c>
      <c r="D104" s="66" t="s">
        <v>183</v>
      </c>
      <c r="E104" s="82">
        <v>2</v>
      </c>
      <c r="F104" s="67">
        <v>307520503</v>
      </c>
      <c r="G104" s="66" t="s">
        <v>596</v>
      </c>
      <c r="H104" s="66" t="s">
        <v>135</v>
      </c>
      <c r="I104" s="66" t="s">
        <v>9</v>
      </c>
      <c r="J104" s="82" t="s">
        <v>38</v>
      </c>
      <c r="K104" s="67">
        <v>11140</v>
      </c>
      <c r="L104" s="82">
        <f t="shared" si="10"/>
        <v>0</v>
      </c>
      <c r="M104" s="67">
        <v>11140</v>
      </c>
      <c r="N104" s="82"/>
      <c r="O104" s="82">
        <f t="shared" si="8"/>
        <v>0</v>
      </c>
      <c r="P104" s="82">
        <f t="shared" si="9"/>
        <v>0</v>
      </c>
      <c r="Q104" s="67"/>
      <c r="R104" s="82"/>
      <c r="S104" s="67"/>
      <c r="T104" s="82"/>
      <c r="U104" s="67"/>
      <c r="V104" s="82"/>
      <c r="W104" s="82"/>
      <c r="X104" s="82"/>
      <c r="Y104" s="82">
        <v>5</v>
      </c>
      <c r="Z104" s="82"/>
      <c r="AA104" s="18">
        <v>44531</v>
      </c>
      <c r="AB104" s="74"/>
      <c r="AC104" s="75"/>
      <c r="AD104" s="70" t="s">
        <v>477</v>
      </c>
    </row>
    <row r="105" spans="1:30" s="76" customFormat="1" ht="37.5">
      <c r="A105" s="82">
        <f>+SUBTOTAL(3,$B$7:B105)</f>
        <v>99</v>
      </c>
      <c r="B105" s="82" t="s">
        <v>444</v>
      </c>
      <c r="C105" s="82" t="s">
        <v>111</v>
      </c>
      <c r="D105" s="66" t="s">
        <v>183</v>
      </c>
      <c r="E105" s="82">
        <v>4</v>
      </c>
      <c r="F105" s="67">
        <v>307385956</v>
      </c>
      <c r="G105" s="66" t="s">
        <v>597</v>
      </c>
      <c r="H105" s="66" t="s">
        <v>37</v>
      </c>
      <c r="I105" s="66" t="s">
        <v>9</v>
      </c>
      <c r="J105" s="82" t="s">
        <v>37</v>
      </c>
      <c r="K105" s="67">
        <v>400</v>
      </c>
      <c r="L105" s="82">
        <f t="shared" si="10"/>
        <v>400</v>
      </c>
      <c r="M105" s="67">
        <v>100</v>
      </c>
      <c r="N105" s="82"/>
      <c r="O105" s="82">
        <f t="shared" si="8"/>
        <v>300</v>
      </c>
      <c r="P105" s="82">
        <f t="shared" si="9"/>
        <v>400</v>
      </c>
      <c r="Q105" s="67">
        <v>300</v>
      </c>
      <c r="R105" s="82">
        <v>400</v>
      </c>
      <c r="S105" s="67"/>
      <c r="T105" s="82"/>
      <c r="U105" s="67"/>
      <c r="V105" s="82"/>
      <c r="W105" s="82"/>
      <c r="X105" s="82"/>
      <c r="Y105" s="82">
        <v>3</v>
      </c>
      <c r="Z105" s="82"/>
      <c r="AA105" s="18">
        <v>44348</v>
      </c>
      <c r="AB105" s="74"/>
      <c r="AC105" s="75"/>
      <c r="AD105" s="70" t="s">
        <v>4</v>
      </c>
    </row>
    <row r="106" spans="1:30" s="76" customFormat="1" ht="37.5">
      <c r="A106" s="82">
        <f>+SUBTOTAL(3,$B$7:B106)</f>
        <v>100</v>
      </c>
      <c r="B106" s="82" t="s">
        <v>444</v>
      </c>
      <c r="C106" s="82" t="s">
        <v>111</v>
      </c>
      <c r="D106" s="66" t="s">
        <v>183</v>
      </c>
      <c r="E106" s="82">
        <v>4</v>
      </c>
      <c r="F106" s="67">
        <v>307385884</v>
      </c>
      <c r="G106" s="66" t="s">
        <v>598</v>
      </c>
      <c r="H106" s="66" t="s">
        <v>37</v>
      </c>
      <c r="I106" s="66" t="s">
        <v>9</v>
      </c>
      <c r="J106" s="82" t="s">
        <v>37</v>
      </c>
      <c r="K106" s="67">
        <v>1300</v>
      </c>
      <c r="L106" s="82">
        <f t="shared" si="10"/>
        <v>600</v>
      </c>
      <c r="M106" s="67">
        <v>300</v>
      </c>
      <c r="N106" s="82"/>
      <c r="O106" s="82">
        <f t="shared" si="8"/>
        <v>1000</v>
      </c>
      <c r="P106" s="82">
        <f t="shared" si="9"/>
        <v>600</v>
      </c>
      <c r="Q106" s="67">
        <v>1000</v>
      </c>
      <c r="R106" s="82">
        <v>600</v>
      </c>
      <c r="S106" s="67"/>
      <c r="T106" s="82"/>
      <c r="U106" s="67"/>
      <c r="V106" s="82"/>
      <c r="W106" s="82"/>
      <c r="X106" s="82"/>
      <c r="Y106" s="82">
        <v>6</v>
      </c>
      <c r="Z106" s="82"/>
      <c r="AA106" s="18">
        <v>44348</v>
      </c>
      <c r="AB106" s="74"/>
      <c r="AC106" s="75"/>
      <c r="AD106" s="70" t="s">
        <v>4</v>
      </c>
    </row>
    <row r="107" spans="1:30" s="76" customFormat="1" ht="37.5">
      <c r="A107" s="82">
        <f>+SUBTOTAL(3,$B$7:B107)</f>
        <v>101</v>
      </c>
      <c r="B107" s="82" t="s">
        <v>444</v>
      </c>
      <c r="C107" s="82" t="s">
        <v>111</v>
      </c>
      <c r="D107" s="66" t="s">
        <v>183</v>
      </c>
      <c r="E107" s="82">
        <v>2</v>
      </c>
      <c r="F107" s="67">
        <v>304741821</v>
      </c>
      <c r="G107" s="66" t="s">
        <v>546</v>
      </c>
      <c r="H107" s="66" t="s">
        <v>192</v>
      </c>
      <c r="I107" s="66" t="s">
        <v>6</v>
      </c>
      <c r="J107" s="82" t="s">
        <v>12</v>
      </c>
      <c r="K107" s="67">
        <v>9720</v>
      </c>
      <c r="L107" s="82">
        <v>9720</v>
      </c>
      <c r="M107" s="67" t="s">
        <v>599</v>
      </c>
      <c r="N107" s="82">
        <v>4570</v>
      </c>
      <c r="O107" s="82">
        <f t="shared" si="8"/>
        <v>5100</v>
      </c>
      <c r="P107" s="82">
        <f t="shared" si="9"/>
        <v>5100</v>
      </c>
      <c r="Q107" s="67"/>
      <c r="R107" s="82"/>
      <c r="S107" s="67" t="s">
        <v>600</v>
      </c>
      <c r="T107" s="82">
        <v>500</v>
      </c>
      <c r="U107" s="67"/>
      <c r="V107" s="82"/>
      <c r="W107" s="82"/>
      <c r="X107" s="82"/>
      <c r="Y107" s="82">
        <v>34</v>
      </c>
      <c r="Z107" s="82">
        <v>34</v>
      </c>
      <c r="AA107" s="18">
        <v>44166</v>
      </c>
      <c r="AB107" s="74">
        <v>44195</v>
      </c>
      <c r="AC107" s="75" t="s">
        <v>5</v>
      </c>
      <c r="AD107" s="70" t="s">
        <v>446</v>
      </c>
    </row>
    <row r="108" spans="1:30" s="76" customFormat="1" ht="37.5">
      <c r="A108" s="82">
        <f>+SUBTOTAL(3,$B$7:B108)</f>
        <v>102</v>
      </c>
      <c r="B108" s="82" t="s">
        <v>444</v>
      </c>
      <c r="C108" s="82" t="s">
        <v>111</v>
      </c>
      <c r="D108" s="66" t="s">
        <v>183</v>
      </c>
      <c r="E108" s="82">
        <v>3</v>
      </c>
      <c r="F108" s="67">
        <v>307245654</v>
      </c>
      <c r="G108" s="66" t="s">
        <v>601</v>
      </c>
      <c r="H108" s="66" t="s">
        <v>135</v>
      </c>
      <c r="I108" s="66" t="s">
        <v>9</v>
      </c>
      <c r="J108" s="82" t="s">
        <v>38</v>
      </c>
      <c r="K108" s="67">
        <v>600</v>
      </c>
      <c r="L108" s="82">
        <f t="shared" ref="L108:L139" si="11">+N108+R108+T108*10.2+V108*10.2</f>
        <v>0</v>
      </c>
      <c r="M108" s="67">
        <v>600</v>
      </c>
      <c r="N108" s="82"/>
      <c r="O108" s="82">
        <f t="shared" si="8"/>
        <v>0</v>
      </c>
      <c r="P108" s="82">
        <f t="shared" si="9"/>
        <v>0</v>
      </c>
      <c r="Q108" s="67"/>
      <c r="R108" s="82"/>
      <c r="S108" s="67"/>
      <c r="T108" s="82"/>
      <c r="U108" s="67"/>
      <c r="V108" s="82"/>
      <c r="W108" s="82"/>
      <c r="X108" s="82"/>
      <c r="Y108" s="82">
        <v>5</v>
      </c>
      <c r="Z108" s="82"/>
      <c r="AA108" s="18">
        <v>44287</v>
      </c>
      <c r="AB108" s="74"/>
      <c r="AC108" s="75"/>
      <c r="AD108" s="70" t="s">
        <v>453</v>
      </c>
    </row>
    <row r="109" spans="1:30" s="76" customFormat="1" ht="37.5">
      <c r="A109" s="82">
        <f>+SUBTOTAL(3,$B$7:B109)</f>
        <v>103</v>
      </c>
      <c r="B109" s="82" t="s">
        <v>444</v>
      </c>
      <c r="C109" s="82" t="s">
        <v>111</v>
      </c>
      <c r="D109" s="66" t="s">
        <v>183</v>
      </c>
      <c r="E109" s="82">
        <v>1</v>
      </c>
      <c r="F109" s="67">
        <v>301455492</v>
      </c>
      <c r="G109" s="66" t="s">
        <v>602</v>
      </c>
      <c r="H109" s="66" t="s">
        <v>146</v>
      </c>
      <c r="I109" s="66" t="s">
        <v>9</v>
      </c>
      <c r="J109" s="82" t="s">
        <v>38</v>
      </c>
      <c r="K109" s="67">
        <v>1200</v>
      </c>
      <c r="L109" s="82">
        <f t="shared" si="11"/>
        <v>0</v>
      </c>
      <c r="M109" s="67">
        <v>400</v>
      </c>
      <c r="N109" s="82"/>
      <c r="O109" s="82">
        <f t="shared" si="8"/>
        <v>800</v>
      </c>
      <c r="P109" s="82">
        <f t="shared" si="9"/>
        <v>0</v>
      </c>
      <c r="Q109" s="67">
        <v>800</v>
      </c>
      <c r="R109" s="82"/>
      <c r="S109" s="67"/>
      <c r="T109" s="82"/>
      <c r="U109" s="67"/>
      <c r="V109" s="82"/>
      <c r="W109" s="82"/>
      <c r="X109" s="82"/>
      <c r="Y109" s="82">
        <v>5</v>
      </c>
      <c r="Z109" s="82"/>
      <c r="AA109" s="18">
        <v>44287</v>
      </c>
      <c r="AB109" s="74"/>
      <c r="AC109" s="75"/>
      <c r="AD109" s="70" t="s">
        <v>445</v>
      </c>
    </row>
    <row r="110" spans="1:30" s="76" customFormat="1" ht="37.5">
      <c r="A110" s="82">
        <f>+SUBTOTAL(3,$B$7:B110)</f>
        <v>104</v>
      </c>
      <c r="B110" s="82" t="s">
        <v>444</v>
      </c>
      <c r="C110" s="82" t="s">
        <v>111</v>
      </c>
      <c r="D110" s="66" t="s">
        <v>183</v>
      </c>
      <c r="E110" s="82">
        <v>1</v>
      </c>
      <c r="F110" s="67">
        <v>206815953</v>
      </c>
      <c r="G110" s="66" t="s">
        <v>603</v>
      </c>
      <c r="H110" s="66" t="s">
        <v>604</v>
      </c>
      <c r="I110" s="66" t="s">
        <v>6</v>
      </c>
      <c r="J110" s="82" t="s">
        <v>13</v>
      </c>
      <c r="K110" s="67">
        <v>175</v>
      </c>
      <c r="L110" s="82">
        <f t="shared" si="11"/>
        <v>0</v>
      </c>
      <c r="M110" s="67">
        <v>75</v>
      </c>
      <c r="N110" s="82"/>
      <c r="O110" s="82">
        <f t="shared" si="8"/>
        <v>100</v>
      </c>
      <c r="P110" s="82">
        <f t="shared" si="9"/>
        <v>0</v>
      </c>
      <c r="Q110" s="67">
        <v>100</v>
      </c>
      <c r="R110" s="82"/>
      <c r="S110" s="67"/>
      <c r="T110" s="82"/>
      <c r="U110" s="67"/>
      <c r="V110" s="82"/>
      <c r="W110" s="82"/>
      <c r="X110" s="82"/>
      <c r="Y110" s="82">
        <v>2</v>
      </c>
      <c r="Z110" s="82"/>
      <c r="AA110" s="18">
        <v>44287</v>
      </c>
      <c r="AB110" s="74"/>
      <c r="AC110" s="75"/>
      <c r="AD110" s="70" t="s">
        <v>1</v>
      </c>
    </row>
    <row r="111" spans="1:30" s="76" customFormat="1" ht="37.5">
      <c r="A111" s="82">
        <f>+SUBTOTAL(3,$B$7:B111)</f>
        <v>105</v>
      </c>
      <c r="B111" s="82" t="s">
        <v>444</v>
      </c>
      <c r="C111" s="82" t="s">
        <v>111</v>
      </c>
      <c r="D111" s="66" t="s">
        <v>183</v>
      </c>
      <c r="E111" s="82">
        <v>2</v>
      </c>
      <c r="F111" s="67">
        <v>303349582</v>
      </c>
      <c r="G111" s="66" t="s">
        <v>605</v>
      </c>
      <c r="H111" s="66" t="s">
        <v>589</v>
      </c>
      <c r="I111" s="66" t="s">
        <v>10</v>
      </c>
      <c r="J111" s="82" t="s">
        <v>30</v>
      </c>
      <c r="K111" s="67">
        <v>5000</v>
      </c>
      <c r="L111" s="82">
        <f t="shared" si="11"/>
        <v>0</v>
      </c>
      <c r="M111" s="67">
        <v>1500</v>
      </c>
      <c r="N111" s="82"/>
      <c r="O111" s="82">
        <f t="shared" si="8"/>
        <v>3500</v>
      </c>
      <c r="P111" s="82">
        <f t="shared" si="9"/>
        <v>0</v>
      </c>
      <c r="Q111" s="67">
        <v>3500</v>
      </c>
      <c r="R111" s="82"/>
      <c r="S111" s="67"/>
      <c r="T111" s="82"/>
      <c r="U111" s="67"/>
      <c r="V111" s="82"/>
      <c r="W111" s="82"/>
      <c r="X111" s="82"/>
      <c r="Y111" s="82">
        <v>8</v>
      </c>
      <c r="Z111" s="82"/>
      <c r="AA111" s="69">
        <v>44348</v>
      </c>
      <c r="AB111" s="74"/>
      <c r="AC111" s="75"/>
      <c r="AD111" s="70" t="s">
        <v>543</v>
      </c>
    </row>
    <row r="112" spans="1:30" s="76" customFormat="1" ht="37.5">
      <c r="A112" s="82">
        <f>+SUBTOTAL(3,$B$7:B112)</f>
        <v>106</v>
      </c>
      <c r="B112" s="82" t="s">
        <v>444</v>
      </c>
      <c r="C112" s="82" t="s">
        <v>111</v>
      </c>
      <c r="D112" s="66" t="s">
        <v>183</v>
      </c>
      <c r="E112" s="82">
        <v>1</v>
      </c>
      <c r="F112" s="67">
        <v>304375392</v>
      </c>
      <c r="G112" s="66" t="s">
        <v>606</v>
      </c>
      <c r="H112" s="66" t="s">
        <v>607</v>
      </c>
      <c r="I112" s="66" t="s">
        <v>10</v>
      </c>
      <c r="J112" s="82" t="s">
        <v>30</v>
      </c>
      <c r="K112" s="67">
        <v>600</v>
      </c>
      <c r="L112" s="82">
        <f t="shared" si="11"/>
        <v>0</v>
      </c>
      <c r="M112" s="67">
        <v>300</v>
      </c>
      <c r="N112" s="82"/>
      <c r="O112" s="82">
        <f t="shared" si="8"/>
        <v>300</v>
      </c>
      <c r="P112" s="82">
        <f t="shared" si="9"/>
        <v>0</v>
      </c>
      <c r="Q112" s="67">
        <v>300</v>
      </c>
      <c r="R112" s="82"/>
      <c r="S112" s="67"/>
      <c r="T112" s="82"/>
      <c r="U112" s="67"/>
      <c r="V112" s="82"/>
      <c r="W112" s="82"/>
      <c r="X112" s="82"/>
      <c r="Y112" s="82">
        <v>4</v>
      </c>
      <c r="Z112" s="82"/>
      <c r="AA112" s="18">
        <v>44287</v>
      </c>
      <c r="AB112" s="74"/>
      <c r="AC112" s="75"/>
      <c r="AD112" s="70" t="s">
        <v>1</v>
      </c>
    </row>
    <row r="113" spans="1:30" s="76" customFormat="1" ht="37.5">
      <c r="A113" s="82">
        <f>+SUBTOTAL(3,$B$7:B113)</f>
        <v>107</v>
      </c>
      <c r="B113" s="82" t="s">
        <v>444</v>
      </c>
      <c r="C113" s="82" t="s">
        <v>111</v>
      </c>
      <c r="D113" s="66" t="s">
        <v>183</v>
      </c>
      <c r="E113" s="82">
        <v>1</v>
      </c>
      <c r="F113" s="67">
        <v>302057339</v>
      </c>
      <c r="G113" s="66" t="s">
        <v>608</v>
      </c>
      <c r="H113" s="66" t="s">
        <v>555</v>
      </c>
      <c r="I113" s="66" t="s">
        <v>10</v>
      </c>
      <c r="J113" s="82" t="s">
        <v>59</v>
      </c>
      <c r="K113" s="67">
        <v>500</v>
      </c>
      <c r="L113" s="82">
        <f t="shared" si="11"/>
        <v>400</v>
      </c>
      <c r="M113" s="67">
        <v>100</v>
      </c>
      <c r="N113" s="82"/>
      <c r="O113" s="82">
        <f t="shared" si="8"/>
        <v>400</v>
      </c>
      <c r="P113" s="82">
        <f t="shared" si="9"/>
        <v>400</v>
      </c>
      <c r="Q113" s="67">
        <v>400</v>
      </c>
      <c r="R113" s="82">
        <v>400</v>
      </c>
      <c r="S113" s="67"/>
      <c r="T113" s="82"/>
      <c r="U113" s="67"/>
      <c r="V113" s="82"/>
      <c r="W113" s="82"/>
      <c r="X113" s="82"/>
      <c r="Y113" s="82">
        <v>4</v>
      </c>
      <c r="Z113" s="82"/>
      <c r="AA113" s="18">
        <v>44331</v>
      </c>
      <c r="AB113" s="74"/>
      <c r="AC113" s="75"/>
      <c r="AD113" s="70" t="s">
        <v>3</v>
      </c>
    </row>
    <row r="114" spans="1:30" s="76" customFormat="1" ht="37.5">
      <c r="A114" s="82">
        <f>+SUBTOTAL(3,$B$7:B114)</f>
        <v>108</v>
      </c>
      <c r="B114" s="82" t="s">
        <v>444</v>
      </c>
      <c r="C114" s="82" t="s">
        <v>111</v>
      </c>
      <c r="D114" s="66" t="s">
        <v>183</v>
      </c>
      <c r="E114" s="82">
        <v>2</v>
      </c>
      <c r="F114" s="67">
        <v>303309520</v>
      </c>
      <c r="G114" s="66" t="s">
        <v>609</v>
      </c>
      <c r="H114" s="66" t="s">
        <v>610</v>
      </c>
      <c r="I114" s="66" t="s">
        <v>10</v>
      </c>
      <c r="J114" s="82" t="s">
        <v>30</v>
      </c>
      <c r="K114" s="67">
        <v>6389.5</v>
      </c>
      <c r="L114" s="82">
        <f t="shared" si="11"/>
        <v>4079.9999999999995</v>
      </c>
      <c r="M114" s="67">
        <v>1600</v>
      </c>
      <c r="N114" s="82"/>
      <c r="O114" s="82">
        <f t="shared" si="8"/>
        <v>4743</v>
      </c>
      <c r="P114" s="82">
        <f t="shared" si="9"/>
        <v>4079.9999999999995</v>
      </c>
      <c r="Q114" s="67"/>
      <c r="R114" s="82"/>
      <c r="S114" s="67">
        <v>465</v>
      </c>
      <c r="T114" s="82">
        <v>400</v>
      </c>
      <c r="U114" s="67"/>
      <c r="V114" s="82"/>
      <c r="W114" s="82"/>
      <c r="X114" s="82"/>
      <c r="Y114" s="82">
        <v>15</v>
      </c>
      <c r="Z114" s="82"/>
      <c r="AA114" s="18">
        <v>44287</v>
      </c>
      <c r="AB114" s="74"/>
      <c r="AC114" s="75"/>
      <c r="AD114" s="70" t="s">
        <v>3</v>
      </c>
    </row>
    <row r="115" spans="1:30" s="76" customFormat="1" ht="37.5">
      <c r="A115" s="82">
        <f>+SUBTOTAL(3,$B$7:B115)</f>
        <v>109</v>
      </c>
      <c r="B115" s="82" t="s">
        <v>444</v>
      </c>
      <c r="C115" s="82" t="s">
        <v>111</v>
      </c>
      <c r="D115" s="66" t="s">
        <v>183</v>
      </c>
      <c r="E115" s="82">
        <v>2</v>
      </c>
      <c r="F115" s="67">
        <v>307474710</v>
      </c>
      <c r="G115" s="66" t="s">
        <v>611</v>
      </c>
      <c r="H115" s="66" t="s">
        <v>612</v>
      </c>
      <c r="I115" s="66" t="s">
        <v>9</v>
      </c>
      <c r="J115" s="82" t="s">
        <v>40</v>
      </c>
      <c r="K115" s="67">
        <v>200</v>
      </c>
      <c r="L115" s="82">
        <f t="shared" si="11"/>
        <v>0</v>
      </c>
      <c r="M115" s="67">
        <v>50</v>
      </c>
      <c r="N115" s="82"/>
      <c r="O115" s="82">
        <f t="shared" si="8"/>
        <v>150</v>
      </c>
      <c r="P115" s="82">
        <f t="shared" si="9"/>
        <v>0</v>
      </c>
      <c r="Q115" s="67">
        <v>150</v>
      </c>
      <c r="R115" s="82"/>
      <c r="S115" s="67"/>
      <c r="T115" s="82"/>
      <c r="U115" s="67"/>
      <c r="V115" s="82"/>
      <c r="W115" s="82"/>
      <c r="X115" s="82"/>
      <c r="Y115" s="82">
        <v>2</v>
      </c>
      <c r="Z115" s="82"/>
      <c r="AA115" s="69">
        <v>44256</v>
      </c>
      <c r="AB115" s="74"/>
      <c r="AC115" s="75"/>
      <c r="AD115" s="70" t="s">
        <v>3</v>
      </c>
    </row>
    <row r="116" spans="1:30" s="76" customFormat="1" ht="37.5">
      <c r="A116" s="82">
        <f>+SUBTOTAL(3,$B$7:B116)</f>
        <v>110</v>
      </c>
      <c r="B116" s="82" t="s">
        <v>444</v>
      </c>
      <c r="C116" s="82" t="s">
        <v>111</v>
      </c>
      <c r="D116" s="66" t="s">
        <v>183</v>
      </c>
      <c r="E116" s="82">
        <v>1</v>
      </c>
      <c r="F116" s="67">
        <v>204016896</v>
      </c>
      <c r="G116" s="66" t="s">
        <v>613</v>
      </c>
      <c r="H116" s="66" t="s">
        <v>614</v>
      </c>
      <c r="I116" s="66" t="s">
        <v>6</v>
      </c>
      <c r="J116" s="82" t="s">
        <v>13</v>
      </c>
      <c r="K116" s="67">
        <v>300</v>
      </c>
      <c r="L116" s="82">
        <f t="shared" si="11"/>
        <v>200</v>
      </c>
      <c r="M116" s="67">
        <v>100</v>
      </c>
      <c r="N116" s="82"/>
      <c r="O116" s="82">
        <f t="shared" si="8"/>
        <v>200</v>
      </c>
      <c r="P116" s="82">
        <f t="shared" si="9"/>
        <v>200</v>
      </c>
      <c r="Q116" s="67">
        <v>200</v>
      </c>
      <c r="R116" s="82">
        <v>200</v>
      </c>
      <c r="S116" s="67"/>
      <c r="T116" s="82"/>
      <c r="U116" s="67"/>
      <c r="V116" s="82"/>
      <c r="W116" s="82"/>
      <c r="X116" s="82"/>
      <c r="Y116" s="19">
        <v>3</v>
      </c>
      <c r="Z116" s="82"/>
      <c r="AA116" s="18">
        <v>44317</v>
      </c>
      <c r="AB116" s="74"/>
      <c r="AC116" s="75"/>
      <c r="AD116" s="70" t="s">
        <v>7</v>
      </c>
    </row>
    <row r="117" spans="1:30" s="76" customFormat="1" ht="37.5">
      <c r="A117" s="82">
        <f>+SUBTOTAL(3,$B$7:B117)</f>
        <v>111</v>
      </c>
      <c r="B117" s="82" t="s">
        <v>444</v>
      </c>
      <c r="C117" s="82" t="s">
        <v>111</v>
      </c>
      <c r="D117" s="66" t="s">
        <v>183</v>
      </c>
      <c r="E117" s="82">
        <v>1</v>
      </c>
      <c r="F117" s="67">
        <v>201833634</v>
      </c>
      <c r="G117" s="66" t="s">
        <v>615</v>
      </c>
      <c r="H117" s="66" t="s">
        <v>616</v>
      </c>
      <c r="I117" s="66" t="s">
        <v>10</v>
      </c>
      <c r="J117" s="82" t="s">
        <v>44</v>
      </c>
      <c r="K117" s="67">
        <v>300</v>
      </c>
      <c r="L117" s="82">
        <f t="shared" si="11"/>
        <v>150</v>
      </c>
      <c r="M117" s="67">
        <v>90</v>
      </c>
      <c r="N117" s="82"/>
      <c r="O117" s="82">
        <f t="shared" si="8"/>
        <v>210</v>
      </c>
      <c r="P117" s="82">
        <f t="shared" si="9"/>
        <v>150</v>
      </c>
      <c r="Q117" s="67">
        <v>210</v>
      </c>
      <c r="R117" s="82">
        <v>150</v>
      </c>
      <c r="S117" s="67"/>
      <c r="T117" s="82"/>
      <c r="U117" s="67"/>
      <c r="V117" s="82"/>
      <c r="W117" s="82"/>
      <c r="X117" s="82"/>
      <c r="Y117" s="82">
        <v>3</v>
      </c>
      <c r="Z117" s="82"/>
      <c r="AA117" s="18">
        <v>44348</v>
      </c>
      <c r="AB117" s="74"/>
      <c r="AC117" s="75"/>
      <c r="AD117" s="70" t="s">
        <v>7</v>
      </c>
    </row>
    <row r="118" spans="1:30" s="76" customFormat="1" ht="37.5">
      <c r="A118" s="82">
        <f>+SUBTOTAL(3,$B$7:B118)</f>
        <v>112</v>
      </c>
      <c r="B118" s="82" t="s">
        <v>444</v>
      </c>
      <c r="C118" s="82" t="s">
        <v>111</v>
      </c>
      <c r="D118" s="66" t="s">
        <v>183</v>
      </c>
      <c r="E118" s="82">
        <v>1</v>
      </c>
      <c r="F118" s="67">
        <v>205436856</v>
      </c>
      <c r="G118" s="66" t="s">
        <v>617</v>
      </c>
      <c r="H118" s="66" t="s">
        <v>618</v>
      </c>
      <c r="I118" s="66" t="s">
        <v>6</v>
      </c>
      <c r="J118" s="82" t="s">
        <v>13</v>
      </c>
      <c r="K118" s="67">
        <v>1000</v>
      </c>
      <c r="L118" s="82">
        <f t="shared" si="11"/>
        <v>800</v>
      </c>
      <c r="M118" s="67">
        <v>500</v>
      </c>
      <c r="N118" s="82"/>
      <c r="O118" s="82">
        <f t="shared" si="8"/>
        <v>500</v>
      </c>
      <c r="P118" s="82">
        <f t="shared" si="9"/>
        <v>800</v>
      </c>
      <c r="Q118" s="67">
        <v>500</v>
      </c>
      <c r="R118" s="82">
        <v>800</v>
      </c>
      <c r="S118" s="67"/>
      <c r="T118" s="82"/>
      <c r="U118" s="67"/>
      <c r="V118" s="82"/>
      <c r="W118" s="82"/>
      <c r="X118" s="82"/>
      <c r="Y118" s="82">
        <v>10</v>
      </c>
      <c r="Z118" s="82"/>
      <c r="AA118" s="18">
        <v>44287</v>
      </c>
      <c r="AB118" s="74"/>
      <c r="AC118" s="75"/>
      <c r="AD118" s="70" t="s">
        <v>7</v>
      </c>
    </row>
    <row r="119" spans="1:30" s="76" customFormat="1" ht="37.5">
      <c r="A119" s="82">
        <f>+SUBTOTAL(3,$B$7:B119)</f>
        <v>113</v>
      </c>
      <c r="B119" s="82" t="s">
        <v>444</v>
      </c>
      <c r="C119" s="82" t="s">
        <v>111</v>
      </c>
      <c r="D119" s="66" t="s">
        <v>183</v>
      </c>
      <c r="E119" s="82">
        <v>1</v>
      </c>
      <c r="F119" s="67">
        <v>301142598</v>
      </c>
      <c r="G119" s="66" t="s">
        <v>619</v>
      </c>
      <c r="H119" s="66" t="s">
        <v>620</v>
      </c>
      <c r="I119" s="66" t="s">
        <v>6</v>
      </c>
      <c r="J119" s="82" t="s">
        <v>12</v>
      </c>
      <c r="K119" s="67">
        <v>550</v>
      </c>
      <c r="L119" s="82">
        <f t="shared" si="11"/>
        <v>0</v>
      </c>
      <c r="M119" s="67">
        <v>150</v>
      </c>
      <c r="N119" s="82"/>
      <c r="O119" s="82">
        <f t="shared" si="8"/>
        <v>400</v>
      </c>
      <c r="P119" s="82">
        <f t="shared" si="9"/>
        <v>0</v>
      </c>
      <c r="Q119" s="67">
        <v>400</v>
      </c>
      <c r="R119" s="82"/>
      <c r="S119" s="67"/>
      <c r="T119" s="82"/>
      <c r="U119" s="67"/>
      <c r="V119" s="82"/>
      <c r="W119" s="82"/>
      <c r="X119" s="82"/>
      <c r="Y119" s="82">
        <v>3</v>
      </c>
      <c r="Z119" s="82"/>
      <c r="AA119" s="18">
        <v>44866</v>
      </c>
      <c r="AB119" s="74"/>
      <c r="AC119" s="75"/>
      <c r="AD119" s="70" t="s">
        <v>7</v>
      </c>
    </row>
    <row r="120" spans="1:30" s="76" customFormat="1" ht="37.5">
      <c r="A120" s="82">
        <f>+SUBTOTAL(3,$B$7:B120)</f>
        <v>114</v>
      </c>
      <c r="B120" s="82" t="s">
        <v>444</v>
      </c>
      <c r="C120" s="82" t="s">
        <v>111</v>
      </c>
      <c r="D120" s="66" t="s">
        <v>183</v>
      </c>
      <c r="E120" s="82">
        <v>1</v>
      </c>
      <c r="F120" s="67">
        <v>302840496</v>
      </c>
      <c r="G120" s="66" t="s">
        <v>621</v>
      </c>
      <c r="H120" s="66" t="s">
        <v>622</v>
      </c>
      <c r="I120" s="66" t="s">
        <v>10</v>
      </c>
      <c r="J120" s="82" t="s">
        <v>30</v>
      </c>
      <c r="K120" s="67">
        <v>500</v>
      </c>
      <c r="L120" s="82">
        <f t="shared" si="11"/>
        <v>320</v>
      </c>
      <c r="M120" s="67">
        <v>250</v>
      </c>
      <c r="N120" s="82">
        <v>100</v>
      </c>
      <c r="O120" s="82">
        <f t="shared" si="8"/>
        <v>250</v>
      </c>
      <c r="P120" s="82">
        <f t="shared" si="9"/>
        <v>220</v>
      </c>
      <c r="Q120" s="67">
        <v>250</v>
      </c>
      <c r="R120" s="82">
        <v>220</v>
      </c>
      <c r="S120" s="67"/>
      <c r="T120" s="82"/>
      <c r="U120" s="67"/>
      <c r="V120" s="82"/>
      <c r="W120" s="82"/>
      <c r="X120" s="82"/>
      <c r="Y120" s="82">
        <v>10</v>
      </c>
      <c r="Z120" s="82">
        <v>10</v>
      </c>
      <c r="AA120" s="18">
        <v>44256</v>
      </c>
      <c r="AB120" s="74">
        <v>44239</v>
      </c>
      <c r="AC120" s="75" t="s">
        <v>1909</v>
      </c>
      <c r="AD120" s="70" t="s">
        <v>7</v>
      </c>
    </row>
    <row r="121" spans="1:30" s="76" customFormat="1" ht="37.5">
      <c r="A121" s="82">
        <f>+SUBTOTAL(3,$B$7:B121)</f>
        <v>115</v>
      </c>
      <c r="B121" s="82" t="s">
        <v>444</v>
      </c>
      <c r="C121" s="82" t="s">
        <v>111</v>
      </c>
      <c r="D121" s="66" t="s">
        <v>183</v>
      </c>
      <c r="E121" s="82">
        <v>2</v>
      </c>
      <c r="F121" s="67">
        <v>305663571</v>
      </c>
      <c r="G121" s="66" t="s">
        <v>623</v>
      </c>
      <c r="H121" s="66" t="s">
        <v>37</v>
      </c>
      <c r="I121" s="66" t="s">
        <v>9</v>
      </c>
      <c r="J121" s="82" t="s">
        <v>37</v>
      </c>
      <c r="K121" s="67">
        <v>500</v>
      </c>
      <c r="L121" s="82">
        <f t="shared" si="11"/>
        <v>350</v>
      </c>
      <c r="M121" s="67">
        <v>150</v>
      </c>
      <c r="N121" s="82"/>
      <c r="O121" s="82">
        <f t="shared" si="8"/>
        <v>350</v>
      </c>
      <c r="P121" s="82">
        <f t="shared" si="9"/>
        <v>350</v>
      </c>
      <c r="Q121" s="67">
        <v>350</v>
      </c>
      <c r="R121" s="82">
        <v>350</v>
      </c>
      <c r="S121" s="67"/>
      <c r="T121" s="82"/>
      <c r="U121" s="67"/>
      <c r="V121" s="82"/>
      <c r="W121" s="82"/>
      <c r="X121" s="82"/>
      <c r="Y121" s="82">
        <v>4</v>
      </c>
      <c r="Z121" s="82"/>
      <c r="AA121" s="69">
        <v>44440</v>
      </c>
      <c r="AB121" s="74"/>
      <c r="AC121" s="75"/>
      <c r="AD121" s="70" t="s">
        <v>7</v>
      </c>
    </row>
    <row r="122" spans="1:30" s="76" customFormat="1" ht="37.5">
      <c r="A122" s="82">
        <f>+SUBTOTAL(3,$B$7:B122)</f>
        <v>116</v>
      </c>
      <c r="B122" s="82" t="s">
        <v>444</v>
      </c>
      <c r="C122" s="82" t="s">
        <v>111</v>
      </c>
      <c r="D122" s="66" t="s">
        <v>183</v>
      </c>
      <c r="E122" s="82">
        <v>1</v>
      </c>
      <c r="F122" s="67">
        <v>305857109</v>
      </c>
      <c r="G122" s="66" t="s">
        <v>624</v>
      </c>
      <c r="H122" s="66" t="s">
        <v>625</v>
      </c>
      <c r="I122" s="66" t="s">
        <v>10</v>
      </c>
      <c r="J122" s="82" t="s">
        <v>50</v>
      </c>
      <c r="K122" s="67">
        <v>1500</v>
      </c>
      <c r="L122" s="82">
        <f t="shared" si="11"/>
        <v>800</v>
      </c>
      <c r="M122" s="67">
        <v>500</v>
      </c>
      <c r="N122" s="82">
        <v>400</v>
      </c>
      <c r="O122" s="82">
        <f t="shared" si="8"/>
        <v>1000</v>
      </c>
      <c r="P122" s="82">
        <f t="shared" si="9"/>
        <v>400</v>
      </c>
      <c r="Q122" s="67">
        <v>1000</v>
      </c>
      <c r="R122" s="82">
        <v>400</v>
      </c>
      <c r="S122" s="67"/>
      <c r="T122" s="82"/>
      <c r="U122" s="67"/>
      <c r="V122" s="82"/>
      <c r="W122" s="82"/>
      <c r="X122" s="82"/>
      <c r="Y122" s="82">
        <v>10</v>
      </c>
      <c r="Z122" s="82">
        <v>10</v>
      </c>
      <c r="AA122" s="18">
        <v>44317</v>
      </c>
      <c r="AB122" s="74">
        <v>44239</v>
      </c>
      <c r="AC122" s="75" t="s">
        <v>1908</v>
      </c>
      <c r="AD122" s="70" t="s">
        <v>7</v>
      </c>
    </row>
    <row r="123" spans="1:30" s="76" customFormat="1" ht="37.5">
      <c r="A123" s="82">
        <f>+SUBTOTAL(3,$B$7:B123)</f>
        <v>117</v>
      </c>
      <c r="B123" s="82" t="s">
        <v>444</v>
      </c>
      <c r="C123" s="82" t="s">
        <v>111</v>
      </c>
      <c r="D123" s="66" t="s">
        <v>183</v>
      </c>
      <c r="E123" s="82">
        <v>2</v>
      </c>
      <c r="F123" s="67">
        <v>306042434</v>
      </c>
      <c r="G123" s="66" t="s">
        <v>184</v>
      </c>
      <c r="H123" s="66" t="s">
        <v>185</v>
      </c>
      <c r="I123" s="66" t="s">
        <v>6</v>
      </c>
      <c r="J123" s="82" t="s">
        <v>13</v>
      </c>
      <c r="K123" s="67">
        <v>5000</v>
      </c>
      <c r="L123" s="82">
        <f t="shared" si="11"/>
        <v>7244.6</v>
      </c>
      <c r="M123" s="67">
        <v>3000</v>
      </c>
      <c r="N123" s="82">
        <v>5252.1</v>
      </c>
      <c r="O123" s="82">
        <f t="shared" si="8"/>
        <v>2000</v>
      </c>
      <c r="P123" s="82">
        <f t="shared" si="9"/>
        <v>1992.5</v>
      </c>
      <c r="Q123" s="67">
        <v>2000</v>
      </c>
      <c r="R123" s="82">
        <v>1992.5</v>
      </c>
      <c r="S123" s="67"/>
      <c r="T123" s="82"/>
      <c r="U123" s="67"/>
      <c r="V123" s="82"/>
      <c r="W123" s="82"/>
      <c r="X123" s="82"/>
      <c r="Y123" s="82">
        <v>20</v>
      </c>
      <c r="Z123" s="82">
        <v>15</v>
      </c>
      <c r="AA123" s="18">
        <v>44378</v>
      </c>
      <c r="AB123" s="74">
        <v>44124</v>
      </c>
      <c r="AC123" s="75" t="s">
        <v>1954</v>
      </c>
      <c r="AD123" s="70" t="s">
        <v>7</v>
      </c>
    </row>
    <row r="124" spans="1:30" s="76" customFormat="1" ht="75">
      <c r="A124" s="82">
        <f>+SUBTOTAL(3,$B$7:B124)</f>
        <v>118</v>
      </c>
      <c r="B124" s="82" t="s">
        <v>444</v>
      </c>
      <c r="C124" s="82" t="s">
        <v>111</v>
      </c>
      <c r="D124" s="66" t="s">
        <v>183</v>
      </c>
      <c r="E124" s="82">
        <v>3</v>
      </c>
      <c r="F124" s="67">
        <v>307288689</v>
      </c>
      <c r="G124" s="66" t="s">
        <v>626</v>
      </c>
      <c r="H124" s="66" t="s">
        <v>627</v>
      </c>
      <c r="I124" s="66" t="s">
        <v>10</v>
      </c>
      <c r="J124" s="82" t="s">
        <v>45</v>
      </c>
      <c r="K124" s="67">
        <v>400</v>
      </c>
      <c r="L124" s="82">
        <f t="shared" si="11"/>
        <v>400</v>
      </c>
      <c r="M124" s="67">
        <v>100</v>
      </c>
      <c r="N124" s="82">
        <v>100</v>
      </c>
      <c r="O124" s="82">
        <f t="shared" si="8"/>
        <v>300</v>
      </c>
      <c r="P124" s="82">
        <f t="shared" si="9"/>
        <v>300</v>
      </c>
      <c r="Q124" s="67">
        <v>300</v>
      </c>
      <c r="R124" s="82">
        <v>300</v>
      </c>
      <c r="S124" s="67"/>
      <c r="T124" s="82"/>
      <c r="U124" s="67"/>
      <c r="V124" s="82"/>
      <c r="W124" s="82"/>
      <c r="X124" s="82"/>
      <c r="Y124" s="82">
        <v>4</v>
      </c>
      <c r="Z124" s="82">
        <v>5</v>
      </c>
      <c r="AA124" s="18">
        <v>44256</v>
      </c>
      <c r="AB124" s="74">
        <v>43873</v>
      </c>
      <c r="AC124" s="75" t="s">
        <v>2008</v>
      </c>
      <c r="AD124" s="70" t="s">
        <v>7</v>
      </c>
    </row>
    <row r="125" spans="1:30" s="76" customFormat="1" ht="37.5">
      <c r="A125" s="82">
        <f>+SUBTOTAL(3,$B$7:B125)</f>
        <v>119</v>
      </c>
      <c r="B125" s="82" t="s">
        <v>444</v>
      </c>
      <c r="C125" s="82" t="s">
        <v>111</v>
      </c>
      <c r="D125" s="66" t="s">
        <v>183</v>
      </c>
      <c r="E125" s="82">
        <v>1</v>
      </c>
      <c r="F125" s="67">
        <v>307331929</v>
      </c>
      <c r="G125" s="66" t="s">
        <v>628</v>
      </c>
      <c r="H125" s="66" t="s">
        <v>37</v>
      </c>
      <c r="I125" s="66" t="s">
        <v>9</v>
      </c>
      <c r="J125" s="82" t="s">
        <v>37</v>
      </c>
      <c r="K125" s="67">
        <v>250</v>
      </c>
      <c r="L125" s="82">
        <f t="shared" si="11"/>
        <v>250</v>
      </c>
      <c r="M125" s="67">
        <v>100</v>
      </c>
      <c r="N125" s="82">
        <v>100</v>
      </c>
      <c r="O125" s="82">
        <f t="shared" si="8"/>
        <v>150</v>
      </c>
      <c r="P125" s="82">
        <f t="shared" si="9"/>
        <v>150</v>
      </c>
      <c r="Q125" s="67">
        <v>150</v>
      </c>
      <c r="R125" s="82">
        <v>150</v>
      </c>
      <c r="S125" s="67"/>
      <c r="T125" s="82"/>
      <c r="U125" s="67"/>
      <c r="V125" s="82"/>
      <c r="W125" s="82"/>
      <c r="X125" s="82"/>
      <c r="Y125" s="82">
        <v>3</v>
      </c>
      <c r="Z125" s="82">
        <v>3</v>
      </c>
      <c r="AA125" s="69">
        <v>44166</v>
      </c>
      <c r="AB125" s="74">
        <v>44166</v>
      </c>
      <c r="AC125" s="75" t="s">
        <v>2008</v>
      </c>
      <c r="AD125" s="70" t="s">
        <v>7</v>
      </c>
    </row>
    <row r="126" spans="1:30" s="76" customFormat="1" ht="37.5">
      <c r="A126" s="82">
        <f>+SUBTOTAL(3,$B$7:B126)</f>
        <v>120</v>
      </c>
      <c r="B126" s="82" t="s">
        <v>444</v>
      </c>
      <c r="C126" s="82" t="s">
        <v>111</v>
      </c>
      <c r="D126" s="66" t="s">
        <v>183</v>
      </c>
      <c r="E126" s="82">
        <v>1</v>
      </c>
      <c r="F126" s="67">
        <v>307471708</v>
      </c>
      <c r="G126" s="66" t="s">
        <v>629</v>
      </c>
      <c r="H126" s="66" t="s">
        <v>131</v>
      </c>
      <c r="I126" s="66" t="s">
        <v>9</v>
      </c>
      <c r="J126" s="82" t="s">
        <v>37</v>
      </c>
      <c r="K126" s="67">
        <v>270</v>
      </c>
      <c r="L126" s="82">
        <f t="shared" si="11"/>
        <v>270</v>
      </c>
      <c r="M126" s="67">
        <v>100</v>
      </c>
      <c r="N126" s="82">
        <v>100</v>
      </c>
      <c r="O126" s="82">
        <f t="shared" si="8"/>
        <v>170</v>
      </c>
      <c r="P126" s="82">
        <f t="shared" si="9"/>
        <v>170</v>
      </c>
      <c r="Q126" s="67">
        <v>170</v>
      </c>
      <c r="R126" s="82">
        <v>170</v>
      </c>
      <c r="S126" s="67"/>
      <c r="T126" s="82"/>
      <c r="U126" s="67"/>
      <c r="V126" s="82"/>
      <c r="W126" s="82"/>
      <c r="X126" s="82"/>
      <c r="Y126" s="82">
        <v>2</v>
      </c>
      <c r="Z126" s="82">
        <v>2</v>
      </c>
      <c r="AA126" s="18">
        <v>44166</v>
      </c>
      <c r="AB126" s="74">
        <v>44166</v>
      </c>
      <c r="AC126" s="75" t="s">
        <v>2009</v>
      </c>
      <c r="AD126" s="70" t="s">
        <v>7</v>
      </c>
    </row>
    <row r="127" spans="1:30" s="76" customFormat="1" ht="37.5">
      <c r="A127" s="82">
        <f>+SUBTOTAL(3,$B$7:B127)</f>
        <v>121</v>
      </c>
      <c r="B127" s="82" t="s">
        <v>444</v>
      </c>
      <c r="C127" s="82" t="s">
        <v>111</v>
      </c>
      <c r="D127" s="66" t="s">
        <v>183</v>
      </c>
      <c r="E127" s="82">
        <v>2</v>
      </c>
      <c r="F127" s="67">
        <v>304698616</v>
      </c>
      <c r="G127" s="66" t="s">
        <v>630</v>
      </c>
      <c r="H127" s="66" t="s">
        <v>321</v>
      </c>
      <c r="I127" s="66" t="s">
        <v>10</v>
      </c>
      <c r="J127" s="82" t="s">
        <v>44</v>
      </c>
      <c r="K127" s="67">
        <v>2000</v>
      </c>
      <c r="L127" s="82">
        <f t="shared" si="11"/>
        <v>250</v>
      </c>
      <c r="M127" s="67">
        <v>500</v>
      </c>
      <c r="N127" s="82"/>
      <c r="O127" s="82">
        <f t="shared" si="8"/>
        <v>1500</v>
      </c>
      <c r="P127" s="82">
        <f t="shared" si="9"/>
        <v>250</v>
      </c>
      <c r="Q127" s="67">
        <v>1500</v>
      </c>
      <c r="R127" s="82">
        <v>250</v>
      </c>
      <c r="S127" s="67"/>
      <c r="T127" s="82"/>
      <c r="U127" s="67"/>
      <c r="V127" s="82"/>
      <c r="W127" s="82"/>
      <c r="X127" s="82"/>
      <c r="Y127" s="82">
        <v>4</v>
      </c>
      <c r="Z127" s="82"/>
      <c r="AA127" s="69">
        <v>44348</v>
      </c>
      <c r="AB127" s="74"/>
      <c r="AC127" s="75"/>
      <c r="AD127" s="70" t="s">
        <v>7</v>
      </c>
    </row>
    <row r="128" spans="1:30" s="76" customFormat="1" ht="37.5">
      <c r="A128" s="82">
        <f>+SUBTOTAL(3,$B$7:B128)</f>
        <v>122</v>
      </c>
      <c r="B128" s="82" t="s">
        <v>444</v>
      </c>
      <c r="C128" s="82" t="s">
        <v>111</v>
      </c>
      <c r="D128" s="66" t="s">
        <v>183</v>
      </c>
      <c r="E128" s="82">
        <v>1</v>
      </c>
      <c r="F128" s="67">
        <v>307884920</v>
      </c>
      <c r="G128" s="66" t="s">
        <v>631</v>
      </c>
      <c r="H128" s="66" t="s">
        <v>632</v>
      </c>
      <c r="I128" s="66" t="s">
        <v>6</v>
      </c>
      <c r="J128" s="82" t="s">
        <v>34</v>
      </c>
      <c r="K128" s="67">
        <v>113100</v>
      </c>
      <c r="L128" s="82">
        <f t="shared" si="11"/>
        <v>0</v>
      </c>
      <c r="M128" s="67">
        <v>41127</v>
      </c>
      <c r="N128" s="82"/>
      <c r="O128" s="82">
        <f t="shared" si="8"/>
        <v>71400</v>
      </c>
      <c r="P128" s="82">
        <f t="shared" si="9"/>
        <v>0</v>
      </c>
      <c r="Q128" s="67"/>
      <c r="R128" s="82"/>
      <c r="S128" s="67">
        <v>7000</v>
      </c>
      <c r="T128" s="82"/>
      <c r="U128" s="67"/>
      <c r="V128" s="82"/>
      <c r="W128" s="82"/>
      <c r="X128" s="82"/>
      <c r="Y128" s="82">
        <v>700</v>
      </c>
      <c r="Z128" s="82"/>
      <c r="AA128" s="18">
        <v>44652</v>
      </c>
      <c r="AB128" s="74"/>
      <c r="AC128" s="75"/>
      <c r="AD128" s="70" t="s">
        <v>543</v>
      </c>
    </row>
    <row r="129" spans="1:30" s="76" customFormat="1" ht="56.25">
      <c r="A129" s="82">
        <f>+SUBTOTAL(3,$B$7:B129)</f>
        <v>123</v>
      </c>
      <c r="B129" s="82" t="s">
        <v>444</v>
      </c>
      <c r="C129" s="82" t="s">
        <v>111</v>
      </c>
      <c r="D129" s="66" t="s">
        <v>183</v>
      </c>
      <c r="E129" s="82">
        <v>1</v>
      </c>
      <c r="F129" s="67">
        <v>307660607</v>
      </c>
      <c r="G129" s="66" t="s">
        <v>633</v>
      </c>
      <c r="H129" s="66" t="s">
        <v>634</v>
      </c>
      <c r="I129" s="66" t="s">
        <v>6</v>
      </c>
      <c r="J129" s="82" t="s">
        <v>12</v>
      </c>
      <c r="K129" s="67">
        <v>947</v>
      </c>
      <c r="L129" s="82">
        <f t="shared" si="11"/>
        <v>0</v>
      </c>
      <c r="M129" s="67">
        <v>362</v>
      </c>
      <c r="N129" s="82"/>
      <c r="O129" s="82">
        <f t="shared" si="8"/>
        <v>585</v>
      </c>
      <c r="P129" s="82">
        <f t="shared" si="9"/>
        <v>0</v>
      </c>
      <c r="Q129" s="67">
        <v>585</v>
      </c>
      <c r="R129" s="82"/>
      <c r="S129" s="67"/>
      <c r="T129" s="82"/>
      <c r="U129" s="67"/>
      <c r="V129" s="82"/>
      <c r="W129" s="82"/>
      <c r="X129" s="82"/>
      <c r="Y129" s="82">
        <v>15</v>
      </c>
      <c r="Z129" s="82"/>
      <c r="AA129" s="18">
        <v>44440</v>
      </c>
      <c r="AB129" s="74"/>
      <c r="AC129" s="75"/>
      <c r="AD129" s="70" t="s">
        <v>453</v>
      </c>
    </row>
    <row r="130" spans="1:30" s="76" customFormat="1" ht="37.5">
      <c r="A130" s="82">
        <f>+SUBTOTAL(3,$B$7:B130)</f>
        <v>124</v>
      </c>
      <c r="B130" s="82" t="s">
        <v>444</v>
      </c>
      <c r="C130" s="82" t="s">
        <v>111</v>
      </c>
      <c r="D130" s="66" t="s">
        <v>187</v>
      </c>
      <c r="E130" s="82">
        <v>2</v>
      </c>
      <c r="F130" s="67">
        <v>305992868</v>
      </c>
      <c r="G130" s="66" t="s">
        <v>188</v>
      </c>
      <c r="H130" s="66" t="s">
        <v>189</v>
      </c>
      <c r="I130" s="66" t="s">
        <v>6</v>
      </c>
      <c r="J130" s="82" t="s">
        <v>12</v>
      </c>
      <c r="K130" s="67">
        <v>2300</v>
      </c>
      <c r="L130" s="82">
        <f t="shared" si="11"/>
        <v>1019.9999999999999</v>
      </c>
      <c r="M130" s="67">
        <v>200</v>
      </c>
      <c r="N130" s="82"/>
      <c r="O130" s="82">
        <f t="shared" si="8"/>
        <v>2100</v>
      </c>
      <c r="P130" s="82">
        <f t="shared" si="9"/>
        <v>1019.9999999999999</v>
      </c>
      <c r="Q130" s="67">
        <v>2100</v>
      </c>
      <c r="R130" s="82"/>
      <c r="S130" s="67">
        <v>0</v>
      </c>
      <c r="T130" s="82">
        <v>100</v>
      </c>
      <c r="U130" s="67">
        <v>0</v>
      </c>
      <c r="V130" s="82"/>
      <c r="W130" s="82"/>
      <c r="X130" s="82"/>
      <c r="Y130" s="82">
        <v>7</v>
      </c>
      <c r="Z130" s="82"/>
      <c r="AA130" s="18">
        <v>44398</v>
      </c>
      <c r="AB130" s="74"/>
      <c r="AC130" s="75"/>
      <c r="AD130" s="70" t="s">
        <v>1</v>
      </c>
    </row>
    <row r="131" spans="1:30" s="76" customFormat="1" ht="37.5">
      <c r="A131" s="82">
        <f>+SUBTOTAL(3,$B$7:B131)</f>
        <v>125</v>
      </c>
      <c r="B131" s="82" t="s">
        <v>444</v>
      </c>
      <c r="C131" s="82" t="s">
        <v>111</v>
      </c>
      <c r="D131" s="66" t="s">
        <v>187</v>
      </c>
      <c r="E131" s="82">
        <v>1</v>
      </c>
      <c r="F131" s="67">
        <v>305532513</v>
      </c>
      <c r="G131" s="66" t="s">
        <v>190</v>
      </c>
      <c r="H131" s="66" t="s">
        <v>191</v>
      </c>
      <c r="I131" s="66" t="s">
        <v>6</v>
      </c>
      <c r="J131" s="82" t="s">
        <v>54</v>
      </c>
      <c r="K131" s="67">
        <v>3355.5</v>
      </c>
      <c r="L131" s="82">
        <f t="shared" si="11"/>
        <v>3671.9999999999995</v>
      </c>
      <c r="M131" s="67">
        <v>935</v>
      </c>
      <c r="N131" s="82"/>
      <c r="O131" s="82">
        <f t="shared" si="8"/>
        <v>2397</v>
      </c>
      <c r="P131" s="82">
        <f t="shared" si="9"/>
        <v>3671.9999999999995</v>
      </c>
      <c r="Q131" s="67">
        <v>0</v>
      </c>
      <c r="R131" s="82"/>
      <c r="S131" s="67">
        <v>235</v>
      </c>
      <c r="T131" s="82">
        <v>360</v>
      </c>
      <c r="U131" s="67">
        <v>0</v>
      </c>
      <c r="V131" s="82"/>
      <c r="W131" s="82"/>
      <c r="X131" s="82"/>
      <c r="Y131" s="68">
        <v>20</v>
      </c>
      <c r="Z131" s="82"/>
      <c r="AA131" s="69">
        <v>44470</v>
      </c>
      <c r="AB131" s="74"/>
      <c r="AC131" s="75"/>
      <c r="AD131" s="70" t="s">
        <v>1</v>
      </c>
    </row>
    <row r="132" spans="1:30" s="76" customFormat="1" ht="37.5">
      <c r="A132" s="82">
        <f>+SUBTOTAL(3,$B$7:B132)</f>
        <v>126</v>
      </c>
      <c r="B132" s="82" t="s">
        <v>444</v>
      </c>
      <c r="C132" s="82" t="s">
        <v>111</v>
      </c>
      <c r="D132" s="66" t="s">
        <v>187</v>
      </c>
      <c r="E132" s="82">
        <v>4</v>
      </c>
      <c r="F132" s="67">
        <v>300471958</v>
      </c>
      <c r="G132" s="66" t="s">
        <v>195</v>
      </c>
      <c r="H132" s="66" t="s">
        <v>635</v>
      </c>
      <c r="I132" s="66" t="s">
        <v>10</v>
      </c>
      <c r="J132" s="82" t="s">
        <v>44</v>
      </c>
      <c r="K132" s="67">
        <v>5000</v>
      </c>
      <c r="L132" s="82">
        <f t="shared" si="11"/>
        <v>0</v>
      </c>
      <c r="M132" s="67">
        <v>2000</v>
      </c>
      <c r="N132" s="82"/>
      <c r="O132" s="82">
        <f t="shared" si="8"/>
        <v>3000</v>
      </c>
      <c r="P132" s="82">
        <f t="shared" si="9"/>
        <v>0</v>
      </c>
      <c r="Q132" s="67">
        <v>3000</v>
      </c>
      <c r="R132" s="82"/>
      <c r="S132" s="67">
        <v>0</v>
      </c>
      <c r="T132" s="82"/>
      <c r="U132" s="67">
        <v>0</v>
      </c>
      <c r="V132" s="82"/>
      <c r="W132" s="82"/>
      <c r="X132" s="82"/>
      <c r="Y132" s="68">
        <v>15</v>
      </c>
      <c r="Z132" s="82"/>
      <c r="AA132" s="69">
        <v>44531</v>
      </c>
      <c r="AB132" s="74"/>
      <c r="AC132" s="75"/>
      <c r="AD132" s="70" t="s">
        <v>460</v>
      </c>
    </row>
    <row r="133" spans="1:30" s="76" customFormat="1" ht="37.5">
      <c r="A133" s="82">
        <f>+SUBTOTAL(3,$B$7:B133)</f>
        <v>127</v>
      </c>
      <c r="B133" s="82" t="s">
        <v>444</v>
      </c>
      <c r="C133" s="82" t="s">
        <v>111</v>
      </c>
      <c r="D133" s="66" t="s">
        <v>187</v>
      </c>
      <c r="E133" s="82">
        <v>1</v>
      </c>
      <c r="F133" s="67">
        <v>302490901</v>
      </c>
      <c r="G133" s="66" t="s">
        <v>196</v>
      </c>
      <c r="H133" s="66" t="s">
        <v>197</v>
      </c>
      <c r="I133" s="66" t="s">
        <v>10</v>
      </c>
      <c r="J133" s="82" t="s">
        <v>66</v>
      </c>
      <c r="K133" s="67">
        <v>1000</v>
      </c>
      <c r="L133" s="82">
        <f t="shared" si="11"/>
        <v>300</v>
      </c>
      <c r="M133" s="67">
        <v>700</v>
      </c>
      <c r="N133" s="82"/>
      <c r="O133" s="82">
        <f t="shared" si="8"/>
        <v>300</v>
      </c>
      <c r="P133" s="82">
        <f t="shared" si="9"/>
        <v>300</v>
      </c>
      <c r="Q133" s="67">
        <v>300</v>
      </c>
      <c r="R133" s="82">
        <v>300</v>
      </c>
      <c r="S133" s="67">
        <v>0</v>
      </c>
      <c r="T133" s="82"/>
      <c r="U133" s="67">
        <v>0</v>
      </c>
      <c r="V133" s="82"/>
      <c r="W133" s="82"/>
      <c r="X133" s="82"/>
      <c r="Y133" s="68">
        <v>4</v>
      </c>
      <c r="Z133" s="82"/>
      <c r="AA133" s="69">
        <v>44531</v>
      </c>
      <c r="AB133" s="74"/>
      <c r="AC133" s="75"/>
      <c r="AD133" s="70" t="s">
        <v>460</v>
      </c>
    </row>
    <row r="134" spans="1:30" s="76" customFormat="1" ht="37.5">
      <c r="A134" s="82">
        <f>+SUBTOTAL(3,$B$7:B134)</f>
        <v>128</v>
      </c>
      <c r="B134" s="82" t="s">
        <v>444</v>
      </c>
      <c r="C134" s="82" t="s">
        <v>111</v>
      </c>
      <c r="D134" s="66" t="s">
        <v>187</v>
      </c>
      <c r="E134" s="82">
        <v>4</v>
      </c>
      <c r="F134" s="67">
        <v>201324634</v>
      </c>
      <c r="G134" s="66" t="s">
        <v>198</v>
      </c>
      <c r="H134" s="66" t="s">
        <v>199</v>
      </c>
      <c r="I134" s="66" t="s">
        <v>10</v>
      </c>
      <c r="J134" s="82" t="s">
        <v>66</v>
      </c>
      <c r="K134" s="67">
        <v>4000</v>
      </c>
      <c r="L134" s="82">
        <f t="shared" si="11"/>
        <v>0</v>
      </c>
      <c r="M134" s="67">
        <v>2000</v>
      </c>
      <c r="N134" s="82"/>
      <c r="O134" s="82">
        <f t="shared" si="8"/>
        <v>2000</v>
      </c>
      <c r="P134" s="82">
        <f t="shared" si="9"/>
        <v>0</v>
      </c>
      <c r="Q134" s="67">
        <v>2000</v>
      </c>
      <c r="R134" s="82"/>
      <c r="S134" s="67">
        <v>0</v>
      </c>
      <c r="T134" s="82"/>
      <c r="U134" s="67">
        <v>0</v>
      </c>
      <c r="V134" s="82"/>
      <c r="W134" s="82"/>
      <c r="X134" s="82"/>
      <c r="Y134" s="68">
        <v>8</v>
      </c>
      <c r="Z134" s="82"/>
      <c r="AA134" s="69">
        <v>44531</v>
      </c>
      <c r="AB134" s="74"/>
      <c r="AC134" s="75"/>
      <c r="AD134" s="70" t="s">
        <v>460</v>
      </c>
    </row>
    <row r="135" spans="1:30" s="76" customFormat="1" ht="56.25">
      <c r="A135" s="82">
        <f>+SUBTOTAL(3,$B$7:B135)</f>
        <v>129</v>
      </c>
      <c r="B135" s="82" t="s">
        <v>444</v>
      </c>
      <c r="C135" s="82" t="s">
        <v>111</v>
      </c>
      <c r="D135" s="66" t="s">
        <v>187</v>
      </c>
      <c r="E135" s="82">
        <v>4</v>
      </c>
      <c r="F135" s="67">
        <v>301140370</v>
      </c>
      <c r="G135" s="66" t="s">
        <v>200</v>
      </c>
      <c r="H135" s="66" t="s">
        <v>201</v>
      </c>
      <c r="I135" s="66" t="s">
        <v>10</v>
      </c>
      <c r="J135" s="82" t="s">
        <v>66</v>
      </c>
      <c r="K135" s="67">
        <v>3000</v>
      </c>
      <c r="L135" s="82">
        <f t="shared" si="11"/>
        <v>0</v>
      </c>
      <c r="M135" s="67">
        <v>3000</v>
      </c>
      <c r="N135" s="82"/>
      <c r="O135" s="82">
        <f t="shared" ref="O135:O198" si="12">+Q135+S135*10.2</f>
        <v>0</v>
      </c>
      <c r="P135" s="82">
        <f t="shared" ref="P135:P198" si="13">+R135+T135*10.2</f>
        <v>0</v>
      </c>
      <c r="Q135" s="67"/>
      <c r="R135" s="82"/>
      <c r="S135" s="67"/>
      <c r="T135" s="82"/>
      <c r="U135" s="67">
        <v>0</v>
      </c>
      <c r="V135" s="82"/>
      <c r="W135" s="82"/>
      <c r="X135" s="82"/>
      <c r="Y135" s="68">
        <v>10</v>
      </c>
      <c r="Z135" s="82"/>
      <c r="AA135" s="69">
        <v>44378</v>
      </c>
      <c r="AB135" s="74"/>
      <c r="AC135" s="75"/>
      <c r="AD135" s="70" t="s">
        <v>460</v>
      </c>
    </row>
    <row r="136" spans="1:30" s="76" customFormat="1" ht="37.5">
      <c r="A136" s="82">
        <f>+SUBTOTAL(3,$B$7:B136)</f>
        <v>130</v>
      </c>
      <c r="B136" s="82" t="s">
        <v>444</v>
      </c>
      <c r="C136" s="82" t="s">
        <v>111</v>
      </c>
      <c r="D136" s="66" t="s">
        <v>187</v>
      </c>
      <c r="E136" s="82">
        <v>4</v>
      </c>
      <c r="F136" s="67">
        <v>205738234</v>
      </c>
      <c r="G136" s="66" t="s">
        <v>202</v>
      </c>
      <c r="H136" s="66" t="s">
        <v>193</v>
      </c>
      <c r="I136" s="66" t="s">
        <v>10</v>
      </c>
      <c r="J136" s="82" t="s">
        <v>66</v>
      </c>
      <c r="K136" s="67">
        <v>1500</v>
      </c>
      <c r="L136" s="82">
        <f t="shared" si="11"/>
        <v>0</v>
      </c>
      <c r="M136" s="67">
        <v>1500</v>
      </c>
      <c r="N136" s="82"/>
      <c r="O136" s="82">
        <f t="shared" si="12"/>
        <v>0</v>
      </c>
      <c r="P136" s="82">
        <f t="shared" si="13"/>
        <v>0</v>
      </c>
      <c r="Q136" s="67"/>
      <c r="R136" s="82"/>
      <c r="S136" s="67"/>
      <c r="T136" s="82"/>
      <c r="U136" s="67">
        <v>0</v>
      </c>
      <c r="V136" s="82"/>
      <c r="W136" s="82"/>
      <c r="X136" s="82"/>
      <c r="Y136" s="68">
        <v>8</v>
      </c>
      <c r="Z136" s="82"/>
      <c r="AA136" s="18">
        <v>44501</v>
      </c>
      <c r="AB136" s="74"/>
      <c r="AC136" s="75"/>
      <c r="AD136" s="70" t="s">
        <v>0</v>
      </c>
    </row>
    <row r="137" spans="1:30" s="76" customFormat="1" ht="37.5">
      <c r="A137" s="82">
        <f>+SUBTOTAL(3,$B$7:B137)</f>
        <v>131</v>
      </c>
      <c r="B137" s="82" t="s">
        <v>444</v>
      </c>
      <c r="C137" s="82" t="s">
        <v>111</v>
      </c>
      <c r="D137" s="66" t="s">
        <v>187</v>
      </c>
      <c r="E137" s="82">
        <v>1</v>
      </c>
      <c r="F137" s="67">
        <v>203359329</v>
      </c>
      <c r="G137" s="66" t="s">
        <v>203</v>
      </c>
      <c r="H137" s="66" t="s">
        <v>204</v>
      </c>
      <c r="I137" s="66" t="s">
        <v>6</v>
      </c>
      <c r="J137" s="82" t="s">
        <v>12</v>
      </c>
      <c r="K137" s="67">
        <v>12890.526315789473</v>
      </c>
      <c r="L137" s="82">
        <f t="shared" si="11"/>
        <v>11628</v>
      </c>
      <c r="M137" s="67">
        <v>530.52631578947364</v>
      </c>
      <c r="N137" s="82"/>
      <c r="O137" s="82">
        <f t="shared" si="12"/>
        <v>12240</v>
      </c>
      <c r="P137" s="82">
        <f t="shared" si="13"/>
        <v>11628</v>
      </c>
      <c r="Q137" s="67"/>
      <c r="R137" s="82"/>
      <c r="S137" s="67">
        <v>1200</v>
      </c>
      <c r="T137" s="82">
        <v>1140</v>
      </c>
      <c r="U137" s="67"/>
      <c r="V137" s="82"/>
      <c r="W137" s="82"/>
      <c r="X137" s="82"/>
      <c r="Y137" s="68">
        <v>35</v>
      </c>
      <c r="Z137" s="82"/>
      <c r="AA137" s="69">
        <v>44378</v>
      </c>
      <c r="AB137" s="74"/>
      <c r="AC137" s="75"/>
      <c r="AD137" s="70" t="s">
        <v>543</v>
      </c>
    </row>
    <row r="138" spans="1:30" s="76" customFormat="1" ht="56.25">
      <c r="A138" s="82">
        <f>+SUBTOTAL(3,$B$7:B138)</f>
        <v>132</v>
      </c>
      <c r="B138" s="82" t="s">
        <v>444</v>
      </c>
      <c r="C138" s="82" t="s">
        <v>111</v>
      </c>
      <c r="D138" s="66" t="s">
        <v>187</v>
      </c>
      <c r="E138" s="82">
        <v>2</v>
      </c>
      <c r="F138" s="67">
        <v>305531063</v>
      </c>
      <c r="G138" s="66" t="s">
        <v>206</v>
      </c>
      <c r="H138" s="66" t="s">
        <v>207</v>
      </c>
      <c r="I138" s="66" t="s">
        <v>9</v>
      </c>
      <c r="J138" s="82" t="s">
        <v>36</v>
      </c>
      <c r="K138" s="67">
        <v>2500</v>
      </c>
      <c r="L138" s="82">
        <f t="shared" si="11"/>
        <v>770</v>
      </c>
      <c r="M138" s="67">
        <v>500</v>
      </c>
      <c r="N138" s="82"/>
      <c r="O138" s="82">
        <f t="shared" si="12"/>
        <v>2000</v>
      </c>
      <c r="P138" s="82">
        <f t="shared" si="13"/>
        <v>770</v>
      </c>
      <c r="Q138" s="67">
        <v>2000</v>
      </c>
      <c r="R138" s="82">
        <v>770</v>
      </c>
      <c r="S138" s="67"/>
      <c r="T138" s="82"/>
      <c r="U138" s="67"/>
      <c r="V138" s="82"/>
      <c r="W138" s="82"/>
      <c r="X138" s="82"/>
      <c r="Y138" s="68">
        <v>10</v>
      </c>
      <c r="Z138" s="82"/>
      <c r="AA138" s="18">
        <v>44530</v>
      </c>
      <c r="AB138" s="74"/>
      <c r="AC138" s="75"/>
      <c r="AD138" s="70" t="s">
        <v>445</v>
      </c>
    </row>
    <row r="139" spans="1:30" s="76" customFormat="1" ht="37.5">
      <c r="A139" s="82">
        <f>+SUBTOTAL(3,$B$7:B139)</f>
        <v>133</v>
      </c>
      <c r="B139" s="82" t="s">
        <v>444</v>
      </c>
      <c r="C139" s="82" t="s">
        <v>111</v>
      </c>
      <c r="D139" s="66" t="s">
        <v>187</v>
      </c>
      <c r="E139" s="82">
        <v>4</v>
      </c>
      <c r="F139" s="67">
        <v>201797925</v>
      </c>
      <c r="G139" s="66" t="s">
        <v>208</v>
      </c>
      <c r="H139" s="66" t="s">
        <v>209</v>
      </c>
      <c r="I139" s="66" t="s">
        <v>10</v>
      </c>
      <c r="J139" s="82" t="s">
        <v>66</v>
      </c>
      <c r="K139" s="67">
        <v>3900</v>
      </c>
      <c r="L139" s="82">
        <f t="shared" si="11"/>
        <v>2800</v>
      </c>
      <c r="M139" s="67">
        <v>1100</v>
      </c>
      <c r="N139" s="82"/>
      <c r="O139" s="82">
        <f t="shared" si="12"/>
        <v>2800</v>
      </c>
      <c r="P139" s="82">
        <f t="shared" si="13"/>
        <v>2800</v>
      </c>
      <c r="Q139" s="67">
        <v>2800</v>
      </c>
      <c r="R139" s="82">
        <v>2800</v>
      </c>
      <c r="S139" s="67"/>
      <c r="T139" s="82"/>
      <c r="U139" s="67"/>
      <c r="V139" s="82"/>
      <c r="W139" s="82"/>
      <c r="X139" s="82"/>
      <c r="Y139" s="68">
        <v>10</v>
      </c>
      <c r="Z139" s="82"/>
      <c r="AA139" s="69">
        <v>44378</v>
      </c>
      <c r="AB139" s="74"/>
      <c r="AC139" s="75"/>
      <c r="AD139" s="70" t="s">
        <v>445</v>
      </c>
    </row>
    <row r="140" spans="1:30" s="76" customFormat="1" ht="37.5">
      <c r="A140" s="82">
        <f>+SUBTOTAL(3,$B$7:B140)</f>
        <v>134</v>
      </c>
      <c r="B140" s="82" t="s">
        <v>444</v>
      </c>
      <c r="C140" s="82" t="s">
        <v>111</v>
      </c>
      <c r="D140" s="66" t="s">
        <v>187</v>
      </c>
      <c r="E140" s="82">
        <v>1</v>
      </c>
      <c r="F140" s="67">
        <v>307530854</v>
      </c>
      <c r="G140" s="66" t="s">
        <v>638</v>
      </c>
      <c r="H140" s="66" t="s">
        <v>147</v>
      </c>
      <c r="I140" s="66" t="s">
        <v>9</v>
      </c>
      <c r="J140" s="82" t="s">
        <v>36</v>
      </c>
      <c r="K140" s="67">
        <v>6500</v>
      </c>
      <c r="L140" s="82">
        <f t="shared" ref="L140:L171" si="14">+N140+R140+T140*10.2+V140*10.2</f>
        <v>700</v>
      </c>
      <c r="M140" s="67">
        <v>3000</v>
      </c>
      <c r="N140" s="82"/>
      <c r="O140" s="82">
        <f t="shared" si="12"/>
        <v>3500</v>
      </c>
      <c r="P140" s="82">
        <f t="shared" si="13"/>
        <v>700</v>
      </c>
      <c r="Q140" s="67">
        <v>3500</v>
      </c>
      <c r="R140" s="82">
        <v>700</v>
      </c>
      <c r="S140" s="67"/>
      <c r="T140" s="82"/>
      <c r="U140" s="67"/>
      <c r="V140" s="82"/>
      <c r="W140" s="82"/>
      <c r="X140" s="82"/>
      <c r="Y140" s="68">
        <v>10</v>
      </c>
      <c r="Z140" s="82"/>
      <c r="AA140" s="18">
        <v>44531</v>
      </c>
      <c r="AB140" s="74"/>
      <c r="AC140" s="75"/>
      <c r="AD140" s="70" t="s">
        <v>445</v>
      </c>
    </row>
    <row r="141" spans="1:30" s="76" customFormat="1" ht="37.5">
      <c r="A141" s="82">
        <f>+SUBTOTAL(3,$B$7:B141)</f>
        <v>135</v>
      </c>
      <c r="B141" s="82" t="s">
        <v>444</v>
      </c>
      <c r="C141" s="82" t="s">
        <v>111</v>
      </c>
      <c r="D141" s="66" t="s">
        <v>187</v>
      </c>
      <c r="E141" s="82">
        <v>2</v>
      </c>
      <c r="F141" s="67">
        <v>306348954</v>
      </c>
      <c r="G141" s="66" t="s">
        <v>639</v>
      </c>
      <c r="H141" s="66" t="s">
        <v>37</v>
      </c>
      <c r="I141" s="66" t="s">
        <v>9</v>
      </c>
      <c r="J141" s="82" t="s">
        <v>37</v>
      </c>
      <c r="K141" s="67">
        <v>3000</v>
      </c>
      <c r="L141" s="82">
        <f t="shared" si="14"/>
        <v>0</v>
      </c>
      <c r="M141" s="67">
        <v>3000</v>
      </c>
      <c r="N141" s="82"/>
      <c r="O141" s="82">
        <f t="shared" si="12"/>
        <v>0</v>
      </c>
      <c r="P141" s="82">
        <f t="shared" si="13"/>
        <v>0</v>
      </c>
      <c r="Q141" s="67"/>
      <c r="R141" s="82"/>
      <c r="S141" s="67"/>
      <c r="T141" s="82"/>
      <c r="U141" s="67"/>
      <c r="V141" s="82"/>
      <c r="W141" s="82"/>
      <c r="X141" s="82"/>
      <c r="Y141" s="68">
        <v>10</v>
      </c>
      <c r="Z141" s="82"/>
      <c r="AA141" s="69">
        <v>44531</v>
      </c>
      <c r="AB141" s="74"/>
      <c r="AC141" s="75"/>
      <c r="AD141" s="70" t="s">
        <v>0</v>
      </c>
    </row>
    <row r="142" spans="1:30" s="76" customFormat="1" ht="37.5">
      <c r="A142" s="82">
        <f>+SUBTOTAL(3,$B$7:B142)</f>
        <v>136</v>
      </c>
      <c r="B142" s="82" t="s">
        <v>444</v>
      </c>
      <c r="C142" s="82" t="s">
        <v>111</v>
      </c>
      <c r="D142" s="66" t="s">
        <v>187</v>
      </c>
      <c r="E142" s="82">
        <v>2</v>
      </c>
      <c r="F142" s="67">
        <v>302607903</v>
      </c>
      <c r="G142" s="66" t="s">
        <v>640</v>
      </c>
      <c r="H142" s="66" t="s">
        <v>641</v>
      </c>
      <c r="I142" s="66" t="s">
        <v>6</v>
      </c>
      <c r="J142" s="82" t="s">
        <v>52</v>
      </c>
      <c r="K142" s="67">
        <v>760</v>
      </c>
      <c r="L142" s="82">
        <f t="shared" si="14"/>
        <v>0</v>
      </c>
      <c r="M142" s="67">
        <v>250</v>
      </c>
      <c r="N142" s="82"/>
      <c r="O142" s="82">
        <f t="shared" si="12"/>
        <v>510</v>
      </c>
      <c r="P142" s="82">
        <f t="shared" si="13"/>
        <v>0</v>
      </c>
      <c r="Q142" s="67">
        <v>510</v>
      </c>
      <c r="R142" s="82"/>
      <c r="S142" s="67"/>
      <c r="T142" s="82"/>
      <c r="U142" s="67"/>
      <c r="V142" s="82"/>
      <c r="W142" s="82"/>
      <c r="X142" s="82"/>
      <c r="Y142" s="68">
        <v>6</v>
      </c>
      <c r="Z142" s="82"/>
      <c r="AA142" s="69">
        <v>44531</v>
      </c>
      <c r="AB142" s="74"/>
      <c r="AC142" s="75"/>
      <c r="AD142" s="70" t="s">
        <v>2</v>
      </c>
    </row>
    <row r="143" spans="1:30" s="76" customFormat="1" ht="75">
      <c r="A143" s="82">
        <f>+SUBTOTAL(3,$B$7:B143)</f>
        <v>137</v>
      </c>
      <c r="B143" s="82" t="s">
        <v>444</v>
      </c>
      <c r="C143" s="82" t="s">
        <v>111</v>
      </c>
      <c r="D143" s="66" t="s">
        <v>187</v>
      </c>
      <c r="E143" s="82">
        <v>1</v>
      </c>
      <c r="F143" s="67">
        <v>306333736</v>
      </c>
      <c r="G143" s="66" t="s">
        <v>642</v>
      </c>
      <c r="H143" s="66" t="s">
        <v>643</v>
      </c>
      <c r="I143" s="66" t="s">
        <v>6</v>
      </c>
      <c r="J143" s="82" t="s">
        <v>12</v>
      </c>
      <c r="K143" s="67">
        <v>9000</v>
      </c>
      <c r="L143" s="82">
        <f t="shared" si="14"/>
        <v>0</v>
      </c>
      <c r="M143" s="67">
        <v>6000</v>
      </c>
      <c r="N143" s="82"/>
      <c r="O143" s="82">
        <f t="shared" si="12"/>
        <v>3000</v>
      </c>
      <c r="P143" s="82">
        <f t="shared" si="13"/>
        <v>0</v>
      </c>
      <c r="Q143" s="67">
        <v>3000</v>
      </c>
      <c r="R143" s="82"/>
      <c r="S143" s="67"/>
      <c r="T143" s="82"/>
      <c r="U143" s="67"/>
      <c r="V143" s="82"/>
      <c r="W143" s="82"/>
      <c r="X143" s="82"/>
      <c r="Y143" s="68">
        <v>70</v>
      </c>
      <c r="Z143" s="82"/>
      <c r="AA143" s="69">
        <v>44501</v>
      </c>
      <c r="AB143" s="74"/>
      <c r="AC143" s="75"/>
      <c r="AD143" s="70" t="s">
        <v>84</v>
      </c>
    </row>
    <row r="144" spans="1:30" s="76" customFormat="1" ht="37.5">
      <c r="A144" s="82">
        <f>+SUBTOTAL(3,$B$7:B144)</f>
        <v>138</v>
      </c>
      <c r="B144" s="82" t="s">
        <v>444</v>
      </c>
      <c r="C144" s="82" t="s">
        <v>111</v>
      </c>
      <c r="D144" s="66" t="s">
        <v>187</v>
      </c>
      <c r="E144" s="82">
        <v>2</v>
      </c>
      <c r="F144" s="67">
        <v>304651438</v>
      </c>
      <c r="G144" s="66" t="s">
        <v>644</v>
      </c>
      <c r="H144" s="66" t="s">
        <v>645</v>
      </c>
      <c r="I144" s="66" t="s">
        <v>9</v>
      </c>
      <c r="J144" s="82" t="s">
        <v>36</v>
      </c>
      <c r="K144" s="67">
        <v>6100</v>
      </c>
      <c r="L144" s="82">
        <f t="shared" si="14"/>
        <v>1363</v>
      </c>
      <c r="M144" s="67">
        <v>600</v>
      </c>
      <c r="N144" s="82"/>
      <c r="O144" s="82">
        <f t="shared" si="12"/>
        <v>5500</v>
      </c>
      <c r="P144" s="82">
        <f t="shared" si="13"/>
        <v>1363</v>
      </c>
      <c r="Q144" s="67">
        <v>5500</v>
      </c>
      <c r="R144" s="82">
        <v>1363</v>
      </c>
      <c r="S144" s="67"/>
      <c r="T144" s="82"/>
      <c r="U144" s="67"/>
      <c r="V144" s="82"/>
      <c r="W144" s="82"/>
      <c r="X144" s="82"/>
      <c r="Y144" s="68">
        <v>5</v>
      </c>
      <c r="Z144" s="82"/>
      <c r="AA144" s="69">
        <v>44501</v>
      </c>
      <c r="AB144" s="74"/>
      <c r="AC144" s="75"/>
      <c r="AD144" s="70" t="s">
        <v>543</v>
      </c>
    </row>
    <row r="145" spans="1:30" s="76" customFormat="1" ht="37.5">
      <c r="A145" s="82">
        <f>+SUBTOTAL(3,$B$7:B145)</f>
        <v>139</v>
      </c>
      <c r="B145" s="82" t="s">
        <v>444</v>
      </c>
      <c r="C145" s="82" t="s">
        <v>111</v>
      </c>
      <c r="D145" s="66" t="s">
        <v>187</v>
      </c>
      <c r="E145" s="82">
        <v>4</v>
      </c>
      <c r="F145" s="67">
        <v>307530854</v>
      </c>
      <c r="G145" s="66" t="s">
        <v>646</v>
      </c>
      <c r="H145" s="66" t="s">
        <v>647</v>
      </c>
      <c r="I145" s="66" t="s">
        <v>10</v>
      </c>
      <c r="J145" s="82" t="s">
        <v>59</v>
      </c>
      <c r="K145" s="67">
        <v>1300</v>
      </c>
      <c r="L145" s="82">
        <f t="shared" si="14"/>
        <v>400</v>
      </c>
      <c r="M145" s="67">
        <v>300</v>
      </c>
      <c r="N145" s="82"/>
      <c r="O145" s="82">
        <f t="shared" si="12"/>
        <v>1000</v>
      </c>
      <c r="P145" s="82">
        <f t="shared" si="13"/>
        <v>400</v>
      </c>
      <c r="Q145" s="67">
        <v>1000</v>
      </c>
      <c r="R145" s="82">
        <v>400</v>
      </c>
      <c r="S145" s="67"/>
      <c r="T145" s="82"/>
      <c r="U145" s="67"/>
      <c r="V145" s="82"/>
      <c r="W145" s="82"/>
      <c r="X145" s="82"/>
      <c r="Y145" s="68">
        <v>6</v>
      </c>
      <c r="Z145" s="82"/>
      <c r="AA145" s="69">
        <v>44317</v>
      </c>
      <c r="AB145" s="74"/>
      <c r="AC145" s="75"/>
      <c r="AD145" s="70" t="s">
        <v>445</v>
      </c>
    </row>
    <row r="146" spans="1:30" s="76" customFormat="1" ht="37.5">
      <c r="A146" s="82">
        <f>+SUBTOTAL(3,$B$7:B146)</f>
        <v>140</v>
      </c>
      <c r="B146" s="82" t="s">
        <v>444</v>
      </c>
      <c r="C146" s="82" t="s">
        <v>111</v>
      </c>
      <c r="D146" s="66" t="s">
        <v>187</v>
      </c>
      <c r="E146" s="82">
        <v>4</v>
      </c>
      <c r="F146" s="67">
        <v>306348954</v>
      </c>
      <c r="G146" s="66" t="s">
        <v>648</v>
      </c>
      <c r="H146" s="66" t="s">
        <v>163</v>
      </c>
      <c r="I146" s="66" t="s">
        <v>10</v>
      </c>
      <c r="J146" s="82" t="s">
        <v>56</v>
      </c>
      <c r="K146" s="67">
        <v>974</v>
      </c>
      <c r="L146" s="82">
        <f t="shared" si="14"/>
        <v>974</v>
      </c>
      <c r="M146" s="67">
        <v>674</v>
      </c>
      <c r="N146" s="82">
        <v>674</v>
      </c>
      <c r="O146" s="82">
        <f t="shared" si="12"/>
        <v>300</v>
      </c>
      <c r="P146" s="82">
        <f t="shared" si="13"/>
        <v>300</v>
      </c>
      <c r="Q146" s="67">
        <v>300</v>
      </c>
      <c r="R146" s="82">
        <v>300</v>
      </c>
      <c r="S146" s="67"/>
      <c r="T146" s="82"/>
      <c r="U146" s="67"/>
      <c r="V146" s="82"/>
      <c r="W146" s="82"/>
      <c r="X146" s="82"/>
      <c r="Y146" s="68">
        <v>3</v>
      </c>
      <c r="Z146" s="82">
        <v>4</v>
      </c>
      <c r="AA146" s="18">
        <v>44317</v>
      </c>
      <c r="AB146" s="74">
        <v>44197</v>
      </c>
      <c r="AC146" s="75" t="s">
        <v>2082</v>
      </c>
      <c r="AD146" s="70" t="s">
        <v>445</v>
      </c>
    </row>
    <row r="147" spans="1:30" s="76" customFormat="1" ht="56.25">
      <c r="A147" s="82">
        <f>+SUBTOTAL(3,$B$7:B147)</f>
        <v>141</v>
      </c>
      <c r="B147" s="82" t="s">
        <v>444</v>
      </c>
      <c r="C147" s="82" t="s">
        <v>111</v>
      </c>
      <c r="D147" s="66" t="s">
        <v>187</v>
      </c>
      <c r="E147" s="82">
        <v>3</v>
      </c>
      <c r="F147" s="67">
        <v>306972908</v>
      </c>
      <c r="G147" s="66" t="s">
        <v>649</v>
      </c>
      <c r="H147" s="66" t="s">
        <v>650</v>
      </c>
      <c r="I147" s="66" t="s">
        <v>10</v>
      </c>
      <c r="J147" s="82" t="s">
        <v>66</v>
      </c>
      <c r="K147" s="67">
        <v>800</v>
      </c>
      <c r="L147" s="82">
        <f t="shared" si="14"/>
        <v>200</v>
      </c>
      <c r="M147" s="67">
        <v>300</v>
      </c>
      <c r="N147" s="82"/>
      <c r="O147" s="82">
        <f t="shared" si="12"/>
        <v>500</v>
      </c>
      <c r="P147" s="82">
        <f t="shared" si="13"/>
        <v>200</v>
      </c>
      <c r="Q147" s="67">
        <v>500</v>
      </c>
      <c r="R147" s="82">
        <v>200</v>
      </c>
      <c r="S147" s="67"/>
      <c r="T147" s="82"/>
      <c r="U147" s="67"/>
      <c r="V147" s="82"/>
      <c r="W147" s="82"/>
      <c r="X147" s="82"/>
      <c r="Y147" s="68">
        <v>5</v>
      </c>
      <c r="Z147" s="82"/>
      <c r="AA147" s="18">
        <v>44378</v>
      </c>
      <c r="AB147" s="74"/>
      <c r="AC147" s="75"/>
      <c r="AD147" s="70" t="s">
        <v>453</v>
      </c>
    </row>
    <row r="148" spans="1:30" s="76" customFormat="1" ht="37.5">
      <c r="A148" s="82">
        <f>+SUBTOTAL(3,$B$7:B148)</f>
        <v>142</v>
      </c>
      <c r="B148" s="82" t="s">
        <v>444</v>
      </c>
      <c r="C148" s="82" t="s">
        <v>111</v>
      </c>
      <c r="D148" s="66" t="s">
        <v>187</v>
      </c>
      <c r="E148" s="82">
        <v>4</v>
      </c>
      <c r="F148" s="67">
        <v>306896692</v>
      </c>
      <c r="G148" s="66" t="s">
        <v>651</v>
      </c>
      <c r="H148" s="66" t="s">
        <v>652</v>
      </c>
      <c r="I148" s="66" t="s">
        <v>10</v>
      </c>
      <c r="J148" s="82" t="s">
        <v>30</v>
      </c>
      <c r="K148" s="67">
        <v>2000</v>
      </c>
      <c r="L148" s="82">
        <f t="shared" si="14"/>
        <v>400</v>
      </c>
      <c r="M148" s="67">
        <v>1000</v>
      </c>
      <c r="N148" s="82"/>
      <c r="O148" s="82">
        <f t="shared" si="12"/>
        <v>1000</v>
      </c>
      <c r="P148" s="82">
        <f t="shared" si="13"/>
        <v>400</v>
      </c>
      <c r="Q148" s="67">
        <v>1000</v>
      </c>
      <c r="R148" s="82">
        <v>400</v>
      </c>
      <c r="S148" s="67"/>
      <c r="T148" s="82"/>
      <c r="U148" s="67"/>
      <c r="V148" s="82"/>
      <c r="W148" s="82"/>
      <c r="X148" s="82"/>
      <c r="Y148" s="68">
        <v>10</v>
      </c>
      <c r="Z148" s="82"/>
      <c r="AA148" s="18">
        <v>44531</v>
      </c>
      <c r="AB148" s="74"/>
      <c r="AC148" s="75"/>
      <c r="AD148" s="70" t="s">
        <v>543</v>
      </c>
    </row>
    <row r="149" spans="1:30" s="76" customFormat="1" ht="37.5">
      <c r="A149" s="82">
        <f>+SUBTOTAL(3,$B$7:B149)</f>
        <v>143</v>
      </c>
      <c r="B149" s="82" t="s">
        <v>444</v>
      </c>
      <c r="C149" s="82" t="s">
        <v>111</v>
      </c>
      <c r="D149" s="66" t="s">
        <v>187</v>
      </c>
      <c r="E149" s="82">
        <v>4</v>
      </c>
      <c r="F149" s="67">
        <v>307685954</v>
      </c>
      <c r="G149" s="66" t="s">
        <v>653</v>
      </c>
      <c r="H149" s="66" t="s">
        <v>654</v>
      </c>
      <c r="I149" s="66" t="s">
        <v>10</v>
      </c>
      <c r="J149" s="82" t="s">
        <v>30</v>
      </c>
      <c r="K149" s="67">
        <v>6326</v>
      </c>
      <c r="L149" s="82">
        <f t="shared" si="14"/>
        <v>0</v>
      </c>
      <c r="M149" s="67">
        <v>2000</v>
      </c>
      <c r="N149" s="82"/>
      <c r="O149" s="82">
        <f t="shared" si="12"/>
        <v>4284</v>
      </c>
      <c r="P149" s="82">
        <f t="shared" si="13"/>
        <v>0</v>
      </c>
      <c r="Q149" s="67">
        <v>0</v>
      </c>
      <c r="R149" s="82"/>
      <c r="S149" s="67">
        <v>420</v>
      </c>
      <c r="T149" s="82"/>
      <c r="U149" s="67"/>
      <c r="V149" s="82"/>
      <c r="W149" s="82"/>
      <c r="X149" s="82"/>
      <c r="Y149" s="68">
        <v>5</v>
      </c>
      <c r="Z149" s="82"/>
      <c r="AA149" s="69">
        <v>44896</v>
      </c>
      <c r="AB149" s="74"/>
      <c r="AC149" s="75"/>
      <c r="AD149" s="70" t="s">
        <v>445</v>
      </c>
    </row>
    <row r="150" spans="1:30" s="76" customFormat="1" ht="37.5">
      <c r="A150" s="82">
        <f>+SUBTOTAL(3,$B$7:B150)</f>
        <v>144</v>
      </c>
      <c r="B150" s="82" t="s">
        <v>2100</v>
      </c>
      <c r="C150" s="82" t="s">
        <v>111</v>
      </c>
      <c r="D150" s="66" t="s">
        <v>187</v>
      </c>
      <c r="E150" s="82">
        <v>3</v>
      </c>
      <c r="F150" s="67">
        <v>306434207</v>
      </c>
      <c r="G150" s="66" t="s">
        <v>2088</v>
      </c>
      <c r="H150" s="66" t="s">
        <v>655</v>
      </c>
      <c r="I150" s="66" t="s">
        <v>6</v>
      </c>
      <c r="J150" s="82" t="s">
        <v>12</v>
      </c>
      <c r="K150" s="67">
        <v>71780</v>
      </c>
      <c r="L150" s="82">
        <f t="shared" si="14"/>
        <v>27455</v>
      </c>
      <c r="M150" s="67">
        <v>14100</v>
      </c>
      <c r="N150" s="82"/>
      <c r="O150" s="82">
        <f t="shared" si="12"/>
        <v>57119.999999999993</v>
      </c>
      <c r="P150" s="82">
        <f t="shared" si="13"/>
        <v>27455</v>
      </c>
      <c r="Q150" s="67"/>
      <c r="R150" s="82">
        <v>2465</v>
      </c>
      <c r="S150" s="67">
        <v>5600</v>
      </c>
      <c r="T150" s="82">
        <v>2450</v>
      </c>
      <c r="U150" s="67"/>
      <c r="V150" s="82"/>
      <c r="W150" s="82"/>
      <c r="X150" s="82"/>
      <c r="Y150" s="68">
        <v>150</v>
      </c>
      <c r="Z150" s="82"/>
      <c r="AA150" s="69">
        <v>44409</v>
      </c>
      <c r="AB150" s="74"/>
      <c r="AC150" s="75"/>
      <c r="AD150" s="70" t="s">
        <v>543</v>
      </c>
    </row>
    <row r="151" spans="1:30" s="76" customFormat="1" ht="75">
      <c r="A151" s="82">
        <f>+SUBTOTAL(3,$B$7:B151)</f>
        <v>145</v>
      </c>
      <c r="B151" s="82" t="s">
        <v>444</v>
      </c>
      <c r="C151" s="82" t="s">
        <v>111</v>
      </c>
      <c r="D151" s="66" t="s">
        <v>187</v>
      </c>
      <c r="E151" s="82">
        <v>2</v>
      </c>
      <c r="F151" s="67">
        <v>305256341</v>
      </c>
      <c r="G151" s="66" t="s">
        <v>656</v>
      </c>
      <c r="H151" s="66" t="s">
        <v>657</v>
      </c>
      <c r="I151" s="66" t="s">
        <v>10</v>
      </c>
      <c r="J151" s="82" t="s">
        <v>56</v>
      </c>
      <c r="K151" s="67">
        <v>3466.9520000000002</v>
      </c>
      <c r="L151" s="82">
        <f t="shared" si="14"/>
        <v>2200</v>
      </c>
      <c r="M151" s="67">
        <v>1040.0855999999999</v>
      </c>
      <c r="N151" s="82"/>
      <c r="O151" s="82">
        <f t="shared" si="12"/>
        <v>2426.8664000000003</v>
      </c>
      <c r="P151" s="82">
        <f t="shared" si="13"/>
        <v>2200</v>
      </c>
      <c r="Q151" s="67">
        <v>2426.8664000000003</v>
      </c>
      <c r="R151" s="82">
        <v>2200</v>
      </c>
      <c r="S151" s="67"/>
      <c r="T151" s="82"/>
      <c r="U151" s="67"/>
      <c r="V151" s="82"/>
      <c r="W151" s="82"/>
      <c r="X151" s="82"/>
      <c r="Y151" s="68">
        <v>18</v>
      </c>
      <c r="Z151" s="82"/>
      <c r="AA151" s="69">
        <v>44348</v>
      </c>
      <c r="AB151" s="74"/>
      <c r="AC151" s="75"/>
      <c r="AD151" s="70" t="s">
        <v>4</v>
      </c>
    </row>
    <row r="152" spans="1:30" s="76" customFormat="1" ht="75">
      <c r="A152" s="82">
        <f>+SUBTOTAL(3,$B$7:B152)</f>
        <v>146</v>
      </c>
      <c r="B152" s="82" t="s">
        <v>444</v>
      </c>
      <c r="C152" s="82" t="s">
        <v>111</v>
      </c>
      <c r="D152" s="66" t="s">
        <v>187</v>
      </c>
      <c r="E152" s="82">
        <v>2</v>
      </c>
      <c r="F152" s="67">
        <v>305279029</v>
      </c>
      <c r="G152" s="66" t="s">
        <v>658</v>
      </c>
      <c r="H152" s="66" t="s">
        <v>659</v>
      </c>
      <c r="I152" s="66" t="s">
        <v>10</v>
      </c>
      <c r="J152" s="82" t="s">
        <v>56</v>
      </c>
      <c r="K152" s="67">
        <v>1601.3518000000001</v>
      </c>
      <c r="L152" s="82">
        <f t="shared" si="14"/>
        <v>1199</v>
      </c>
      <c r="M152" s="67">
        <v>480.4055400000002</v>
      </c>
      <c r="N152" s="82"/>
      <c r="O152" s="94">
        <f t="shared" si="12"/>
        <v>1120.9462599999999</v>
      </c>
      <c r="P152" s="82">
        <f t="shared" si="13"/>
        <v>1199</v>
      </c>
      <c r="Q152" s="67">
        <v>1120.9462599999999</v>
      </c>
      <c r="R152" s="82">
        <v>1199</v>
      </c>
      <c r="S152" s="67"/>
      <c r="T152" s="82"/>
      <c r="U152" s="67"/>
      <c r="V152" s="82"/>
      <c r="W152" s="82"/>
      <c r="X152" s="82"/>
      <c r="Y152" s="68">
        <v>11</v>
      </c>
      <c r="Z152" s="82"/>
      <c r="AA152" s="69">
        <v>44256</v>
      </c>
      <c r="AB152" s="74"/>
      <c r="AC152" s="75"/>
      <c r="AD152" s="70" t="s">
        <v>4</v>
      </c>
    </row>
    <row r="153" spans="1:30" s="76" customFormat="1" ht="75">
      <c r="A153" s="82">
        <f>+SUBTOTAL(3,$B$7:B153)</f>
        <v>147</v>
      </c>
      <c r="B153" s="82" t="s">
        <v>444</v>
      </c>
      <c r="C153" s="82" t="s">
        <v>111</v>
      </c>
      <c r="D153" s="66" t="s">
        <v>187</v>
      </c>
      <c r="E153" s="82">
        <v>2</v>
      </c>
      <c r="F153" s="67">
        <v>305907187</v>
      </c>
      <c r="G153" s="66" t="s">
        <v>660</v>
      </c>
      <c r="H153" s="66" t="s">
        <v>661</v>
      </c>
      <c r="I153" s="66" t="s">
        <v>10</v>
      </c>
      <c r="J153" s="82" t="s">
        <v>56</v>
      </c>
      <c r="K153" s="67">
        <v>2609.8900000000003</v>
      </c>
      <c r="L153" s="82">
        <f t="shared" si="14"/>
        <v>2624</v>
      </c>
      <c r="M153" s="67">
        <v>652.49</v>
      </c>
      <c r="N153" s="82">
        <v>667</v>
      </c>
      <c r="O153" s="82">
        <f t="shared" si="12"/>
        <v>1957.4</v>
      </c>
      <c r="P153" s="82">
        <f t="shared" si="13"/>
        <v>1957</v>
      </c>
      <c r="Q153" s="67">
        <v>1957.4</v>
      </c>
      <c r="R153" s="82">
        <v>1957</v>
      </c>
      <c r="S153" s="67"/>
      <c r="T153" s="82"/>
      <c r="U153" s="67"/>
      <c r="V153" s="82"/>
      <c r="W153" s="82"/>
      <c r="X153" s="82"/>
      <c r="Y153" s="68">
        <v>17</v>
      </c>
      <c r="Z153" s="82">
        <v>6</v>
      </c>
      <c r="AA153" s="69">
        <v>44228</v>
      </c>
      <c r="AB153" s="74">
        <v>44228</v>
      </c>
      <c r="AC153" s="75" t="s">
        <v>2081</v>
      </c>
      <c r="AD153" s="70" t="s">
        <v>4</v>
      </c>
    </row>
    <row r="154" spans="1:30" s="76" customFormat="1" ht="75">
      <c r="A154" s="82">
        <f>+SUBTOTAL(3,$B$7:B154)</f>
        <v>148</v>
      </c>
      <c r="B154" s="82" t="s">
        <v>444</v>
      </c>
      <c r="C154" s="82" t="s">
        <v>111</v>
      </c>
      <c r="D154" s="66" t="s">
        <v>187</v>
      </c>
      <c r="E154" s="82">
        <v>3</v>
      </c>
      <c r="F154" s="67">
        <v>305263982</v>
      </c>
      <c r="G154" s="66" t="s">
        <v>662</v>
      </c>
      <c r="H154" s="66" t="s">
        <v>663</v>
      </c>
      <c r="I154" s="66" t="s">
        <v>10</v>
      </c>
      <c r="J154" s="82" t="s">
        <v>56</v>
      </c>
      <c r="K154" s="67">
        <v>2270</v>
      </c>
      <c r="L154" s="82">
        <f t="shared" si="14"/>
        <v>1700</v>
      </c>
      <c r="M154" s="67">
        <v>681</v>
      </c>
      <c r="N154" s="82"/>
      <c r="O154" s="82">
        <f t="shared" si="12"/>
        <v>1589</v>
      </c>
      <c r="P154" s="82">
        <f t="shared" si="13"/>
        <v>1700</v>
      </c>
      <c r="Q154" s="67">
        <v>1589</v>
      </c>
      <c r="R154" s="82">
        <v>1700</v>
      </c>
      <c r="S154" s="67"/>
      <c r="T154" s="82"/>
      <c r="U154" s="67"/>
      <c r="V154" s="82"/>
      <c r="W154" s="82"/>
      <c r="X154" s="82"/>
      <c r="Y154" s="68">
        <v>9</v>
      </c>
      <c r="Z154" s="82"/>
      <c r="AA154" s="69">
        <v>44287</v>
      </c>
      <c r="AB154" s="74"/>
      <c r="AC154" s="75"/>
      <c r="AD154" s="70" t="s">
        <v>4</v>
      </c>
    </row>
    <row r="155" spans="1:30" s="76" customFormat="1" ht="37.5">
      <c r="A155" s="82">
        <f>+SUBTOTAL(3,$B$7:B155)</f>
        <v>149</v>
      </c>
      <c r="B155" s="82" t="s">
        <v>444</v>
      </c>
      <c r="C155" s="82" t="s">
        <v>111</v>
      </c>
      <c r="D155" s="66" t="s">
        <v>187</v>
      </c>
      <c r="E155" s="82">
        <v>2</v>
      </c>
      <c r="F155" s="67">
        <v>203256805</v>
      </c>
      <c r="G155" s="66" t="s">
        <v>666</v>
      </c>
      <c r="H155" s="66" t="s">
        <v>667</v>
      </c>
      <c r="I155" s="66" t="s">
        <v>9</v>
      </c>
      <c r="J155" s="82" t="s">
        <v>37</v>
      </c>
      <c r="K155" s="67">
        <v>150</v>
      </c>
      <c r="L155" s="82">
        <f t="shared" si="14"/>
        <v>0</v>
      </c>
      <c r="M155" s="67">
        <v>150</v>
      </c>
      <c r="N155" s="82"/>
      <c r="O155" s="82">
        <f t="shared" si="12"/>
        <v>0</v>
      </c>
      <c r="P155" s="82">
        <f t="shared" si="13"/>
        <v>0</v>
      </c>
      <c r="Q155" s="67"/>
      <c r="R155" s="82"/>
      <c r="S155" s="67"/>
      <c r="T155" s="82"/>
      <c r="U155" s="67"/>
      <c r="V155" s="82"/>
      <c r="W155" s="82"/>
      <c r="X155" s="82"/>
      <c r="Y155" s="68">
        <v>4</v>
      </c>
      <c r="Z155" s="82"/>
      <c r="AA155" s="69">
        <v>44531</v>
      </c>
      <c r="AB155" s="74"/>
      <c r="AC155" s="75"/>
      <c r="AD155" s="70" t="s">
        <v>477</v>
      </c>
    </row>
    <row r="156" spans="1:30" s="76" customFormat="1" ht="37.5">
      <c r="A156" s="82">
        <f>+SUBTOTAL(3,$B$7:B156)</f>
        <v>150</v>
      </c>
      <c r="B156" s="82" t="s">
        <v>444</v>
      </c>
      <c r="C156" s="82" t="s">
        <v>111</v>
      </c>
      <c r="D156" s="66" t="s">
        <v>187</v>
      </c>
      <c r="E156" s="82">
        <v>3</v>
      </c>
      <c r="F156" s="67">
        <v>203376329</v>
      </c>
      <c r="G156" s="66" t="s">
        <v>668</v>
      </c>
      <c r="H156" s="66" t="s">
        <v>669</v>
      </c>
      <c r="I156" s="66" t="s">
        <v>9</v>
      </c>
      <c r="J156" s="82" t="s">
        <v>38</v>
      </c>
      <c r="K156" s="67">
        <v>100</v>
      </c>
      <c r="L156" s="82">
        <f t="shared" si="14"/>
        <v>80</v>
      </c>
      <c r="M156" s="67">
        <v>20</v>
      </c>
      <c r="N156" s="82"/>
      <c r="O156" s="82">
        <f t="shared" si="12"/>
        <v>80</v>
      </c>
      <c r="P156" s="82">
        <f t="shared" si="13"/>
        <v>80</v>
      </c>
      <c r="Q156" s="67">
        <v>80</v>
      </c>
      <c r="R156" s="82">
        <v>80</v>
      </c>
      <c r="S156" s="67"/>
      <c r="T156" s="82"/>
      <c r="U156" s="67"/>
      <c r="V156" s="82"/>
      <c r="W156" s="82"/>
      <c r="X156" s="82"/>
      <c r="Y156" s="68">
        <v>1</v>
      </c>
      <c r="Z156" s="82"/>
      <c r="AA156" s="69">
        <v>44287</v>
      </c>
      <c r="AB156" s="74"/>
      <c r="AC156" s="75"/>
      <c r="AD156" s="70" t="s">
        <v>3</v>
      </c>
    </row>
    <row r="157" spans="1:30" s="76" customFormat="1" ht="37.5">
      <c r="A157" s="82">
        <f>+SUBTOTAL(3,$B$7:B157)</f>
        <v>151</v>
      </c>
      <c r="B157" s="82" t="s">
        <v>2100</v>
      </c>
      <c r="C157" s="82" t="s">
        <v>111</v>
      </c>
      <c r="D157" s="66" t="s">
        <v>187</v>
      </c>
      <c r="E157" s="82">
        <v>3</v>
      </c>
      <c r="F157" s="67">
        <v>305485484</v>
      </c>
      <c r="G157" s="66" t="s">
        <v>670</v>
      </c>
      <c r="H157" s="66" t="s">
        <v>671</v>
      </c>
      <c r="I157" s="66" t="s">
        <v>6</v>
      </c>
      <c r="J157" s="82" t="s">
        <v>12</v>
      </c>
      <c r="K157" s="67">
        <v>144200</v>
      </c>
      <c r="L157" s="82">
        <f t="shared" si="14"/>
        <v>0</v>
      </c>
      <c r="M157" s="67"/>
      <c r="N157" s="82"/>
      <c r="O157" s="82">
        <f t="shared" si="12"/>
        <v>0</v>
      </c>
      <c r="P157" s="82">
        <f t="shared" si="13"/>
        <v>0</v>
      </c>
      <c r="Q157" s="67"/>
      <c r="R157" s="82"/>
      <c r="S157" s="67"/>
      <c r="T157" s="82"/>
      <c r="U157" s="67">
        <v>14000</v>
      </c>
      <c r="V157" s="82"/>
      <c r="W157" s="82"/>
      <c r="X157" s="82"/>
      <c r="Y157" s="68">
        <v>150</v>
      </c>
      <c r="Z157" s="82"/>
      <c r="AA157" s="18">
        <v>44531</v>
      </c>
      <c r="AB157" s="74"/>
      <c r="AC157" s="75"/>
      <c r="AD157" s="70" t="s">
        <v>477</v>
      </c>
    </row>
    <row r="158" spans="1:30" s="76" customFormat="1" ht="37.5">
      <c r="A158" s="82">
        <f>+SUBTOTAL(3,$B$7:B158)</f>
        <v>152</v>
      </c>
      <c r="B158" s="82" t="s">
        <v>444</v>
      </c>
      <c r="C158" s="82" t="s">
        <v>111</v>
      </c>
      <c r="D158" s="66" t="s">
        <v>187</v>
      </c>
      <c r="E158" s="82">
        <v>2</v>
      </c>
      <c r="F158" s="67">
        <v>306168316</v>
      </c>
      <c r="G158" s="66" t="s">
        <v>672</v>
      </c>
      <c r="H158" s="66" t="s">
        <v>136</v>
      </c>
      <c r="I158" s="66" t="s">
        <v>9</v>
      </c>
      <c r="J158" s="82" t="s">
        <v>36</v>
      </c>
      <c r="K158" s="67">
        <v>1122</v>
      </c>
      <c r="L158" s="82">
        <f t="shared" si="14"/>
        <v>0</v>
      </c>
      <c r="M158" s="67">
        <v>1122</v>
      </c>
      <c r="N158" s="82"/>
      <c r="O158" s="82">
        <f t="shared" si="12"/>
        <v>0</v>
      </c>
      <c r="P158" s="82">
        <f t="shared" si="13"/>
        <v>0</v>
      </c>
      <c r="Q158" s="67"/>
      <c r="R158" s="82"/>
      <c r="S158" s="67"/>
      <c r="T158" s="82"/>
      <c r="U158" s="67"/>
      <c r="V158" s="82"/>
      <c r="W158" s="82"/>
      <c r="X158" s="82"/>
      <c r="Y158" s="68">
        <v>5</v>
      </c>
      <c r="Z158" s="82"/>
      <c r="AA158" s="69">
        <v>44287</v>
      </c>
      <c r="AB158" s="74"/>
      <c r="AC158" s="75"/>
      <c r="AD158" s="70" t="s">
        <v>2</v>
      </c>
    </row>
    <row r="159" spans="1:30" s="76" customFormat="1" ht="37.5">
      <c r="A159" s="82">
        <f>+SUBTOTAL(3,$B$7:B159)</f>
        <v>153</v>
      </c>
      <c r="B159" s="82" t="s">
        <v>444</v>
      </c>
      <c r="C159" s="82" t="s">
        <v>111</v>
      </c>
      <c r="D159" s="66" t="s">
        <v>187</v>
      </c>
      <c r="E159" s="82">
        <v>4</v>
      </c>
      <c r="F159" s="67">
        <v>307158564</v>
      </c>
      <c r="G159" s="66" t="s">
        <v>673</v>
      </c>
      <c r="H159" s="66" t="s">
        <v>674</v>
      </c>
      <c r="I159" s="66" t="s">
        <v>10</v>
      </c>
      <c r="J159" s="82" t="s">
        <v>66</v>
      </c>
      <c r="K159" s="67">
        <v>950</v>
      </c>
      <c r="L159" s="82">
        <f t="shared" si="14"/>
        <v>100</v>
      </c>
      <c r="M159" s="67">
        <v>750</v>
      </c>
      <c r="N159" s="82"/>
      <c r="O159" s="82">
        <f t="shared" si="12"/>
        <v>200</v>
      </c>
      <c r="P159" s="82">
        <f t="shared" si="13"/>
        <v>100</v>
      </c>
      <c r="Q159" s="67">
        <v>200</v>
      </c>
      <c r="R159" s="82">
        <v>100</v>
      </c>
      <c r="S159" s="67"/>
      <c r="T159" s="82"/>
      <c r="U159" s="67"/>
      <c r="V159" s="82"/>
      <c r="W159" s="82"/>
      <c r="X159" s="82"/>
      <c r="Y159" s="68">
        <v>6</v>
      </c>
      <c r="Z159" s="82"/>
      <c r="AA159" s="18">
        <v>44378</v>
      </c>
      <c r="AB159" s="74"/>
      <c r="AC159" s="75"/>
      <c r="AD159" s="70" t="s">
        <v>7</v>
      </c>
    </row>
    <row r="160" spans="1:30" s="76" customFormat="1" ht="37.5">
      <c r="A160" s="82">
        <f>+SUBTOTAL(3,$B$7:B160)</f>
        <v>154</v>
      </c>
      <c r="B160" s="82" t="s">
        <v>444</v>
      </c>
      <c r="C160" s="82" t="s">
        <v>111</v>
      </c>
      <c r="D160" s="66" t="s">
        <v>187</v>
      </c>
      <c r="E160" s="82">
        <v>4</v>
      </c>
      <c r="F160" s="67">
        <v>307215003</v>
      </c>
      <c r="G160" s="66" t="s">
        <v>675</v>
      </c>
      <c r="H160" s="66" t="s">
        <v>676</v>
      </c>
      <c r="I160" s="66" t="s">
        <v>6</v>
      </c>
      <c r="J160" s="82" t="s">
        <v>52</v>
      </c>
      <c r="K160" s="67">
        <v>2000</v>
      </c>
      <c r="L160" s="82">
        <f t="shared" si="14"/>
        <v>2000</v>
      </c>
      <c r="M160" s="67">
        <v>2000</v>
      </c>
      <c r="N160" s="82">
        <v>2000</v>
      </c>
      <c r="O160" s="82">
        <f t="shared" si="12"/>
        <v>0</v>
      </c>
      <c r="P160" s="82">
        <f t="shared" si="13"/>
        <v>0</v>
      </c>
      <c r="Q160" s="67"/>
      <c r="R160" s="82"/>
      <c r="S160" s="67"/>
      <c r="T160" s="82"/>
      <c r="U160" s="67"/>
      <c r="V160" s="82"/>
      <c r="W160" s="82"/>
      <c r="X160" s="82"/>
      <c r="Y160" s="68">
        <v>15</v>
      </c>
      <c r="Z160" s="82">
        <v>1</v>
      </c>
      <c r="AA160" s="18">
        <v>44166</v>
      </c>
      <c r="AB160" s="74">
        <v>44136</v>
      </c>
      <c r="AC160" s="75" t="s">
        <v>1958</v>
      </c>
      <c r="AD160" s="70" t="s">
        <v>7</v>
      </c>
    </row>
    <row r="161" spans="1:30" s="76" customFormat="1" ht="37.5">
      <c r="A161" s="82">
        <f>+SUBTOTAL(3,$B$7:B161)</f>
        <v>155</v>
      </c>
      <c r="B161" s="82" t="s">
        <v>444</v>
      </c>
      <c r="C161" s="82" t="s">
        <v>111</v>
      </c>
      <c r="D161" s="66" t="s">
        <v>187</v>
      </c>
      <c r="E161" s="82">
        <v>4</v>
      </c>
      <c r="F161" s="67">
        <v>303934583</v>
      </c>
      <c r="G161" s="66" t="s">
        <v>677</v>
      </c>
      <c r="H161" s="66" t="s">
        <v>678</v>
      </c>
      <c r="I161" s="66" t="s">
        <v>6</v>
      </c>
      <c r="J161" s="82" t="s">
        <v>12</v>
      </c>
      <c r="K161" s="67">
        <v>400</v>
      </c>
      <c r="L161" s="82">
        <f t="shared" si="14"/>
        <v>300</v>
      </c>
      <c r="M161" s="67">
        <v>100</v>
      </c>
      <c r="N161" s="82">
        <v>100</v>
      </c>
      <c r="O161" s="82">
        <f t="shared" si="12"/>
        <v>300</v>
      </c>
      <c r="P161" s="82">
        <f t="shared" si="13"/>
        <v>200</v>
      </c>
      <c r="Q161" s="67">
        <v>300</v>
      </c>
      <c r="R161" s="82">
        <v>200</v>
      </c>
      <c r="S161" s="67"/>
      <c r="T161" s="82"/>
      <c r="U161" s="67"/>
      <c r="V161" s="82"/>
      <c r="W161" s="82"/>
      <c r="X161" s="82"/>
      <c r="Y161" s="68">
        <v>4</v>
      </c>
      <c r="Z161" s="82">
        <v>3</v>
      </c>
      <c r="AA161" s="18">
        <v>44166</v>
      </c>
      <c r="AB161" s="74">
        <v>44166</v>
      </c>
      <c r="AC161" s="75" t="s">
        <v>1959</v>
      </c>
      <c r="AD161" s="70" t="s">
        <v>7</v>
      </c>
    </row>
    <row r="162" spans="1:30" s="76" customFormat="1" ht="56.25">
      <c r="A162" s="82">
        <f>+SUBTOTAL(3,$B$7:B162)</f>
        <v>156</v>
      </c>
      <c r="B162" s="82" t="s">
        <v>444</v>
      </c>
      <c r="C162" s="82" t="s">
        <v>111</v>
      </c>
      <c r="D162" s="66" t="s">
        <v>187</v>
      </c>
      <c r="E162" s="82">
        <v>2</v>
      </c>
      <c r="F162" s="67">
        <v>307009685</v>
      </c>
      <c r="G162" s="66" t="s">
        <v>679</v>
      </c>
      <c r="H162" s="66" t="s">
        <v>680</v>
      </c>
      <c r="I162" s="66" t="s">
        <v>6</v>
      </c>
      <c r="J162" s="82" t="s">
        <v>12</v>
      </c>
      <c r="K162" s="67">
        <v>550</v>
      </c>
      <c r="L162" s="82">
        <f t="shared" si="14"/>
        <v>400</v>
      </c>
      <c r="M162" s="67">
        <v>150</v>
      </c>
      <c r="N162" s="82"/>
      <c r="O162" s="82">
        <f t="shared" si="12"/>
        <v>400</v>
      </c>
      <c r="P162" s="82">
        <f t="shared" si="13"/>
        <v>400</v>
      </c>
      <c r="Q162" s="67">
        <v>400</v>
      </c>
      <c r="R162" s="82">
        <v>400</v>
      </c>
      <c r="S162" s="67"/>
      <c r="T162" s="82"/>
      <c r="U162" s="67"/>
      <c r="V162" s="82"/>
      <c r="W162" s="82"/>
      <c r="X162" s="82"/>
      <c r="Y162" s="68">
        <v>7</v>
      </c>
      <c r="Z162" s="82"/>
      <c r="AA162" s="18">
        <v>44285</v>
      </c>
      <c r="AB162" s="74"/>
      <c r="AC162" s="75"/>
      <c r="AD162" s="70" t="s">
        <v>7</v>
      </c>
    </row>
    <row r="163" spans="1:30" s="76" customFormat="1" ht="37.5">
      <c r="A163" s="82">
        <f>+SUBTOTAL(3,$B$7:B163)</f>
        <v>157</v>
      </c>
      <c r="B163" s="82" t="s">
        <v>444</v>
      </c>
      <c r="C163" s="82" t="s">
        <v>111</v>
      </c>
      <c r="D163" s="66" t="s">
        <v>187</v>
      </c>
      <c r="E163" s="82">
        <v>2</v>
      </c>
      <c r="F163" s="67">
        <v>307023646</v>
      </c>
      <c r="G163" s="66" t="s">
        <v>681</v>
      </c>
      <c r="H163" s="66" t="s">
        <v>682</v>
      </c>
      <c r="I163" s="66" t="s">
        <v>10</v>
      </c>
      <c r="J163" s="82" t="s">
        <v>30</v>
      </c>
      <c r="K163" s="67">
        <v>958</v>
      </c>
      <c r="L163" s="82">
        <f t="shared" si="14"/>
        <v>250</v>
      </c>
      <c r="M163" s="67">
        <v>708</v>
      </c>
      <c r="N163" s="82"/>
      <c r="O163" s="82">
        <f t="shared" si="12"/>
        <v>250</v>
      </c>
      <c r="P163" s="82">
        <f t="shared" si="13"/>
        <v>250</v>
      </c>
      <c r="Q163" s="67">
        <v>250</v>
      </c>
      <c r="R163" s="82">
        <v>250</v>
      </c>
      <c r="S163" s="67"/>
      <c r="T163" s="82"/>
      <c r="U163" s="67"/>
      <c r="V163" s="82"/>
      <c r="W163" s="82"/>
      <c r="X163" s="82"/>
      <c r="Y163" s="68">
        <v>10</v>
      </c>
      <c r="Z163" s="82"/>
      <c r="AA163" s="69">
        <v>44317</v>
      </c>
      <c r="AB163" s="74"/>
      <c r="AC163" s="75"/>
      <c r="AD163" s="70" t="s">
        <v>7</v>
      </c>
    </row>
    <row r="164" spans="1:30" s="76" customFormat="1" ht="37.5">
      <c r="A164" s="82">
        <f>+SUBTOTAL(3,$B$7:B164)</f>
        <v>158</v>
      </c>
      <c r="B164" s="82" t="s">
        <v>444</v>
      </c>
      <c r="C164" s="82" t="s">
        <v>111</v>
      </c>
      <c r="D164" s="66" t="s">
        <v>187</v>
      </c>
      <c r="E164" s="82">
        <v>4</v>
      </c>
      <c r="F164" s="67">
        <v>303126274</v>
      </c>
      <c r="G164" s="66" t="s">
        <v>683</v>
      </c>
      <c r="H164" s="66" t="s">
        <v>684</v>
      </c>
      <c r="I164" s="66" t="s">
        <v>10</v>
      </c>
      <c r="J164" s="82" t="s">
        <v>57</v>
      </c>
      <c r="K164" s="67">
        <v>260</v>
      </c>
      <c r="L164" s="82">
        <f t="shared" si="14"/>
        <v>200</v>
      </c>
      <c r="M164" s="67">
        <v>60</v>
      </c>
      <c r="N164" s="82"/>
      <c r="O164" s="82">
        <f t="shared" si="12"/>
        <v>200</v>
      </c>
      <c r="P164" s="82">
        <f t="shared" si="13"/>
        <v>200</v>
      </c>
      <c r="Q164" s="67">
        <v>200</v>
      </c>
      <c r="R164" s="82">
        <v>200</v>
      </c>
      <c r="S164" s="67"/>
      <c r="T164" s="82"/>
      <c r="U164" s="67"/>
      <c r="V164" s="82"/>
      <c r="W164" s="82"/>
      <c r="X164" s="82"/>
      <c r="Y164" s="68">
        <v>2</v>
      </c>
      <c r="Z164" s="82"/>
      <c r="AA164" s="18">
        <v>44256</v>
      </c>
      <c r="AB164" s="74"/>
      <c r="AC164" s="75"/>
      <c r="AD164" s="70" t="s">
        <v>7</v>
      </c>
    </row>
    <row r="165" spans="1:30" s="76" customFormat="1" ht="37.5">
      <c r="A165" s="82">
        <f>+SUBTOTAL(3,$B$7:B165)</f>
        <v>159</v>
      </c>
      <c r="B165" s="82" t="s">
        <v>444</v>
      </c>
      <c r="C165" s="82" t="s">
        <v>111</v>
      </c>
      <c r="D165" s="66" t="s">
        <v>187</v>
      </c>
      <c r="E165" s="82">
        <v>4</v>
      </c>
      <c r="F165" s="67">
        <v>305667463</v>
      </c>
      <c r="G165" s="66" t="s">
        <v>685</v>
      </c>
      <c r="H165" s="66" t="s">
        <v>143</v>
      </c>
      <c r="I165" s="66" t="s">
        <v>10</v>
      </c>
      <c r="J165" s="82" t="s">
        <v>59</v>
      </c>
      <c r="K165" s="67">
        <v>330</v>
      </c>
      <c r="L165" s="82">
        <f t="shared" si="14"/>
        <v>330</v>
      </c>
      <c r="M165" s="67">
        <v>80</v>
      </c>
      <c r="N165" s="82">
        <v>80</v>
      </c>
      <c r="O165" s="82">
        <f t="shared" si="12"/>
        <v>250</v>
      </c>
      <c r="P165" s="82">
        <f t="shared" si="13"/>
        <v>250</v>
      </c>
      <c r="Q165" s="67">
        <v>250</v>
      </c>
      <c r="R165" s="82">
        <v>250</v>
      </c>
      <c r="S165" s="67"/>
      <c r="T165" s="82"/>
      <c r="U165" s="67"/>
      <c r="V165" s="82"/>
      <c r="W165" s="82"/>
      <c r="X165" s="82"/>
      <c r="Y165" s="68">
        <v>3</v>
      </c>
      <c r="Z165" s="82">
        <v>3</v>
      </c>
      <c r="AA165" s="69">
        <v>44166</v>
      </c>
      <c r="AB165" s="74">
        <v>44166</v>
      </c>
      <c r="AC165" s="75" t="s">
        <v>1957</v>
      </c>
      <c r="AD165" s="70" t="s">
        <v>7</v>
      </c>
    </row>
    <row r="166" spans="1:30" s="76" customFormat="1" ht="37.5">
      <c r="A166" s="82">
        <f>+SUBTOTAL(3,$B$7:B166)</f>
        <v>160</v>
      </c>
      <c r="B166" s="82" t="s">
        <v>444</v>
      </c>
      <c r="C166" s="82" t="s">
        <v>111</v>
      </c>
      <c r="D166" s="66" t="s">
        <v>187</v>
      </c>
      <c r="E166" s="82">
        <v>4</v>
      </c>
      <c r="F166" s="67">
        <v>306358009</v>
      </c>
      <c r="G166" s="66" t="s">
        <v>686</v>
      </c>
      <c r="H166" s="66" t="s">
        <v>687</v>
      </c>
      <c r="I166" s="66" t="s">
        <v>10</v>
      </c>
      <c r="J166" s="82" t="s">
        <v>50</v>
      </c>
      <c r="K166" s="67">
        <v>130</v>
      </c>
      <c r="L166" s="82">
        <f t="shared" si="14"/>
        <v>2100</v>
      </c>
      <c r="M166" s="67">
        <v>30</v>
      </c>
      <c r="N166" s="82">
        <v>2000</v>
      </c>
      <c r="O166" s="82">
        <f t="shared" si="12"/>
        <v>100</v>
      </c>
      <c r="P166" s="82">
        <f t="shared" si="13"/>
        <v>100</v>
      </c>
      <c r="Q166" s="67">
        <v>100</v>
      </c>
      <c r="R166" s="82">
        <v>100</v>
      </c>
      <c r="S166" s="67"/>
      <c r="T166" s="82"/>
      <c r="U166" s="67"/>
      <c r="V166" s="82"/>
      <c r="W166" s="82"/>
      <c r="X166" s="82"/>
      <c r="Y166" s="68">
        <v>6</v>
      </c>
      <c r="Z166" s="82">
        <v>2</v>
      </c>
      <c r="AA166" s="18">
        <v>44228</v>
      </c>
      <c r="AB166" s="74">
        <v>44228</v>
      </c>
      <c r="AC166" s="75" t="s">
        <v>2080</v>
      </c>
      <c r="AD166" s="70" t="s">
        <v>7</v>
      </c>
    </row>
    <row r="167" spans="1:30" s="76" customFormat="1" ht="37.5">
      <c r="A167" s="82">
        <f>+SUBTOTAL(3,$B$7:B167)</f>
        <v>161</v>
      </c>
      <c r="B167" s="82" t="s">
        <v>444</v>
      </c>
      <c r="C167" s="82" t="s">
        <v>111</v>
      </c>
      <c r="D167" s="66" t="s">
        <v>187</v>
      </c>
      <c r="E167" s="82">
        <v>4</v>
      </c>
      <c r="F167" s="67">
        <v>203256805</v>
      </c>
      <c r="G167" s="66" t="s">
        <v>688</v>
      </c>
      <c r="H167" s="66" t="s">
        <v>635</v>
      </c>
      <c r="I167" s="66" t="s">
        <v>10</v>
      </c>
      <c r="J167" s="82" t="s">
        <v>44</v>
      </c>
      <c r="K167" s="67">
        <v>260</v>
      </c>
      <c r="L167" s="82">
        <f t="shared" si="14"/>
        <v>300</v>
      </c>
      <c r="M167" s="67">
        <v>60</v>
      </c>
      <c r="N167" s="82"/>
      <c r="O167" s="82">
        <f t="shared" si="12"/>
        <v>200</v>
      </c>
      <c r="P167" s="82">
        <f t="shared" si="13"/>
        <v>300</v>
      </c>
      <c r="Q167" s="67">
        <v>200</v>
      </c>
      <c r="R167" s="82">
        <v>300</v>
      </c>
      <c r="S167" s="67"/>
      <c r="T167" s="82"/>
      <c r="U167" s="67"/>
      <c r="V167" s="82"/>
      <c r="W167" s="82"/>
      <c r="X167" s="82"/>
      <c r="Y167" s="68">
        <v>2</v>
      </c>
      <c r="Z167" s="82"/>
      <c r="AA167" s="69">
        <v>44348</v>
      </c>
      <c r="AB167" s="74"/>
      <c r="AC167" s="75"/>
      <c r="AD167" s="70" t="s">
        <v>7</v>
      </c>
    </row>
    <row r="168" spans="1:30" s="76" customFormat="1" ht="37.5">
      <c r="A168" s="82">
        <f>+SUBTOTAL(3,$B$7:B168)</f>
        <v>162</v>
      </c>
      <c r="B168" s="82" t="s">
        <v>444</v>
      </c>
      <c r="C168" s="82" t="s">
        <v>111</v>
      </c>
      <c r="D168" s="66" t="s">
        <v>187</v>
      </c>
      <c r="E168" s="82">
        <v>1</v>
      </c>
      <c r="F168" s="67">
        <v>307386392</v>
      </c>
      <c r="G168" s="66" t="s">
        <v>689</v>
      </c>
      <c r="H168" s="66" t="s">
        <v>690</v>
      </c>
      <c r="I168" s="66" t="s">
        <v>10</v>
      </c>
      <c r="J168" s="82" t="s">
        <v>30</v>
      </c>
      <c r="K168" s="67">
        <v>130</v>
      </c>
      <c r="L168" s="82">
        <f t="shared" si="14"/>
        <v>100</v>
      </c>
      <c r="M168" s="67">
        <v>30</v>
      </c>
      <c r="N168" s="82"/>
      <c r="O168" s="82">
        <f t="shared" si="12"/>
        <v>100</v>
      </c>
      <c r="P168" s="82">
        <f t="shared" si="13"/>
        <v>100</v>
      </c>
      <c r="Q168" s="67">
        <v>100</v>
      </c>
      <c r="R168" s="82">
        <v>100</v>
      </c>
      <c r="S168" s="67"/>
      <c r="T168" s="82"/>
      <c r="U168" s="67"/>
      <c r="V168" s="82"/>
      <c r="W168" s="82"/>
      <c r="X168" s="82"/>
      <c r="Y168" s="68">
        <v>3</v>
      </c>
      <c r="Z168" s="82"/>
      <c r="AA168" s="69">
        <v>44378</v>
      </c>
      <c r="AB168" s="74"/>
      <c r="AC168" s="75"/>
      <c r="AD168" s="70" t="s">
        <v>7</v>
      </c>
    </row>
    <row r="169" spans="1:30" s="76" customFormat="1" ht="37.5">
      <c r="A169" s="82">
        <f>+SUBTOTAL(3,$B$7:B169)</f>
        <v>163</v>
      </c>
      <c r="B169" s="82" t="s">
        <v>444</v>
      </c>
      <c r="C169" s="82" t="s">
        <v>111</v>
      </c>
      <c r="D169" s="66" t="s">
        <v>187</v>
      </c>
      <c r="E169" s="82">
        <v>4</v>
      </c>
      <c r="F169" s="67">
        <v>307336414</v>
      </c>
      <c r="G169" s="66" t="s">
        <v>691</v>
      </c>
      <c r="H169" s="66" t="s">
        <v>692</v>
      </c>
      <c r="I169" s="66" t="s">
        <v>6</v>
      </c>
      <c r="J169" s="82" t="s">
        <v>12</v>
      </c>
      <c r="K169" s="67">
        <v>550</v>
      </c>
      <c r="L169" s="82">
        <f t="shared" si="14"/>
        <v>400</v>
      </c>
      <c r="M169" s="67">
        <v>150</v>
      </c>
      <c r="N169" s="82"/>
      <c r="O169" s="82">
        <f t="shared" si="12"/>
        <v>400</v>
      </c>
      <c r="P169" s="82">
        <f t="shared" si="13"/>
        <v>400</v>
      </c>
      <c r="Q169" s="67">
        <v>400</v>
      </c>
      <c r="R169" s="82">
        <v>400</v>
      </c>
      <c r="S169" s="67"/>
      <c r="T169" s="82"/>
      <c r="U169" s="67"/>
      <c r="V169" s="82"/>
      <c r="W169" s="82"/>
      <c r="X169" s="82"/>
      <c r="Y169" s="68">
        <v>4</v>
      </c>
      <c r="Z169" s="82"/>
      <c r="AA169" s="18">
        <v>44287</v>
      </c>
      <c r="AB169" s="74"/>
      <c r="AC169" s="75"/>
      <c r="AD169" s="70" t="s">
        <v>7</v>
      </c>
    </row>
    <row r="170" spans="1:30" s="76" customFormat="1" ht="37.5">
      <c r="A170" s="82">
        <f>+SUBTOTAL(3,$B$7:B170)</f>
        <v>164</v>
      </c>
      <c r="B170" s="82" t="s">
        <v>444</v>
      </c>
      <c r="C170" s="82" t="s">
        <v>111</v>
      </c>
      <c r="D170" s="66" t="s">
        <v>187</v>
      </c>
      <c r="E170" s="82">
        <v>2</v>
      </c>
      <c r="F170" s="67">
        <v>307261708</v>
      </c>
      <c r="G170" s="66" t="s">
        <v>1987</v>
      </c>
      <c r="H170" s="66" t="s">
        <v>693</v>
      </c>
      <c r="I170" s="66" t="s">
        <v>9</v>
      </c>
      <c r="J170" s="82" t="s">
        <v>63</v>
      </c>
      <c r="K170" s="67">
        <v>400</v>
      </c>
      <c r="L170" s="82">
        <f t="shared" si="14"/>
        <v>300</v>
      </c>
      <c r="M170" s="67">
        <v>100</v>
      </c>
      <c r="N170" s="82"/>
      <c r="O170" s="82">
        <f t="shared" si="12"/>
        <v>300</v>
      </c>
      <c r="P170" s="82">
        <f t="shared" si="13"/>
        <v>300</v>
      </c>
      <c r="Q170" s="67">
        <v>300</v>
      </c>
      <c r="R170" s="82">
        <v>300</v>
      </c>
      <c r="S170" s="67"/>
      <c r="T170" s="82"/>
      <c r="U170" s="67"/>
      <c r="V170" s="82"/>
      <c r="W170" s="82"/>
      <c r="X170" s="82"/>
      <c r="Y170" s="68">
        <v>10</v>
      </c>
      <c r="Z170" s="82"/>
      <c r="AA170" s="18">
        <v>44256</v>
      </c>
      <c r="AB170" s="74"/>
      <c r="AC170" s="75"/>
      <c r="AD170" s="70" t="s">
        <v>7</v>
      </c>
    </row>
    <row r="171" spans="1:30" s="76" customFormat="1" ht="37.5">
      <c r="A171" s="82">
        <f>+SUBTOTAL(3,$B$7:B171)</f>
        <v>165</v>
      </c>
      <c r="B171" s="82" t="s">
        <v>444</v>
      </c>
      <c r="C171" s="82" t="s">
        <v>111</v>
      </c>
      <c r="D171" s="66" t="s">
        <v>187</v>
      </c>
      <c r="E171" s="82">
        <v>2</v>
      </c>
      <c r="F171" s="67">
        <v>307272574</v>
      </c>
      <c r="G171" s="66" t="s">
        <v>694</v>
      </c>
      <c r="H171" s="66" t="s">
        <v>695</v>
      </c>
      <c r="I171" s="66" t="s">
        <v>10</v>
      </c>
      <c r="J171" s="82" t="s">
        <v>30</v>
      </c>
      <c r="K171" s="67">
        <v>370</v>
      </c>
      <c r="L171" s="82">
        <f t="shared" si="14"/>
        <v>250</v>
      </c>
      <c r="M171" s="67">
        <v>120</v>
      </c>
      <c r="N171" s="82"/>
      <c r="O171" s="82">
        <f t="shared" si="12"/>
        <v>250</v>
      </c>
      <c r="P171" s="82">
        <f t="shared" si="13"/>
        <v>250</v>
      </c>
      <c r="Q171" s="67">
        <v>250</v>
      </c>
      <c r="R171" s="82">
        <v>250</v>
      </c>
      <c r="S171" s="67"/>
      <c r="T171" s="82"/>
      <c r="U171" s="67"/>
      <c r="V171" s="82"/>
      <c r="W171" s="82"/>
      <c r="X171" s="82"/>
      <c r="Y171" s="68">
        <v>10</v>
      </c>
      <c r="Z171" s="82"/>
      <c r="AA171" s="69">
        <v>44440</v>
      </c>
      <c r="AB171" s="74"/>
      <c r="AC171" s="75"/>
      <c r="AD171" s="70" t="s">
        <v>7</v>
      </c>
    </row>
    <row r="172" spans="1:30" s="76" customFormat="1" ht="37.5">
      <c r="A172" s="82">
        <f>+SUBTOTAL(3,$B$7:B172)</f>
        <v>166</v>
      </c>
      <c r="B172" s="82" t="s">
        <v>444</v>
      </c>
      <c r="C172" s="82" t="s">
        <v>111</v>
      </c>
      <c r="D172" s="66" t="s">
        <v>187</v>
      </c>
      <c r="E172" s="82">
        <v>4</v>
      </c>
      <c r="F172" s="67">
        <v>306931696</v>
      </c>
      <c r="G172" s="66" t="s">
        <v>696</v>
      </c>
      <c r="H172" s="66" t="s">
        <v>697</v>
      </c>
      <c r="I172" s="66" t="s">
        <v>10</v>
      </c>
      <c r="J172" s="82" t="s">
        <v>46</v>
      </c>
      <c r="K172" s="67">
        <v>1000</v>
      </c>
      <c r="L172" s="82">
        <f t="shared" ref="L172:L203" si="15">+N172+R172+T172*10.2+V172*10.2</f>
        <v>0</v>
      </c>
      <c r="M172" s="67">
        <v>1000</v>
      </c>
      <c r="N172" s="82"/>
      <c r="O172" s="82">
        <f t="shared" si="12"/>
        <v>0</v>
      </c>
      <c r="P172" s="82">
        <f t="shared" si="13"/>
        <v>0</v>
      </c>
      <c r="Q172" s="67"/>
      <c r="R172" s="82"/>
      <c r="S172" s="67"/>
      <c r="T172" s="82"/>
      <c r="U172" s="67"/>
      <c r="V172" s="82"/>
      <c r="W172" s="82"/>
      <c r="X172" s="82"/>
      <c r="Y172" s="68">
        <v>10</v>
      </c>
      <c r="Z172" s="82"/>
      <c r="AA172" s="18">
        <v>44531</v>
      </c>
      <c r="AB172" s="74"/>
      <c r="AC172" s="75"/>
      <c r="AD172" s="70" t="s">
        <v>7</v>
      </c>
    </row>
    <row r="173" spans="1:30" s="76" customFormat="1" ht="37.5">
      <c r="A173" s="82">
        <f>+SUBTOTAL(3,$B$7:B173)</f>
        <v>167</v>
      </c>
      <c r="B173" s="82" t="s">
        <v>444</v>
      </c>
      <c r="C173" s="82" t="s">
        <v>111</v>
      </c>
      <c r="D173" s="66" t="s">
        <v>210</v>
      </c>
      <c r="E173" s="82">
        <v>2</v>
      </c>
      <c r="F173" s="67">
        <v>303746034</v>
      </c>
      <c r="G173" s="66" t="s">
        <v>698</v>
      </c>
      <c r="H173" s="66" t="s">
        <v>699</v>
      </c>
      <c r="I173" s="66" t="s">
        <v>9</v>
      </c>
      <c r="J173" s="82" t="s">
        <v>63</v>
      </c>
      <c r="K173" s="67">
        <v>15000</v>
      </c>
      <c r="L173" s="82">
        <f t="shared" si="15"/>
        <v>0</v>
      </c>
      <c r="M173" s="67">
        <v>5000</v>
      </c>
      <c r="N173" s="82"/>
      <c r="O173" s="82">
        <f t="shared" si="12"/>
        <v>10000</v>
      </c>
      <c r="P173" s="82">
        <f t="shared" si="13"/>
        <v>0</v>
      </c>
      <c r="Q173" s="67">
        <v>10000</v>
      </c>
      <c r="R173" s="82"/>
      <c r="S173" s="67"/>
      <c r="T173" s="82"/>
      <c r="U173" s="67"/>
      <c r="V173" s="82"/>
      <c r="W173" s="82"/>
      <c r="X173" s="82"/>
      <c r="Y173" s="19">
        <v>250</v>
      </c>
      <c r="Z173" s="82"/>
      <c r="AA173" s="18">
        <v>44866</v>
      </c>
      <c r="AB173" s="74"/>
      <c r="AC173" s="75"/>
      <c r="AD173" s="70" t="s">
        <v>7</v>
      </c>
    </row>
    <row r="174" spans="1:30" s="76" customFormat="1" ht="37.5">
      <c r="A174" s="82">
        <f>+SUBTOTAL(3,$B$7:B174)</f>
        <v>168</v>
      </c>
      <c r="B174" s="82" t="s">
        <v>444</v>
      </c>
      <c r="C174" s="82" t="s">
        <v>111</v>
      </c>
      <c r="D174" s="66" t="s">
        <v>210</v>
      </c>
      <c r="E174" s="82">
        <v>3</v>
      </c>
      <c r="F174" s="67">
        <v>307446619</v>
      </c>
      <c r="G174" s="66" t="s">
        <v>700</v>
      </c>
      <c r="H174" s="66" t="s">
        <v>701</v>
      </c>
      <c r="I174" s="66" t="s">
        <v>10</v>
      </c>
      <c r="J174" s="82" t="s">
        <v>30</v>
      </c>
      <c r="K174" s="67">
        <v>500</v>
      </c>
      <c r="L174" s="82">
        <f t="shared" si="15"/>
        <v>500</v>
      </c>
      <c r="M174" s="67">
        <v>250</v>
      </c>
      <c r="N174" s="82">
        <v>250</v>
      </c>
      <c r="O174" s="82">
        <f t="shared" si="12"/>
        <v>250</v>
      </c>
      <c r="P174" s="82">
        <f t="shared" si="13"/>
        <v>250</v>
      </c>
      <c r="Q174" s="67">
        <v>250</v>
      </c>
      <c r="R174" s="82">
        <v>250</v>
      </c>
      <c r="S174" s="67"/>
      <c r="T174" s="82"/>
      <c r="U174" s="67"/>
      <c r="V174" s="82"/>
      <c r="W174" s="82"/>
      <c r="X174" s="82"/>
      <c r="Y174" s="19">
        <v>10</v>
      </c>
      <c r="Z174" s="82">
        <v>4</v>
      </c>
      <c r="AA174" s="69">
        <v>44166</v>
      </c>
      <c r="AB174" s="74">
        <v>44162</v>
      </c>
      <c r="AC174" s="75" t="s">
        <v>2015</v>
      </c>
      <c r="AD174" s="70" t="s">
        <v>7</v>
      </c>
    </row>
    <row r="175" spans="1:30" s="76" customFormat="1" ht="37.5">
      <c r="A175" s="82">
        <f>+SUBTOTAL(3,$B$7:B175)</f>
        <v>169</v>
      </c>
      <c r="B175" s="82" t="s">
        <v>444</v>
      </c>
      <c r="C175" s="82" t="s">
        <v>111</v>
      </c>
      <c r="D175" s="66" t="s">
        <v>210</v>
      </c>
      <c r="E175" s="82">
        <v>1</v>
      </c>
      <c r="F175" s="67" t="s">
        <v>1810</v>
      </c>
      <c r="G175" s="66" t="s">
        <v>702</v>
      </c>
      <c r="H175" s="66" t="s">
        <v>703</v>
      </c>
      <c r="I175" s="66" t="s">
        <v>10</v>
      </c>
      <c r="J175" s="82" t="s">
        <v>59</v>
      </c>
      <c r="K175" s="67">
        <v>750</v>
      </c>
      <c r="L175" s="82">
        <f t="shared" si="15"/>
        <v>500</v>
      </c>
      <c r="M175" s="67">
        <v>250</v>
      </c>
      <c r="N175" s="82"/>
      <c r="O175" s="82">
        <f t="shared" si="12"/>
        <v>500</v>
      </c>
      <c r="P175" s="82">
        <f t="shared" si="13"/>
        <v>500</v>
      </c>
      <c r="Q175" s="67">
        <v>500</v>
      </c>
      <c r="R175" s="82">
        <v>500</v>
      </c>
      <c r="S175" s="67"/>
      <c r="T175" s="82"/>
      <c r="U175" s="67"/>
      <c r="V175" s="82"/>
      <c r="W175" s="82"/>
      <c r="X175" s="82"/>
      <c r="Y175" s="19">
        <v>10</v>
      </c>
      <c r="Z175" s="82"/>
      <c r="AA175" s="18">
        <v>44501</v>
      </c>
      <c r="AB175" s="74"/>
      <c r="AC175" s="75"/>
      <c r="AD175" s="70" t="s">
        <v>7</v>
      </c>
    </row>
    <row r="176" spans="1:30" s="76" customFormat="1" ht="37.5">
      <c r="A176" s="82">
        <f>+SUBTOTAL(3,$B$7:B176)</f>
        <v>170</v>
      </c>
      <c r="B176" s="82" t="s">
        <v>444</v>
      </c>
      <c r="C176" s="82" t="s">
        <v>111</v>
      </c>
      <c r="D176" s="66" t="s">
        <v>210</v>
      </c>
      <c r="E176" s="82">
        <v>1</v>
      </c>
      <c r="F176" s="67">
        <v>307582704</v>
      </c>
      <c r="G176" s="66" t="s">
        <v>1988</v>
      </c>
      <c r="H176" s="66" t="s">
        <v>704</v>
      </c>
      <c r="I176" s="66" t="s">
        <v>10</v>
      </c>
      <c r="J176" s="82" t="s">
        <v>30</v>
      </c>
      <c r="K176" s="67">
        <v>350</v>
      </c>
      <c r="L176" s="82">
        <f t="shared" si="15"/>
        <v>180</v>
      </c>
      <c r="M176" s="67">
        <v>100</v>
      </c>
      <c r="N176" s="82"/>
      <c r="O176" s="82">
        <f t="shared" si="12"/>
        <v>250</v>
      </c>
      <c r="P176" s="82">
        <f t="shared" si="13"/>
        <v>180</v>
      </c>
      <c r="Q176" s="67">
        <v>250</v>
      </c>
      <c r="R176" s="82">
        <v>180</v>
      </c>
      <c r="S176" s="67"/>
      <c r="T176" s="82"/>
      <c r="U176" s="67"/>
      <c r="V176" s="82"/>
      <c r="W176" s="82"/>
      <c r="X176" s="82"/>
      <c r="Y176" s="19">
        <v>3</v>
      </c>
      <c r="Z176" s="82"/>
      <c r="AA176" s="69">
        <v>44348</v>
      </c>
      <c r="AB176" s="74"/>
      <c r="AC176" s="75"/>
      <c r="AD176" s="70" t="s">
        <v>7</v>
      </c>
    </row>
    <row r="177" spans="1:30" s="76" customFormat="1" ht="37.5">
      <c r="A177" s="82">
        <f>+SUBTOTAL(3,$B$7:B177)</f>
        <v>171</v>
      </c>
      <c r="B177" s="82" t="s">
        <v>444</v>
      </c>
      <c r="C177" s="82" t="s">
        <v>111</v>
      </c>
      <c r="D177" s="66" t="s">
        <v>210</v>
      </c>
      <c r="E177" s="82">
        <v>1</v>
      </c>
      <c r="F177" s="67" t="s">
        <v>1811</v>
      </c>
      <c r="G177" s="66" t="s">
        <v>705</v>
      </c>
      <c r="H177" s="66" t="s">
        <v>706</v>
      </c>
      <c r="I177" s="66" t="s">
        <v>9</v>
      </c>
      <c r="J177" s="82" t="s">
        <v>37</v>
      </c>
      <c r="K177" s="67">
        <v>350</v>
      </c>
      <c r="L177" s="82">
        <f t="shared" si="15"/>
        <v>220</v>
      </c>
      <c r="M177" s="67">
        <v>100</v>
      </c>
      <c r="N177" s="82"/>
      <c r="O177" s="82">
        <f t="shared" si="12"/>
        <v>250</v>
      </c>
      <c r="P177" s="82">
        <f t="shared" si="13"/>
        <v>220</v>
      </c>
      <c r="Q177" s="67">
        <v>250</v>
      </c>
      <c r="R177" s="82">
        <v>220</v>
      </c>
      <c r="S177" s="67"/>
      <c r="T177" s="82"/>
      <c r="U177" s="67"/>
      <c r="V177" s="82"/>
      <c r="W177" s="82"/>
      <c r="X177" s="82"/>
      <c r="Y177" s="19">
        <v>3</v>
      </c>
      <c r="Z177" s="82"/>
      <c r="AA177" s="69">
        <v>44287</v>
      </c>
      <c r="AB177" s="74"/>
      <c r="AC177" s="75"/>
      <c r="AD177" s="70" t="s">
        <v>7</v>
      </c>
    </row>
    <row r="178" spans="1:30" s="76" customFormat="1" ht="56.25">
      <c r="A178" s="82">
        <f>+SUBTOTAL(3,$B$7:B178)</f>
        <v>172</v>
      </c>
      <c r="B178" s="82" t="s">
        <v>444</v>
      </c>
      <c r="C178" s="82" t="s">
        <v>111</v>
      </c>
      <c r="D178" s="66" t="s">
        <v>210</v>
      </c>
      <c r="E178" s="82">
        <v>2</v>
      </c>
      <c r="F178" s="67" t="s">
        <v>1812</v>
      </c>
      <c r="G178" s="66" t="s">
        <v>707</v>
      </c>
      <c r="H178" s="66" t="s">
        <v>708</v>
      </c>
      <c r="I178" s="66" t="s">
        <v>6</v>
      </c>
      <c r="J178" s="82" t="s">
        <v>13</v>
      </c>
      <c r="K178" s="67">
        <v>500</v>
      </c>
      <c r="L178" s="82">
        <f t="shared" si="15"/>
        <v>530</v>
      </c>
      <c r="M178" s="67">
        <v>200</v>
      </c>
      <c r="N178" s="82">
        <v>100</v>
      </c>
      <c r="O178" s="82">
        <f t="shared" si="12"/>
        <v>300</v>
      </c>
      <c r="P178" s="82">
        <f t="shared" si="13"/>
        <v>430</v>
      </c>
      <c r="Q178" s="67">
        <v>300</v>
      </c>
      <c r="R178" s="82">
        <v>430</v>
      </c>
      <c r="S178" s="67"/>
      <c r="T178" s="82"/>
      <c r="U178" s="67"/>
      <c r="V178" s="82"/>
      <c r="W178" s="82"/>
      <c r="X178" s="82"/>
      <c r="Y178" s="19">
        <v>3</v>
      </c>
      <c r="Z178" s="82">
        <v>2</v>
      </c>
      <c r="AA178" s="69">
        <v>44317</v>
      </c>
      <c r="AB178" s="74">
        <v>44040</v>
      </c>
      <c r="AC178" s="75" t="s">
        <v>2006</v>
      </c>
      <c r="AD178" s="70" t="s">
        <v>7</v>
      </c>
    </row>
    <row r="179" spans="1:30" s="76" customFormat="1" ht="37.5">
      <c r="A179" s="82">
        <f>+SUBTOTAL(3,$B$7:B179)</f>
        <v>173</v>
      </c>
      <c r="B179" s="82" t="s">
        <v>444</v>
      </c>
      <c r="C179" s="82" t="s">
        <v>111</v>
      </c>
      <c r="D179" s="66" t="s">
        <v>210</v>
      </c>
      <c r="E179" s="82">
        <v>1</v>
      </c>
      <c r="F179" s="67" t="s">
        <v>1813</v>
      </c>
      <c r="G179" s="66" t="s">
        <v>709</v>
      </c>
      <c r="H179" s="66" t="s">
        <v>710</v>
      </c>
      <c r="I179" s="66" t="s">
        <v>6</v>
      </c>
      <c r="J179" s="82" t="s">
        <v>12</v>
      </c>
      <c r="K179" s="67">
        <v>500</v>
      </c>
      <c r="L179" s="82">
        <f t="shared" si="15"/>
        <v>200</v>
      </c>
      <c r="M179" s="67">
        <v>200</v>
      </c>
      <c r="N179" s="82"/>
      <c r="O179" s="82">
        <f t="shared" si="12"/>
        <v>300</v>
      </c>
      <c r="P179" s="82">
        <f t="shared" si="13"/>
        <v>200</v>
      </c>
      <c r="Q179" s="67">
        <v>300</v>
      </c>
      <c r="R179" s="82">
        <v>200</v>
      </c>
      <c r="S179" s="67"/>
      <c r="T179" s="82"/>
      <c r="U179" s="67"/>
      <c r="V179" s="82"/>
      <c r="W179" s="82"/>
      <c r="X179" s="82"/>
      <c r="Y179" s="19">
        <v>3</v>
      </c>
      <c r="Z179" s="82"/>
      <c r="AA179" s="69">
        <v>44409</v>
      </c>
      <c r="AB179" s="74"/>
      <c r="AC179" s="75"/>
      <c r="AD179" s="70" t="s">
        <v>7</v>
      </c>
    </row>
    <row r="180" spans="1:30" s="76" customFormat="1" ht="56.25">
      <c r="A180" s="82">
        <f>+SUBTOTAL(3,$B$7:B180)</f>
        <v>174</v>
      </c>
      <c r="B180" s="82" t="s">
        <v>444</v>
      </c>
      <c r="C180" s="82" t="s">
        <v>111</v>
      </c>
      <c r="D180" s="66" t="s">
        <v>210</v>
      </c>
      <c r="E180" s="82">
        <v>3</v>
      </c>
      <c r="F180" s="67" t="s">
        <v>1814</v>
      </c>
      <c r="G180" s="66" t="s">
        <v>711</v>
      </c>
      <c r="H180" s="66" t="s">
        <v>712</v>
      </c>
      <c r="I180" s="66" t="s">
        <v>10</v>
      </c>
      <c r="J180" s="82" t="s">
        <v>59</v>
      </c>
      <c r="K180" s="67">
        <v>600</v>
      </c>
      <c r="L180" s="82">
        <f t="shared" si="15"/>
        <v>400</v>
      </c>
      <c r="M180" s="67">
        <v>200</v>
      </c>
      <c r="N180" s="82"/>
      <c r="O180" s="82">
        <f t="shared" si="12"/>
        <v>400</v>
      </c>
      <c r="P180" s="82">
        <f t="shared" si="13"/>
        <v>400</v>
      </c>
      <c r="Q180" s="67">
        <v>400</v>
      </c>
      <c r="R180" s="82">
        <v>400</v>
      </c>
      <c r="S180" s="67"/>
      <c r="T180" s="82"/>
      <c r="U180" s="67"/>
      <c r="V180" s="82"/>
      <c r="W180" s="82"/>
      <c r="X180" s="82"/>
      <c r="Y180" s="19">
        <v>10</v>
      </c>
      <c r="Z180" s="82"/>
      <c r="AA180" s="69">
        <v>44440</v>
      </c>
      <c r="AB180" s="74"/>
      <c r="AC180" s="75"/>
      <c r="AD180" s="70" t="s">
        <v>7</v>
      </c>
    </row>
    <row r="181" spans="1:30" s="76" customFormat="1" ht="37.5">
      <c r="A181" s="82">
        <f>+SUBTOTAL(3,$B$7:B181)</f>
        <v>175</v>
      </c>
      <c r="B181" s="82" t="s">
        <v>444</v>
      </c>
      <c r="C181" s="82" t="s">
        <v>111</v>
      </c>
      <c r="D181" s="66" t="s">
        <v>210</v>
      </c>
      <c r="E181" s="82">
        <v>1</v>
      </c>
      <c r="F181" s="67" t="s">
        <v>2090</v>
      </c>
      <c r="G181" s="66" t="s">
        <v>713</v>
      </c>
      <c r="H181" s="66" t="s">
        <v>714</v>
      </c>
      <c r="I181" s="66" t="s">
        <v>6</v>
      </c>
      <c r="J181" s="82" t="s">
        <v>14</v>
      </c>
      <c r="K181" s="67">
        <v>1000</v>
      </c>
      <c r="L181" s="82">
        <f t="shared" si="15"/>
        <v>0</v>
      </c>
      <c r="M181" s="67">
        <v>500</v>
      </c>
      <c r="N181" s="82"/>
      <c r="O181" s="82">
        <f t="shared" si="12"/>
        <v>500</v>
      </c>
      <c r="P181" s="82">
        <f t="shared" si="13"/>
        <v>0</v>
      </c>
      <c r="Q181" s="67">
        <v>500</v>
      </c>
      <c r="R181" s="82"/>
      <c r="S181" s="67"/>
      <c r="T181" s="82"/>
      <c r="U181" s="67"/>
      <c r="V181" s="82"/>
      <c r="W181" s="82"/>
      <c r="X181" s="82"/>
      <c r="Y181" s="19">
        <v>6</v>
      </c>
      <c r="Z181" s="82"/>
      <c r="AA181" s="69">
        <v>44531</v>
      </c>
      <c r="AB181" s="74"/>
      <c r="AC181" s="75"/>
      <c r="AD181" s="70" t="s">
        <v>7</v>
      </c>
    </row>
    <row r="182" spans="1:30" s="76" customFormat="1" ht="37.5">
      <c r="A182" s="82">
        <f>+SUBTOTAL(3,$B$7:B182)</f>
        <v>176</v>
      </c>
      <c r="B182" s="82" t="s">
        <v>444</v>
      </c>
      <c r="C182" s="82" t="s">
        <v>111</v>
      </c>
      <c r="D182" s="66" t="s">
        <v>210</v>
      </c>
      <c r="E182" s="82">
        <v>1</v>
      </c>
      <c r="F182" s="67">
        <v>302662778</v>
      </c>
      <c r="G182" s="66" t="s">
        <v>715</v>
      </c>
      <c r="H182" s="66" t="s">
        <v>716</v>
      </c>
      <c r="I182" s="66" t="s">
        <v>6</v>
      </c>
      <c r="J182" s="82" t="s">
        <v>12</v>
      </c>
      <c r="K182" s="67">
        <v>1500</v>
      </c>
      <c r="L182" s="82">
        <f t="shared" si="15"/>
        <v>1000</v>
      </c>
      <c r="M182" s="67">
        <v>300</v>
      </c>
      <c r="N182" s="82"/>
      <c r="O182" s="82">
        <f t="shared" si="12"/>
        <v>1200</v>
      </c>
      <c r="P182" s="82">
        <f t="shared" si="13"/>
        <v>1000</v>
      </c>
      <c r="Q182" s="67">
        <v>1200</v>
      </c>
      <c r="R182" s="82">
        <v>1000</v>
      </c>
      <c r="S182" s="67"/>
      <c r="T182" s="82"/>
      <c r="U182" s="67"/>
      <c r="V182" s="82"/>
      <c r="W182" s="82"/>
      <c r="X182" s="82"/>
      <c r="Y182" s="19">
        <v>5</v>
      </c>
      <c r="Z182" s="82"/>
      <c r="AA182" s="69">
        <v>44287</v>
      </c>
      <c r="AB182" s="74"/>
      <c r="AC182" s="75"/>
      <c r="AD182" s="70" t="s">
        <v>7</v>
      </c>
    </row>
    <row r="183" spans="1:30" s="76" customFormat="1" ht="37.5">
      <c r="A183" s="82">
        <f>+SUBTOTAL(3,$B$7:B183)</f>
        <v>177</v>
      </c>
      <c r="B183" s="82" t="s">
        <v>444</v>
      </c>
      <c r="C183" s="82" t="s">
        <v>111</v>
      </c>
      <c r="D183" s="66" t="s">
        <v>210</v>
      </c>
      <c r="E183" s="82">
        <v>1</v>
      </c>
      <c r="F183" s="67">
        <v>307809039</v>
      </c>
      <c r="G183" s="66" t="s">
        <v>717</v>
      </c>
      <c r="H183" s="66" t="s">
        <v>718</v>
      </c>
      <c r="I183" s="66" t="s">
        <v>6</v>
      </c>
      <c r="J183" s="82" t="s">
        <v>13</v>
      </c>
      <c r="K183" s="67">
        <v>1500</v>
      </c>
      <c r="L183" s="82">
        <f t="shared" si="15"/>
        <v>0</v>
      </c>
      <c r="M183" s="67">
        <v>500</v>
      </c>
      <c r="N183" s="82"/>
      <c r="O183" s="82">
        <f t="shared" si="12"/>
        <v>1000</v>
      </c>
      <c r="P183" s="82">
        <f t="shared" si="13"/>
        <v>0</v>
      </c>
      <c r="Q183" s="67">
        <v>1000</v>
      </c>
      <c r="R183" s="82"/>
      <c r="S183" s="67"/>
      <c r="T183" s="82"/>
      <c r="U183" s="67"/>
      <c r="V183" s="82"/>
      <c r="W183" s="82"/>
      <c r="X183" s="82"/>
      <c r="Y183" s="19">
        <v>5</v>
      </c>
      <c r="Z183" s="82"/>
      <c r="AA183" s="69">
        <v>44501</v>
      </c>
      <c r="AB183" s="74"/>
      <c r="AC183" s="75"/>
      <c r="AD183" s="70" t="s">
        <v>7</v>
      </c>
    </row>
    <row r="184" spans="1:30" s="76" customFormat="1" ht="37.5">
      <c r="A184" s="82">
        <f>+SUBTOTAL(3,$B$7:B184)</f>
        <v>178</v>
      </c>
      <c r="B184" s="82" t="s">
        <v>444</v>
      </c>
      <c r="C184" s="82" t="s">
        <v>111</v>
      </c>
      <c r="D184" s="66" t="s">
        <v>210</v>
      </c>
      <c r="E184" s="82">
        <v>1</v>
      </c>
      <c r="F184" s="67" t="s">
        <v>1815</v>
      </c>
      <c r="G184" s="66" t="s">
        <v>719</v>
      </c>
      <c r="H184" s="66" t="s">
        <v>720</v>
      </c>
      <c r="I184" s="66" t="s">
        <v>10</v>
      </c>
      <c r="J184" s="82" t="s">
        <v>60</v>
      </c>
      <c r="K184" s="67">
        <v>3000</v>
      </c>
      <c r="L184" s="82">
        <f t="shared" si="15"/>
        <v>0</v>
      </c>
      <c r="M184" s="67">
        <v>1000</v>
      </c>
      <c r="N184" s="82"/>
      <c r="O184" s="82">
        <f t="shared" si="12"/>
        <v>2000</v>
      </c>
      <c r="P184" s="82">
        <f t="shared" si="13"/>
        <v>0</v>
      </c>
      <c r="Q184" s="67">
        <v>2000</v>
      </c>
      <c r="R184" s="82"/>
      <c r="S184" s="67"/>
      <c r="T184" s="82"/>
      <c r="U184" s="67"/>
      <c r="V184" s="82"/>
      <c r="W184" s="82"/>
      <c r="X184" s="82"/>
      <c r="Y184" s="19">
        <v>20</v>
      </c>
      <c r="Z184" s="82"/>
      <c r="AA184" s="69">
        <v>44593</v>
      </c>
      <c r="AB184" s="74"/>
      <c r="AC184" s="75"/>
      <c r="AD184" s="70" t="s">
        <v>7</v>
      </c>
    </row>
    <row r="185" spans="1:30" s="76" customFormat="1" ht="75">
      <c r="A185" s="82">
        <f>+SUBTOTAL(3,$B$7:B185)</f>
        <v>179</v>
      </c>
      <c r="B185" s="82" t="s">
        <v>444</v>
      </c>
      <c r="C185" s="82" t="s">
        <v>111</v>
      </c>
      <c r="D185" s="66" t="s">
        <v>210</v>
      </c>
      <c r="E185" s="82">
        <v>3</v>
      </c>
      <c r="F185" s="67" t="s">
        <v>1816</v>
      </c>
      <c r="G185" s="66" t="s">
        <v>721</v>
      </c>
      <c r="H185" s="66" t="s">
        <v>722</v>
      </c>
      <c r="I185" s="66" t="s">
        <v>10</v>
      </c>
      <c r="J185" s="82" t="s">
        <v>44</v>
      </c>
      <c r="K185" s="67">
        <v>35000</v>
      </c>
      <c r="L185" s="82">
        <f t="shared" si="15"/>
        <v>0</v>
      </c>
      <c r="M185" s="67">
        <v>10000</v>
      </c>
      <c r="N185" s="82"/>
      <c r="O185" s="82">
        <f t="shared" si="12"/>
        <v>25000</v>
      </c>
      <c r="P185" s="82">
        <f t="shared" si="13"/>
        <v>0</v>
      </c>
      <c r="Q185" s="67">
        <v>25000</v>
      </c>
      <c r="R185" s="82"/>
      <c r="S185" s="67"/>
      <c r="T185" s="82"/>
      <c r="U185" s="67"/>
      <c r="V185" s="82"/>
      <c r="W185" s="82"/>
      <c r="X185" s="82"/>
      <c r="Y185" s="19">
        <v>25</v>
      </c>
      <c r="Z185" s="82"/>
      <c r="AA185" s="69">
        <v>44743</v>
      </c>
      <c r="AB185" s="74"/>
      <c r="AC185" s="75"/>
      <c r="AD185" s="70" t="s">
        <v>7</v>
      </c>
    </row>
    <row r="186" spans="1:30" s="76" customFormat="1" ht="37.5">
      <c r="A186" s="82">
        <f>+SUBTOTAL(3,$B$7:B186)</f>
        <v>180</v>
      </c>
      <c r="B186" s="82" t="s">
        <v>444</v>
      </c>
      <c r="C186" s="82" t="s">
        <v>111</v>
      </c>
      <c r="D186" s="66" t="s">
        <v>210</v>
      </c>
      <c r="E186" s="82">
        <v>2</v>
      </c>
      <c r="F186" s="67" t="s">
        <v>1817</v>
      </c>
      <c r="G186" s="66" t="s">
        <v>723</v>
      </c>
      <c r="H186" s="66" t="s">
        <v>724</v>
      </c>
      <c r="I186" s="66" t="s">
        <v>6</v>
      </c>
      <c r="J186" s="82" t="s">
        <v>34</v>
      </c>
      <c r="K186" s="67">
        <v>5000</v>
      </c>
      <c r="L186" s="82">
        <f t="shared" si="15"/>
        <v>0</v>
      </c>
      <c r="M186" s="67">
        <v>1000</v>
      </c>
      <c r="N186" s="82"/>
      <c r="O186" s="82">
        <f t="shared" si="12"/>
        <v>4000</v>
      </c>
      <c r="P186" s="82">
        <f t="shared" si="13"/>
        <v>0</v>
      </c>
      <c r="Q186" s="67">
        <v>4000</v>
      </c>
      <c r="R186" s="82"/>
      <c r="S186" s="67"/>
      <c r="T186" s="82"/>
      <c r="U186" s="67"/>
      <c r="V186" s="82"/>
      <c r="W186" s="82"/>
      <c r="X186" s="82"/>
      <c r="Y186" s="19">
        <v>50</v>
      </c>
      <c r="Z186" s="82"/>
      <c r="AA186" s="69">
        <v>44835</v>
      </c>
      <c r="AB186" s="74"/>
      <c r="AC186" s="75"/>
      <c r="AD186" s="70" t="s">
        <v>8</v>
      </c>
    </row>
    <row r="187" spans="1:30" s="76" customFormat="1" ht="37.5">
      <c r="A187" s="82">
        <f>+SUBTOTAL(3,$B$7:B187)</f>
        <v>181</v>
      </c>
      <c r="B187" s="82" t="s">
        <v>444</v>
      </c>
      <c r="C187" s="82" t="s">
        <v>111</v>
      </c>
      <c r="D187" s="66" t="s">
        <v>210</v>
      </c>
      <c r="E187" s="82">
        <v>2</v>
      </c>
      <c r="F187" s="67" t="s">
        <v>1818</v>
      </c>
      <c r="G187" s="66" t="s">
        <v>725</v>
      </c>
      <c r="H187" s="66" t="s">
        <v>116</v>
      </c>
      <c r="I187" s="66" t="s">
        <v>6</v>
      </c>
      <c r="J187" s="82" t="s">
        <v>11</v>
      </c>
      <c r="K187" s="67">
        <v>1500</v>
      </c>
      <c r="L187" s="82">
        <f t="shared" si="15"/>
        <v>0</v>
      </c>
      <c r="M187" s="67">
        <v>500</v>
      </c>
      <c r="N187" s="82"/>
      <c r="O187" s="82">
        <f t="shared" si="12"/>
        <v>1000</v>
      </c>
      <c r="P187" s="82">
        <f t="shared" si="13"/>
        <v>0</v>
      </c>
      <c r="Q187" s="67">
        <v>1000</v>
      </c>
      <c r="R187" s="82"/>
      <c r="S187" s="67"/>
      <c r="T187" s="82"/>
      <c r="U187" s="67"/>
      <c r="V187" s="82"/>
      <c r="W187" s="82"/>
      <c r="X187" s="82"/>
      <c r="Y187" s="19">
        <v>10</v>
      </c>
      <c r="Z187" s="82"/>
      <c r="AA187" s="69">
        <v>44501</v>
      </c>
      <c r="AB187" s="74"/>
      <c r="AC187" s="75"/>
      <c r="AD187" s="70" t="s">
        <v>8</v>
      </c>
    </row>
    <row r="188" spans="1:30" s="76" customFormat="1" ht="37.5">
      <c r="A188" s="82">
        <f>+SUBTOTAL(3,$B$7:B188)</f>
        <v>182</v>
      </c>
      <c r="B188" s="82" t="s">
        <v>444</v>
      </c>
      <c r="C188" s="82" t="s">
        <v>111</v>
      </c>
      <c r="D188" s="66" t="s">
        <v>210</v>
      </c>
      <c r="E188" s="82">
        <v>1</v>
      </c>
      <c r="F188" s="67" t="s">
        <v>1819</v>
      </c>
      <c r="G188" s="66" t="s">
        <v>726</v>
      </c>
      <c r="H188" s="66" t="s">
        <v>727</v>
      </c>
      <c r="I188" s="66" t="s">
        <v>6</v>
      </c>
      <c r="J188" s="82" t="s">
        <v>34</v>
      </c>
      <c r="K188" s="67">
        <v>1500</v>
      </c>
      <c r="L188" s="82">
        <f t="shared" si="15"/>
        <v>150</v>
      </c>
      <c r="M188" s="67">
        <v>500</v>
      </c>
      <c r="N188" s="82"/>
      <c r="O188" s="82">
        <f t="shared" si="12"/>
        <v>1000</v>
      </c>
      <c r="P188" s="82">
        <f t="shared" si="13"/>
        <v>150</v>
      </c>
      <c r="Q188" s="67">
        <v>1000</v>
      </c>
      <c r="R188" s="82">
        <v>150</v>
      </c>
      <c r="S188" s="67"/>
      <c r="T188" s="82"/>
      <c r="U188" s="67"/>
      <c r="V188" s="82"/>
      <c r="W188" s="82"/>
      <c r="X188" s="82"/>
      <c r="Y188" s="19">
        <v>15</v>
      </c>
      <c r="Z188" s="82"/>
      <c r="AA188" s="69">
        <v>44470</v>
      </c>
      <c r="AB188" s="74"/>
      <c r="AC188" s="75"/>
      <c r="AD188" s="70" t="s">
        <v>8</v>
      </c>
    </row>
    <row r="189" spans="1:30" s="76" customFormat="1" ht="37.5">
      <c r="A189" s="82">
        <f>+SUBTOTAL(3,$B$7:B189)</f>
        <v>183</v>
      </c>
      <c r="B189" s="82" t="s">
        <v>444</v>
      </c>
      <c r="C189" s="82" t="s">
        <v>111</v>
      </c>
      <c r="D189" s="66" t="s">
        <v>210</v>
      </c>
      <c r="E189" s="82">
        <v>4</v>
      </c>
      <c r="F189" s="67" t="s">
        <v>1820</v>
      </c>
      <c r="G189" s="66" t="s">
        <v>728</v>
      </c>
      <c r="H189" s="66" t="s">
        <v>113</v>
      </c>
      <c r="I189" s="66" t="s">
        <v>6</v>
      </c>
      <c r="J189" s="82" t="s">
        <v>11</v>
      </c>
      <c r="K189" s="67">
        <v>4000</v>
      </c>
      <c r="L189" s="82">
        <f t="shared" si="15"/>
        <v>0</v>
      </c>
      <c r="M189" s="67">
        <v>1000</v>
      </c>
      <c r="N189" s="82"/>
      <c r="O189" s="82">
        <f t="shared" si="12"/>
        <v>3000</v>
      </c>
      <c r="P189" s="82">
        <f t="shared" si="13"/>
        <v>0</v>
      </c>
      <c r="Q189" s="67">
        <v>3000</v>
      </c>
      <c r="R189" s="82"/>
      <c r="S189" s="67"/>
      <c r="T189" s="82"/>
      <c r="U189" s="67"/>
      <c r="V189" s="82"/>
      <c r="W189" s="82"/>
      <c r="X189" s="82"/>
      <c r="Y189" s="19">
        <v>15</v>
      </c>
      <c r="Z189" s="82"/>
      <c r="AA189" s="69">
        <v>44896</v>
      </c>
      <c r="AB189" s="74"/>
      <c r="AC189" s="75"/>
      <c r="AD189" s="70" t="s">
        <v>8</v>
      </c>
    </row>
    <row r="190" spans="1:30" s="76" customFormat="1" ht="56.25">
      <c r="A190" s="82">
        <f>+SUBTOTAL(3,$B$7:B190)</f>
        <v>184</v>
      </c>
      <c r="B190" s="82" t="s">
        <v>444</v>
      </c>
      <c r="C190" s="82" t="s">
        <v>111</v>
      </c>
      <c r="D190" s="66" t="s">
        <v>210</v>
      </c>
      <c r="E190" s="82">
        <v>4</v>
      </c>
      <c r="F190" s="67" t="s">
        <v>1821</v>
      </c>
      <c r="G190" s="66" t="s">
        <v>729</v>
      </c>
      <c r="H190" s="66" t="s">
        <v>730</v>
      </c>
      <c r="I190" s="66" t="s">
        <v>6</v>
      </c>
      <c r="J190" s="82" t="s">
        <v>13</v>
      </c>
      <c r="K190" s="67">
        <v>1000</v>
      </c>
      <c r="L190" s="82">
        <f t="shared" si="15"/>
        <v>0</v>
      </c>
      <c r="M190" s="67">
        <v>300</v>
      </c>
      <c r="N190" s="82"/>
      <c r="O190" s="82">
        <f t="shared" si="12"/>
        <v>700</v>
      </c>
      <c r="P190" s="82">
        <f t="shared" si="13"/>
        <v>0</v>
      </c>
      <c r="Q190" s="67">
        <v>700</v>
      </c>
      <c r="R190" s="82"/>
      <c r="S190" s="67"/>
      <c r="T190" s="82"/>
      <c r="U190" s="67"/>
      <c r="V190" s="82"/>
      <c r="W190" s="82"/>
      <c r="X190" s="82"/>
      <c r="Y190" s="19">
        <v>15</v>
      </c>
      <c r="Z190" s="82"/>
      <c r="AA190" s="69">
        <v>44531</v>
      </c>
      <c r="AB190" s="74"/>
      <c r="AC190" s="75"/>
      <c r="AD190" s="70" t="s">
        <v>8</v>
      </c>
    </row>
    <row r="191" spans="1:30" s="76" customFormat="1" ht="37.5">
      <c r="A191" s="82">
        <f>+SUBTOTAL(3,$B$7:B191)</f>
        <v>185</v>
      </c>
      <c r="B191" s="82" t="s">
        <v>444</v>
      </c>
      <c r="C191" s="82" t="s">
        <v>111</v>
      </c>
      <c r="D191" s="66" t="s">
        <v>210</v>
      </c>
      <c r="E191" s="82">
        <v>2</v>
      </c>
      <c r="F191" s="67" t="s">
        <v>1822</v>
      </c>
      <c r="G191" s="66" t="s">
        <v>731</v>
      </c>
      <c r="H191" s="66" t="s">
        <v>732</v>
      </c>
      <c r="I191" s="66" t="s">
        <v>6</v>
      </c>
      <c r="J191" s="82" t="s">
        <v>12</v>
      </c>
      <c r="K191" s="67">
        <v>4000</v>
      </c>
      <c r="L191" s="82">
        <f t="shared" si="15"/>
        <v>0</v>
      </c>
      <c r="M191" s="67">
        <v>1000</v>
      </c>
      <c r="N191" s="82"/>
      <c r="O191" s="82">
        <f t="shared" si="12"/>
        <v>3000</v>
      </c>
      <c r="P191" s="82">
        <f t="shared" si="13"/>
        <v>0</v>
      </c>
      <c r="Q191" s="67">
        <v>3000</v>
      </c>
      <c r="R191" s="82"/>
      <c r="S191" s="67"/>
      <c r="T191" s="82"/>
      <c r="U191" s="67"/>
      <c r="V191" s="82"/>
      <c r="W191" s="82"/>
      <c r="X191" s="82"/>
      <c r="Y191" s="19">
        <v>40</v>
      </c>
      <c r="Z191" s="82"/>
      <c r="AA191" s="69">
        <v>44531</v>
      </c>
      <c r="AB191" s="74"/>
      <c r="AC191" s="75"/>
      <c r="AD191" s="70" t="s">
        <v>8</v>
      </c>
    </row>
    <row r="192" spans="1:30" s="76" customFormat="1" ht="56.25">
      <c r="A192" s="82">
        <f>+SUBTOTAL(3,$B$7:B192)</f>
        <v>186</v>
      </c>
      <c r="B192" s="82" t="s">
        <v>444</v>
      </c>
      <c r="C192" s="82" t="s">
        <v>111</v>
      </c>
      <c r="D192" s="66" t="s">
        <v>210</v>
      </c>
      <c r="E192" s="82">
        <v>4</v>
      </c>
      <c r="F192" s="67">
        <v>200991170</v>
      </c>
      <c r="G192" s="66" t="s">
        <v>733</v>
      </c>
      <c r="H192" s="66" t="s">
        <v>734</v>
      </c>
      <c r="I192" s="66" t="s">
        <v>6</v>
      </c>
      <c r="J192" s="82" t="s">
        <v>12</v>
      </c>
      <c r="K192" s="67">
        <v>4000</v>
      </c>
      <c r="L192" s="82">
        <f t="shared" si="15"/>
        <v>0</v>
      </c>
      <c r="M192" s="67">
        <v>1000</v>
      </c>
      <c r="N192" s="82"/>
      <c r="O192" s="82">
        <f t="shared" si="12"/>
        <v>3000</v>
      </c>
      <c r="P192" s="82">
        <f t="shared" si="13"/>
        <v>0</v>
      </c>
      <c r="Q192" s="67">
        <v>3000</v>
      </c>
      <c r="R192" s="82"/>
      <c r="S192" s="67"/>
      <c r="T192" s="82"/>
      <c r="U192" s="67"/>
      <c r="V192" s="82"/>
      <c r="W192" s="82"/>
      <c r="X192" s="82"/>
      <c r="Y192" s="19">
        <v>20</v>
      </c>
      <c r="Z192" s="82"/>
      <c r="AA192" s="69">
        <v>44470</v>
      </c>
      <c r="AB192" s="74"/>
      <c r="AC192" s="75"/>
      <c r="AD192" s="70" t="s">
        <v>8</v>
      </c>
    </row>
    <row r="193" spans="1:30" s="76" customFormat="1" ht="37.5">
      <c r="A193" s="82">
        <f>+SUBTOTAL(3,$B$7:B193)</f>
        <v>187</v>
      </c>
      <c r="B193" s="82" t="s">
        <v>444</v>
      </c>
      <c r="C193" s="82" t="s">
        <v>111</v>
      </c>
      <c r="D193" s="66" t="s">
        <v>210</v>
      </c>
      <c r="E193" s="82">
        <v>4</v>
      </c>
      <c r="F193" s="67">
        <v>306855062</v>
      </c>
      <c r="G193" s="66" t="s">
        <v>735</v>
      </c>
      <c r="H193" s="66" t="s">
        <v>237</v>
      </c>
      <c r="I193" s="66" t="s">
        <v>6</v>
      </c>
      <c r="J193" s="82" t="s">
        <v>13</v>
      </c>
      <c r="K193" s="67">
        <v>2500</v>
      </c>
      <c r="L193" s="82">
        <f t="shared" si="15"/>
        <v>0</v>
      </c>
      <c r="M193" s="67">
        <v>1000</v>
      </c>
      <c r="N193" s="82"/>
      <c r="O193" s="82">
        <f t="shared" si="12"/>
        <v>1500</v>
      </c>
      <c r="P193" s="82">
        <f t="shared" si="13"/>
        <v>0</v>
      </c>
      <c r="Q193" s="67">
        <v>1500</v>
      </c>
      <c r="R193" s="82"/>
      <c r="S193" s="67"/>
      <c r="T193" s="82"/>
      <c r="U193" s="67"/>
      <c r="V193" s="82"/>
      <c r="W193" s="82"/>
      <c r="X193" s="82"/>
      <c r="Y193" s="19">
        <v>30</v>
      </c>
      <c r="Z193" s="82"/>
      <c r="AA193" s="69">
        <v>44470</v>
      </c>
      <c r="AB193" s="74"/>
      <c r="AC193" s="75"/>
      <c r="AD193" s="70" t="s">
        <v>8</v>
      </c>
    </row>
    <row r="194" spans="1:30" s="76" customFormat="1" ht="37.5">
      <c r="A194" s="82">
        <f>+SUBTOTAL(3,$B$7:B194)</f>
        <v>188</v>
      </c>
      <c r="B194" s="82" t="s">
        <v>444</v>
      </c>
      <c r="C194" s="82" t="s">
        <v>111</v>
      </c>
      <c r="D194" s="66" t="s">
        <v>210</v>
      </c>
      <c r="E194" s="82">
        <v>2</v>
      </c>
      <c r="F194" s="67">
        <v>302835668</v>
      </c>
      <c r="G194" s="66" t="s">
        <v>736</v>
      </c>
      <c r="H194" s="66" t="s">
        <v>737</v>
      </c>
      <c r="I194" s="66" t="s">
        <v>6</v>
      </c>
      <c r="J194" s="82" t="s">
        <v>12</v>
      </c>
      <c r="K194" s="67">
        <v>2000</v>
      </c>
      <c r="L194" s="82">
        <f t="shared" si="15"/>
        <v>0</v>
      </c>
      <c r="M194" s="67">
        <v>700</v>
      </c>
      <c r="N194" s="82"/>
      <c r="O194" s="82">
        <f t="shared" si="12"/>
        <v>1300</v>
      </c>
      <c r="P194" s="82">
        <f t="shared" si="13"/>
        <v>0</v>
      </c>
      <c r="Q194" s="67">
        <v>1300</v>
      </c>
      <c r="R194" s="82"/>
      <c r="S194" s="67"/>
      <c r="T194" s="82"/>
      <c r="U194" s="67"/>
      <c r="V194" s="82"/>
      <c r="W194" s="82"/>
      <c r="X194" s="82"/>
      <c r="Y194" s="19">
        <v>15</v>
      </c>
      <c r="Z194" s="82"/>
      <c r="AA194" s="69">
        <v>44531</v>
      </c>
      <c r="AB194" s="74"/>
      <c r="AC194" s="75"/>
      <c r="AD194" s="70" t="s">
        <v>8</v>
      </c>
    </row>
    <row r="195" spans="1:30" s="76" customFormat="1" ht="37.5">
      <c r="A195" s="82">
        <f>+SUBTOTAL(3,$B$7:B195)</f>
        <v>189</v>
      </c>
      <c r="B195" s="82" t="s">
        <v>444</v>
      </c>
      <c r="C195" s="82" t="s">
        <v>111</v>
      </c>
      <c r="D195" s="66" t="s">
        <v>210</v>
      </c>
      <c r="E195" s="82">
        <v>4</v>
      </c>
      <c r="F195" s="67">
        <v>306073134</v>
      </c>
      <c r="G195" s="66" t="s">
        <v>738</v>
      </c>
      <c r="H195" s="66" t="s">
        <v>739</v>
      </c>
      <c r="I195" s="66" t="s">
        <v>10</v>
      </c>
      <c r="J195" s="82" t="s">
        <v>30</v>
      </c>
      <c r="K195" s="67">
        <v>600</v>
      </c>
      <c r="L195" s="82">
        <f t="shared" si="15"/>
        <v>600</v>
      </c>
      <c r="M195" s="67">
        <v>500</v>
      </c>
      <c r="N195" s="82">
        <v>500</v>
      </c>
      <c r="O195" s="82">
        <f t="shared" si="12"/>
        <v>100</v>
      </c>
      <c r="P195" s="82">
        <f t="shared" si="13"/>
        <v>100</v>
      </c>
      <c r="Q195" s="67">
        <v>100</v>
      </c>
      <c r="R195" s="82">
        <v>100</v>
      </c>
      <c r="S195" s="67"/>
      <c r="T195" s="82"/>
      <c r="U195" s="67"/>
      <c r="V195" s="82"/>
      <c r="W195" s="82"/>
      <c r="X195" s="82"/>
      <c r="Y195" s="19">
        <v>2</v>
      </c>
      <c r="Z195" s="82">
        <v>2</v>
      </c>
      <c r="AA195" s="69">
        <v>44228</v>
      </c>
      <c r="AB195" s="74">
        <v>44224</v>
      </c>
      <c r="AC195" s="75" t="s">
        <v>2080</v>
      </c>
      <c r="AD195" s="70" t="s">
        <v>8</v>
      </c>
    </row>
    <row r="196" spans="1:30" s="76" customFormat="1" ht="37.5">
      <c r="A196" s="82">
        <f>+SUBTOTAL(3,$B$7:B196)</f>
        <v>190</v>
      </c>
      <c r="B196" s="82" t="s">
        <v>444</v>
      </c>
      <c r="C196" s="82" t="s">
        <v>111</v>
      </c>
      <c r="D196" s="66" t="s">
        <v>210</v>
      </c>
      <c r="E196" s="82">
        <v>4</v>
      </c>
      <c r="F196" s="67">
        <v>303326327</v>
      </c>
      <c r="G196" s="66" t="s">
        <v>740</v>
      </c>
      <c r="H196" s="66" t="s">
        <v>741</v>
      </c>
      <c r="I196" s="66" t="s">
        <v>6</v>
      </c>
      <c r="J196" s="82" t="s">
        <v>13</v>
      </c>
      <c r="K196" s="67">
        <v>600</v>
      </c>
      <c r="L196" s="82">
        <f t="shared" si="15"/>
        <v>0</v>
      </c>
      <c r="M196" s="67">
        <v>300</v>
      </c>
      <c r="N196" s="82"/>
      <c r="O196" s="82">
        <f t="shared" si="12"/>
        <v>300</v>
      </c>
      <c r="P196" s="82">
        <f t="shared" si="13"/>
        <v>0</v>
      </c>
      <c r="Q196" s="67">
        <v>300</v>
      </c>
      <c r="R196" s="82"/>
      <c r="S196" s="67"/>
      <c r="T196" s="82"/>
      <c r="U196" s="67"/>
      <c r="V196" s="82"/>
      <c r="W196" s="82"/>
      <c r="X196" s="82"/>
      <c r="Y196" s="19">
        <v>2</v>
      </c>
      <c r="Z196" s="82"/>
      <c r="AA196" s="69">
        <v>44501</v>
      </c>
      <c r="AB196" s="74"/>
      <c r="AC196" s="75"/>
      <c r="AD196" s="70" t="s">
        <v>8</v>
      </c>
    </row>
    <row r="197" spans="1:30" s="76" customFormat="1" ht="37.5">
      <c r="A197" s="82">
        <f>+SUBTOTAL(3,$B$7:B197)</f>
        <v>191</v>
      </c>
      <c r="B197" s="82" t="s">
        <v>444</v>
      </c>
      <c r="C197" s="82" t="s">
        <v>111</v>
      </c>
      <c r="D197" s="66" t="s">
        <v>210</v>
      </c>
      <c r="E197" s="82">
        <v>4</v>
      </c>
      <c r="F197" s="67">
        <v>202042004</v>
      </c>
      <c r="G197" s="66" t="s">
        <v>742</v>
      </c>
      <c r="H197" s="66" t="s">
        <v>739</v>
      </c>
      <c r="I197" s="66" t="s">
        <v>10</v>
      </c>
      <c r="J197" s="82" t="s">
        <v>30</v>
      </c>
      <c r="K197" s="67">
        <v>600</v>
      </c>
      <c r="L197" s="82">
        <f t="shared" si="15"/>
        <v>0</v>
      </c>
      <c r="M197" s="67">
        <v>400</v>
      </c>
      <c r="N197" s="82"/>
      <c r="O197" s="82">
        <f t="shared" si="12"/>
        <v>200</v>
      </c>
      <c r="P197" s="82">
        <f t="shared" si="13"/>
        <v>0</v>
      </c>
      <c r="Q197" s="67">
        <v>200</v>
      </c>
      <c r="R197" s="82"/>
      <c r="S197" s="67"/>
      <c r="T197" s="82"/>
      <c r="U197" s="67"/>
      <c r="V197" s="82"/>
      <c r="W197" s="82"/>
      <c r="X197" s="82"/>
      <c r="Y197" s="19">
        <v>2</v>
      </c>
      <c r="Z197" s="82"/>
      <c r="AA197" s="69">
        <v>44501</v>
      </c>
      <c r="AB197" s="74"/>
      <c r="AC197" s="75"/>
      <c r="AD197" s="70" t="s">
        <v>8</v>
      </c>
    </row>
    <row r="198" spans="1:30" s="76" customFormat="1" ht="37.5">
      <c r="A198" s="82">
        <f>+SUBTOTAL(3,$B$7:B198)</f>
        <v>192</v>
      </c>
      <c r="B198" s="82" t="s">
        <v>444</v>
      </c>
      <c r="C198" s="82" t="s">
        <v>111</v>
      </c>
      <c r="D198" s="66" t="s">
        <v>210</v>
      </c>
      <c r="E198" s="82">
        <v>1</v>
      </c>
      <c r="F198" s="67">
        <v>304652135</v>
      </c>
      <c r="G198" s="66" t="s">
        <v>743</v>
      </c>
      <c r="H198" s="66" t="s">
        <v>441</v>
      </c>
      <c r="I198" s="66" t="s">
        <v>10</v>
      </c>
      <c r="J198" s="82" t="s">
        <v>30</v>
      </c>
      <c r="K198" s="67">
        <v>600</v>
      </c>
      <c r="L198" s="82">
        <f t="shared" si="15"/>
        <v>40</v>
      </c>
      <c r="M198" s="67">
        <v>300</v>
      </c>
      <c r="N198" s="82"/>
      <c r="O198" s="82">
        <f t="shared" si="12"/>
        <v>300</v>
      </c>
      <c r="P198" s="82">
        <f t="shared" si="13"/>
        <v>40</v>
      </c>
      <c r="Q198" s="67">
        <v>300</v>
      </c>
      <c r="R198" s="82">
        <v>40</v>
      </c>
      <c r="S198" s="67"/>
      <c r="T198" s="82"/>
      <c r="U198" s="67"/>
      <c r="V198" s="82"/>
      <c r="W198" s="82"/>
      <c r="X198" s="82"/>
      <c r="Y198" s="19">
        <v>2</v>
      </c>
      <c r="Z198" s="82"/>
      <c r="AA198" s="69">
        <v>44593</v>
      </c>
      <c r="AB198" s="74"/>
      <c r="AC198" s="75"/>
      <c r="AD198" s="70" t="s">
        <v>8</v>
      </c>
    </row>
    <row r="199" spans="1:30" s="76" customFormat="1" ht="37.5">
      <c r="A199" s="82">
        <f>+SUBTOTAL(3,$B$7:B199)</f>
        <v>193</v>
      </c>
      <c r="B199" s="82" t="s">
        <v>444</v>
      </c>
      <c r="C199" s="82" t="s">
        <v>111</v>
      </c>
      <c r="D199" s="66" t="s">
        <v>210</v>
      </c>
      <c r="E199" s="82">
        <v>2</v>
      </c>
      <c r="F199" s="67">
        <v>200485088</v>
      </c>
      <c r="G199" s="66" t="s">
        <v>744</v>
      </c>
      <c r="H199" s="66" t="s">
        <v>441</v>
      </c>
      <c r="I199" s="66" t="s">
        <v>10</v>
      </c>
      <c r="J199" s="82" t="s">
        <v>30</v>
      </c>
      <c r="K199" s="67">
        <v>800</v>
      </c>
      <c r="L199" s="82">
        <f t="shared" si="15"/>
        <v>40</v>
      </c>
      <c r="M199" s="67">
        <v>500</v>
      </c>
      <c r="N199" s="82"/>
      <c r="O199" s="82">
        <f t="shared" ref="O199:O262" si="16">+Q199+S199*10.2</f>
        <v>300</v>
      </c>
      <c r="P199" s="82">
        <f t="shared" ref="P199:P262" si="17">+R199+T199*10.2</f>
        <v>40</v>
      </c>
      <c r="Q199" s="67">
        <v>300</v>
      </c>
      <c r="R199" s="82">
        <v>40</v>
      </c>
      <c r="S199" s="67"/>
      <c r="T199" s="82"/>
      <c r="U199" s="67"/>
      <c r="V199" s="82"/>
      <c r="W199" s="82"/>
      <c r="X199" s="82"/>
      <c r="Y199" s="19">
        <v>3</v>
      </c>
      <c r="Z199" s="82"/>
      <c r="AA199" s="69">
        <v>44501</v>
      </c>
      <c r="AB199" s="74"/>
      <c r="AC199" s="75"/>
      <c r="AD199" s="70" t="s">
        <v>8</v>
      </c>
    </row>
    <row r="200" spans="1:30" s="76" customFormat="1" ht="37.5">
      <c r="A200" s="82">
        <f>+SUBTOTAL(3,$B$7:B200)</f>
        <v>194</v>
      </c>
      <c r="B200" s="82" t="s">
        <v>444</v>
      </c>
      <c r="C200" s="82" t="s">
        <v>111</v>
      </c>
      <c r="D200" s="66" t="s">
        <v>210</v>
      </c>
      <c r="E200" s="82">
        <v>1</v>
      </c>
      <c r="F200" s="67">
        <v>302437062</v>
      </c>
      <c r="G200" s="66" t="s">
        <v>745</v>
      </c>
      <c r="H200" s="66" t="s">
        <v>741</v>
      </c>
      <c r="I200" s="66" t="s">
        <v>6</v>
      </c>
      <c r="J200" s="82" t="s">
        <v>13</v>
      </c>
      <c r="K200" s="67">
        <v>800</v>
      </c>
      <c r="L200" s="82">
        <f t="shared" si="15"/>
        <v>0</v>
      </c>
      <c r="M200" s="67">
        <v>500</v>
      </c>
      <c r="N200" s="82"/>
      <c r="O200" s="82">
        <f t="shared" si="16"/>
        <v>300</v>
      </c>
      <c r="P200" s="82">
        <f t="shared" si="17"/>
        <v>0</v>
      </c>
      <c r="Q200" s="67">
        <v>300</v>
      </c>
      <c r="R200" s="82"/>
      <c r="S200" s="67"/>
      <c r="T200" s="82"/>
      <c r="U200" s="67"/>
      <c r="V200" s="82"/>
      <c r="W200" s="82"/>
      <c r="X200" s="82"/>
      <c r="Y200" s="19">
        <v>3</v>
      </c>
      <c r="Z200" s="82"/>
      <c r="AA200" s="69">
        <v>44593</v>
      </c>
      <c r="AB200" s="74"/>
      <c r="AC200" s="75"/>
      <c r="AD200" s="70" t="s">
        <v>8</v>
      </c>
    </row>
    <row r="201" spans="1:30" s="76" customFormat="1" ht="37.5">
      <c r="A201" s="82">
        <f>+SUBTOTAL(3,$B$7:B201)</f>
        <v>195</v>
      </c>
      <c r="B201" s="82" t="s">
        <v>444</v>
      </c>
      <c r="C201" s="82" t="s">
        <v>111</v>
      </c>
      <c r="D201" s="66" t="s">
        <v>210</v>
      </c>
      <c r="E201" s="82">
        <v>1</v>
      </c>
      <c r="F201" s="67" t="s">
        <v>1819</v>
      </c>
      <c r="G201" s="66" t="s">
        <v>746</v>
      </c>
      <c r="H201" s="66" t="s">
        <v>741</v>
      </c>
      <c r="I201" s="66" t="s">
        <v>6</v>
      </c>
      <c r="J201" s="82" t="s">
        <v>13</v>
      </c>
      <c r="K201" s="67">
        <v>1000</v>
      </c>
      <c r="L201" s="82">
        <f t="shared" si="15"/>
        <v>250</v>
      </c>
      <c r="M201" s="67">
        <v>750</v>
      </c>
      <c r="N201" s="82"/>
      <c r="O201" s="82">
        <f t="shared" si="16"/>
        <v>250</v>
      </c>
      <c r="P201" s="82">
        <f t="shared" si="17"/>
        <v>250</v>
      </c>
      <c r="Q201" s="67">
        <v>250</v>
      </c>
      <c r="R201" s="82">
        <v>250</v>
      </c>
      <c r="S201" s="67"/>
      <c r="T201" s="82"/>
      <c r="U201" s="67"/>
      <c r="V201" s="82"/>
      <c r="W201" s="82"/>
      <c r="X201" s="82"/>
      <c r="Y201" s="19">
        <v>3</v>
      </c>
      <c r="Z201" s="82"/>
      <c r="AA201" s="69">
        <v>44287</v>
      </c>
      <c r="AB201" s="74"/>
      <c r="AC201" s="75"/>
      <c r="AD201" s="70" t="s">
        <v>8</v>
      </c>
    </row>
    <row r="202" spans="1:30" s="76" customFormat="1" ht="37.5">
      <c r="A202" s="82">
        <f>+SUBTOTAL(3,$B$7:B202)</f>
        <v>196</v>
      </c>
      <c r="B202" s="82" t="s">
        <v>444</v>
      </c>
      <c r="C202" s="82" t="s">
        <v>111</v>
      </c>
      <c r="D202" s="66" t="s">
        <v>210</v>
      </c>
      <c r="E202" s="82">
        <v>3</v>
      </c>
      <c r="F202" s="67">
        <v>204931764</v>
      </c>
      <c r="G202" s="66" t="s">
        <v>747</v>
      </c>
      <c r="H202" s="66" t="s">
        <v>748</v>
      </c>
      <c r="I202" s="66" t="s">
        <v>6</v>
      </c>
      <c r="J202" s="82" t="s">
        <v>12</v>
      </c>
      <c r="K202" s="67">
        <v>1000</v>
      </c>
      <c r="L202" s="82">
        <f t="shared" si="15"/>
        <v>170</v>
      </c>
      <c r="M202" s="67">
        <v>750</v>
      </c>
      <c r="N202" s="82"/>
      <c r="O202" s="82">
        <f t="shared" si="16"/>
        <v>250</v>
      </c>
      <c r="P202" s="82">
        <f t="shared" si="17"/>
        <v>170</v>
      </c>
      <c r="Q202" s="67">
        <v>250</v>
      </c>
      <c r="R202" s="82">
        <v>170</v>
      </c>
      <c r="S202" s="67"/>
      <c r="T202" s="82"/>
      <c r="U202" s="67"/>
      <c r="V202" s="82"/>
      <c r="W202" s="82"/>
      <c r="X202" s="82"/>
      <c r="Y202" s="19">
        <v>3</v>
      </c>
      <c r="Z202" s="82"/>
      <c r="AA202" s="69">
        <v>44501</v>
      </c>
      <c r="AB202" s="74"/>
      <c r="AC202" s="75"/>
      <c r="AD202" s="70" t="s">
        <v>8</v>
      </c>
    </row>
    <row r="203" spans="1:30" s="76" customFormat="1" ht="37.5">
      <c r="A203" s="82">
        <f>+SUBTOTAL(3,$B$7:B203)</f>
        <v>197</v>
      </c>
      <c r="B203" s="82" t="s">
        <v>444</v>
      </c>
      <c r="C203" s="82" t="s">
        <v>111</v>
      </c>
      <c r="D203" s="66" t="s">
        <v>210</v>
      </c>
      <c r="E203" s="82">
        <v>4</v>
      </c>
      <c r="F203" s="67">
        <v>200991170</v>
      </c>
      <c r="G203" s="66" t="s">
        <v>749</v>
      </c>
      <c r="H203" s="66" t="s">
        <v>441</v>
      </c>
      <c r="I203" s="66" t="s">
        <v>10</v>
      </c>
      <c r="J203" s="82" t="s">
        <v>30</v>
      </c>
      <c r="K203" s="67">
        <v>1500</v>
      </c>
      <c r="L203" s="82">
        <f t="shared" si="15"/>
        <v>1500</v>
      </c>
      <c r="M203" s="67">
        <v>1500</v>
      </c>
      <c r="N203" s="82">
        <v>1500</v>
      </c>
      <c r="O203" s="82">
        <f t="shared" si="16"/>
        <v>0</v>
      </c>
      <c r="P203" s="82">
        <f t="shared" si="17"/>
        <v>0</v>
      </c>
      <c r="Q203" s="67">
        <v>0</v>
      </c>
      <c r="R203" s="82"/>
      <c r="S203" s="67"/>
      <c r="T203" s="82"/>
      <c r="U203" s="67"/>
      <c r="V203" s="82"/>
      <c r="W203" s="82"/>
      <c r="X203" s="82"/>
      <c r="Y203" s="19">
        <v>2</v>
      </c>
      <c r="Z203" s="82">
        <v>2</v>
      </c>
      <c r="AA203" s="69">
        <v>44228</v>
      </c>
      <c r="AB203" s="74">
        <v>44224</v>
      </c>
      <c r="AC203" s="75" t="s">
        <v>2081</v>
      </c>
      <c r="AD203" s="70" t="s">
        <v>8</v>
      </c>
    </row>
    <row r="204" spans="1:30" s="76" customFormat="1" ht="37.5">
      <c r="A204" s="82">
        <f>+SUBTOTAL(3,$B$7:B204)</f>
        <v>198</v>
      </c>
      <c r="B204" s="82" t="s">
        <v>444</v>
      </c>
      <c r="C204" s="82" t="s">
        <v>111</v>
      </c>
      <c r="D204" s="66" t="s">
        <v>210</v>
      </c>
      <c r="E204" s="82">
        <v>3</v>
      </c>
      <c r="F204" s="67">
        <v>302588224</v>
      </c>
      <c r="G204" s="66" t="s">
        <v>750</v>
      </c>
      <c r="H204" s="66" t="s">
        <v>751</v>
      </c>
      <c r="I204" s="66" t="s">
        <v>10</v>
      </c>
      <c r="J204" s="82" t="s">
        <v>58</v>
      </c>
      <c r="K204" s="67">
        <v>40000</v>
      </c>
      <c r="L204" s="82">
        <f t="shared" ref="L204:L235" si="18">+N204+R204+T204*10.2+V204*10.2</f>
        <v>0</v>
      </c>
      <c r="M204" s="67">
        <v>12000</v>
      </c>
      <c r="N204" s="82"/>
      <c r="O204" s="82">
        <f t="shared" si="16"/>
        <v>28000</v>
      </c>
      <c r="P204" s="82">
        <f t="shared" si="17"/>
        <v>0</v>
      </c>
      <c r="Q204" s="67">
        <v>28000</v>
      </c>
      <c r="R204" s="82"/>
      <c r="S204" s="67"/>
      <c r="T204" s="82"/>
      <c r="U204" s="67"/>
      <c r="V204" s="82"/>
      <c r="W204" s="82"/>
      <c r="X204" s="82"/>
      <c r="Y204" s="19">
        <v>10</v>
      </c>
      <c r="Z204" s="82"/>
      <c r="AA204" s="69">
        <v>44896</v>
      </c>
      <c r="AB204" s="74"/>
      <c r="AC204" s="75"/>
      <c r="AD204" s="70" t="s">
        <v>8</v>
      </c>
    </row>
    <row r="205" spans="1:30" s="76" customFormat="1" ht="37.5">
      <c r="A205" s="82">
        <f>+SUBTOTAL(3,$B$7:B205)</f>
        <v>199</v>
      </c>
      <c r="B205" s="82" t="s">
        <v>444</v>
      </c>
      <c r="C205" s="82" t="s">
        <v>111</v>
      </c>
      <c r="D205" s="66" t="s">
        <v>210</v>
      </c>
      <c r="E205" s="82">
        <v>2</v>
      </c>
      <c r="F205" s="67" t="s">
        <v>1823</v>
      </c>
      <c r="G205" s="66" t="s">
        <v>752</v>
      </c>
      <c r="H205" s="66" t="s">
        <v>753</v>
      </c>
      <c r="I205" s="66" t="s">
        <v>10</v>
      </c>
      <c r="J205" s="82" t="s">
        <v>45</v>
      </c>
      <c r="K205" s="67">
        <v>43750</v>
      </c>
      <c r="L205" s="82">
        <f t="shared" si="18"/>
        <v>24653.399999999998</v>
      </c>
      <c r="M205" s="67">
        <v>20000</v>
      </c>
      <c r="N205" s="82"/>
      <c r="O205" s="82">
        <f t="shared" si="16"/>
        <v>25500</v>
      </c>
      <c r="P205" s="82">
        <f t="shared" si="17"/>
        <v>24653.399999999998</v>
      </c>
      <c r="Q205" s="67"/>
      <c r="R205" s="82"/>
      <c r="S205" s="67">
        <v>2500</v>
      </c>
      <c r="T205" s="82">
        <v>2417</v>
      </c>
      <c r="U205" s="67"/>
      <c r="V205" s="82"/>
      <c r="W205" s="82"/>
      <c r="X205" s="82"/>
      <c r="Y205" s="19">
        <v>15</v>
      </c>
      <c r="Z205" s="82"/>
      <c r="AA205" s="69">
        <v>44561</v>
      </c>
      <c r="AB205" s="74"/>
      <c r="AC205" s="75"/>
      <c r="AD205" s="70" t="s">
        <v>0</v>
      </c>
    </row>
    <row r="206" spans="1:30" s="76" customFormat="1" ht="37.5">
      <c r="A206" s="82">
        <f>+SUBTOTAL(3,$B$7:B206)</f>
        <v>200</v>
      </c>
      <c r="B206" s="82" t="s">
        <v>444</v>
      </c>
      <c r="C206" s="82" t="s">
        <v>111</v>
      </c>
      <c r="D206" s="66" t="s">
        <v>210</v>
      </c>
      <c r="E206" s="82">
        <v>1</v>
      </c>
      <c r="F206" s="67">
        <v>302618877</v>
      </c>
      <c r="G206" s="66" t="s">
        <v>754</v>
      </c>
      <c r="H206" s="66" t="s">
        <v>755</v>
      </c>
      <c r="I206" s="66" t="s">
        <v>10</v>
      </c>
      <c r="J206" s="82" t="s">
        <v>60</v>
      </c>
      <c r="K206" s="67">
        <v>4000</v>
      </c>
      <c r="L206" s="82">
        <f t="shared" si="18"/>
        <v>677</v>
      </c>
      <c r="M206" s="67">
        <v>3000</v>
      </c>
      <c r="N206" s="82"/>
      <c r="O206" s="82">
        <f t="shared" si="16"/>
        <v>1000</v>
      </c>
      <c r="P206" s="82">
        <f t="shared" si="17"/>
        <v>677</v>
      </c>
      <c r="Q206" s="67">
        <v>1000</v>
      </c>
      <c r="R206" s="82">
        <v>677</v>
      </c>
      <c r="S206" s="67"/>
      <c r="T206" s="82"/>
      <c r="U206" s="67"/>
      <c r="V206" s="82"/>
      <c r="W206" s="82"/>
      <c r="X206" s="82"/>
      <c r="Y206" s="19">
        <v>20</v>
      </c>
      <c r="Z206" s="82"/>
      <c r="AA206" s="69">
        <v>44896</v>
      </c>
      <c r="AB206" s="74"/>
      <c r="AC206" s="75"/>
      <c r="AD206" s="70" t="s">
        <v>0</v>
      </c>
    </row>
    <row r="207" spans="1:30" s="76" customFormat="1" ht="37.5">
      <c r="A207" s="82">
        <f>+SUBTOTAL(3,$B$7:B207)</f>
        <v>201</v>
      </c>
      <c r="B207" s="82" t="s">
        <v>444</v>
      </c>
      <c r="C207" s="82" t="s">
        <v>111</v>
      </c>
      <c r="D207" s="66" t="s">
        <v>210</v>
      </c>
      <c r="E207" s="82">
        <v>4</v>
      </c>
      <c r="F207" s="67">
        <v>304279930</v>
      </c>
      <c r="G207" s="66" t="s">
        <v>756</v>
      </c>
      <c r="H207" s="66" t="s">
        <v>757</v>
      </c>
      <c r="I207" s="66" t="s">
        <v>9</v>
      </c>
      <c r="J207" s="82" t="s">
        <v>38</v>
      </c>
      <c r="K207" s="67">
        <v>3000</v>
      </c>
      <c r="L207" s="82">
        <f t="shared" si="18"/>
        <v>300</v>
      </c>
      <c r="M207" s="67">
        <v>1000</v>
      </c>
      <c r="N207" s="82"/>
      <c r="O207" s="82">
        <f t="shared" si="16"/>
        <v>2000</v>
      </c>
      <c r="P207" s="82">
        <f t="shared" si="17"/>
        <v>300</v>
      </c>
      <c r="Q207" s="67">
        <v>2000</v>
      </c>
      <c r="R207" s="82">
        <v>300</v>
      </c>
      <c r="S207" s="67"/>
      <c r="T207" s="82"/>
      <c r="U207" s="67"/>
      <c r="V207" s="82"/>
      <c r="W207" s="82"/>
      <c r="X207" s="82"/>
      <c r="Y207" s="19">
        <v>10</v>
      </c>
      <c r="Z207" s="82"/>
      <c r="AA207" s="69">
        <v>44835</v>
      </c>
      <c r="AB207" s="74"/>
      <c r="AC207" s="75"/>
      <c r="AD207" s="70" t="s">
        <v>0</v>
      </c>
    </row>
    <row r="208" spans="1:30" s="76" customFormat="1" ht="37.5">
      <c r="A208" s="82">
        <f>+SUBTOTAL(3,$B$7:B208)</f>
        <v>202</v>
      </c>
      <c r="B208" s="82" t="s">
        <v>444</v>
      </c>
      <c r="C208" s="82" t="s">
        <v>111</v>
      </c>
      <c r="D208" s="66" t="s">
        <v>210</v>
      </c>
      <c r="E208" s="82">
        <v>3</v>
      </c>
      <c r="F208" s="67">
        <v>305850735</v>
      </c>
      <c r="G208" s="66" t="s">
        <v>758</v>
      </c>
      <c r="H208" s="66" t="s">
        <v>759</v>
      </c>
      <c r="I208" s="66" t="s">
        <v>10</v>
      </c>
      <c r="J208" s="82" t="s">
        <v>60</v>
      </c>
      <c r="K208" s="67">
        <v>56900</v>
      </c>
      <c r="L208" s="82">
        <f t="shared" si="18"/>
        <v>0</v>
      </c>
      <c r="M208" s="67">
        <v>9400</v>
      </c>
      <c r="N208" s="82"/>
      <c r="O208" s="82">
        <f t="shared" si="16"/>
        <v>51000</v>
      </c>
      <c r="P208" s="82">
        <f t="shared" si="17"/>
        <v>0</v>
      </c>
      <c r="Q208" s="67"/>
      <c r="R208" s="82"/>
      <c r="S208" s="67">
        <v>5000</v>
      </c>
      <c r="T208" s="82"/>
      <c r="U208" s="67"/>
      <c r="V208" s="82"/>
      <c r="W208" s="82"/>
      <c r="X208" s="82"/>
      <c r="Y208" s="19">
        <v>150</v>
      </c>
      <c r="Z208" s="82"/>
      <c r="AA208" s="69">
        <v>44835</v>
      </c>
      <c r="AB208" s="74"/>
      <c r="AC208" s="75"/>
      <c r="AD208" s="70" t="s">
        <v>0</v>
      </c>
    </row>
    <row r="209" spans="1:30" s="76" customFormat="1" ht="37.5">
      <c r="A209" s="82">
        <f>+SUBTOTAL(3,$B$7:B209)</f>
        <v>203</v>
      </c>
      <c r="B209" s="82" t="s">
        <v>444</v>
      </c>
      <c r="C209" s="82" t="s">
        <v>111</v>
      </c>
      <c r="D209" s="66" t="s">
        <v>210</v>
      </c>
      <c r="E209" s="82">
        <v>4</v>
      </c>
      <c r="F209" s="67">
        <v>300442486</v>
      </c>
      <c r="G209" s="66" t="s">
        <v>760</v>
      </c>
      <c r="H209" s="66" t="s">
        <v>757</v>
      </c>
      <c r="I209" s="66" t="s">
        <v>9</v>
      </c>
      <c r="J209" s="82" t="s">
        <v>38</v>
      </c>
      <c r="K209" s="67">
        <v>3000</v>
      </c>
      <c r="L209" s="82">
        <f t="shared" si="18"/>
        <v>500</v>
      </c>
      <c r="M209" s="67">
        <v>1000</v>
      </c>
      <c r="N209" s="82"/>
      <c r="O209" s="82">
        <f t="shared" si="16"/>
        <v>2000</v>
      </c>
      <c r="P209" s="82">
        <f t="shared" si="17"/>
        <v>500</v>
      </c>
      <c r="Q209" s="67">
        <v>2000</v>
      </c>
      <c r="R209" s="82">
        <v>500</v>
      </c>
      <c r="S209" s="67"/>
      <c r="T209" s="82"/>
      <c r="U209" s="67"/>
      <c r="V209" s="82"/>
      <c r="W209" s="82"/>
      <c r="X209" s="82"/>
      <c r="Y209" s="19">
        <v>10</v>
      </c>
      <c r="Z209" s="82"/>
      <c r="AA209" s="69">
        <v>44805</v>
      </c>
      <c r="AB209" s="74"/>
      <c r="AC209" s="75"/>
      <c r="AD209" s="70" t="s">
        <v>0</v>
      </c>
    </row>
    <row r="210" spans="1:30" s="76" customFormat="1" ht="37.5">
      <c r="A210" s="82">
        <f>+SUBTOTAL(3,$B$7:B210)</f>
        <v>204</v>
      </c>
      <c r="B210" s="82" t="s">
        <v>444</v>
      </c>
      <c r="C210" s="82" t="s">
        <v>111</v>
      </c>
      <c r="D210" s="66" t="s">
        <v>210</v>
      </c>
      <c r="E210" s="82">
        <v>2</v>
      </c>
      <c r="F210" s="67">
        <v>305851006</v>
      </c>
      <c r="G210" s="66" t="s">
        <v>761</v>
      </c>
      <c r="H210" s="66" t="s">
        <v>755</v>
      </c>
      <c r="I210" s="66" t="s">
        <v>10</v>
      </c>
      <c r="J210" s="82" t="s">
        <v>60</v>
      </c>
      <c r="K210" s="67">
        <v>2000</v>
      </c>
      <c r="L210" s="82">
        <f t="shared" si="18"/>
        <v>606.9</v>
      </c>
      <c r="M210" s="67">
        <v>1000</v>
      </c>
      <c r="N210" s="82"/>
      <c r="O210" s="82">
        <f t="shared" si="16"/>
        <v>1000</v>
      </c>
      <c r="P210" s="82">
        <f t="shared" si="17"/>
        <v>606.9</v>
      </c>
      <c r="Q210" s="67">
        <v>1000</v>
      </c>
      <c r="R210" s="82"/>
      <c r="S210" s="67"/>
      <c r="T210" s="82">
        <v>59.5</v>
      </c>
      <c r="U210" s="67"/>
      <c r="V210" s="82"/>
      <c r="W210" s="82"/>
      <c r="X210" s="82"/>
      <c r="Y210" s="19">
        <v>10</v>
      </c>
      <c r="Z210" s="82"/>
      <c r="AA210" s="69">
        <v>44896</v>
      </c>
      <c r="AB210" s="74"/>
      <c r="AC210" s="75"/>
      <c r="AD210" s="70" t="s">
        <v>0</v>
      </c>
    </row>
    <row r="211" spans="1:30" s="76" customFormat="1" ht="37.5">
      <c r="A211" s="82">
        <f>+SUBTOTAL(3,$B$7:B211)</f>
        <v>205</v>
      </c>
      <c r="B211" s="82" t="s">
        <v>444</v>
      </c>
      <c r="C211" s="82" t="s">
        <v>111</v>
      </c>
      <c r="D211" s="66" t="s">
        <v>210</v>
      </c>
      <c r="E211" s="82">
        <v>3</v>
      </c>
      <c r="F211" s="67" t="s">
        <v>1824</v>
      </c>
      <c r="G211" s="66" t="s">
        <v>762</v>
      </c>
      <c r="H211" s="66" t="s">
        <v>136</v>
      </c>
      <c r="I211" s="66" t="s">
        <v>9</v>
      </c>
      <c r="J211" s="82" t="s">
        <v>36</v>
      </c>
      <c r="K211" s="67">
        <v>8500</v>
      </c>
      <c r="L211" s="82">
        <f t="shared" si="18"/>
        <v>0</v>
      </c>
      <c r="M211" s="67">
        <v>3500</v>
      </c>
      <c r="N211" s="82"/>
      <c r="O211" s="82">
        <f t="shared" si="16"/>
        <v>5000</v>
      </c>
      <c r="P211" s="82">
        <f t="shared" si="17"/>
        <v>0</v>
      </c>
      <c r="Q211" s="67">
        <v>5000</v>
      </c>
      <c r="R211" s="82"/>
      <c r="S211" s="67"/>
      <c r="T211" s="82"/>
      <c r="U211" s="67"/>
      <c r="V211" s="82"/>
      <c r="W211" s="82"/>
      <c r="X211" s="82"/>
      <c r="Y211" s="19">
        <v>25</v>
      </c>
      <c r="Z211" s="82"/>
      <c r="AA211" s="69">
        <v>44805</v>
      </c>
      <c r="AB211" s="74"/>
      <c r="AC211" s="75"/>
      <c r="AD211" s="70" t="s">
        <v>0</v>
      </c>
    </row>
    <row r="212" spans="1:30" s="76" customFormat="1" ht="37.5">
      <c r="A212" s="82">
        <f>+SUBTOTAL(3,$B$7:B212)</f>
        <v>206</v>
      </c>
      <c r="B212" s="82" t="s">
        <v>444</v>
      </c>
      <c r="C212" s="82" t="s">
        <v>111</v>
      </c>
      <c r="D212" s="66" t="s">
        <v>210</v>
      </c>
      <c r="E212" s="82">
        <v>3</v>
      </c>
      <c r="F212" s="67">
        <v>300875540</v>
      </c>
      <c r="G212" s="66" t="s">
        <v>763</v>
      </c>
      <c r="H212" s="66" t="s">
        <v>764</v>
      </c>
      <c r="I212" s="66" t="s">
        <v>10</v>
      </c>
      <c r="J212" s="82" t="s">
        <v>30</v>
      </c>
      <c r="K212" s="67">
        <v>1000</v>
      </c>
      <c r="L212" s="82">
        <f t="shared" si="18"/>
        <v>0</v>
      </c>
      <c r="M212" s="67">
        <v>400</v>
      </c>
      <c r="N212" s="82"/>
      <c r="O212" s="82">
        <f t="shared" si="16"/>
        <v>600</v>
      </c>
      <c r="P212" s="82">
        <f t="shared" si="17"/>
        <v>0</v>
      </c>
      <c r="Q212" s="67">
        <v>600</v>
      </c>
      <c r="R212" s="82"/>
      <c r="S212" s="67"/>
      <c r="T212" s="82"/>
      <c r="U212" s="67"/>
      <c r="V212" s="82"/>
      <c r="W212" s="82"/>
      <c r="X212" s="82"/>
      <c r="Y212" s="19">
        <v>5</v>
      </c>
      <c r="Z212" s="82"/>
      <c r="AA212" s="69">
        <v>44621</v>
      </c>
      <c r="AB212" s="74"/>
      <c r="AC212" s="75"/>
      <c r="AD212" s="70" t="s">
        <v>0</v>
      </c>
    </row>
    <row r="213" spans="1:30" s="76" customFormat="1" ht="37.5">
      <c r="A213" s="82">
        <f>+SUBTOTAL(3,$B$7:B213)</f>
        <v>207</v>
      </c>
      <c r="B213" s="82" t="s">
        <v>444</v>
      </c>
      <c r="C213" s="82" t="s">
        <v>111</v>
      </c>
      <c r="D213" s="66" t="s">
        <v>210</v>
      </c>
      <c r="E213" s="82">
        <v>3</v>
      </c>
      <c r="F213" s="67">
        <v>300875540</v>
      </c>
      <c r="G213" s="66" t="s">
        <v>763</v>
      </c>
      <c r="H213" s="66" t="s">
        <v>765</v>
      </c>
      <c r="I213" s="66" t="s">
        <v>10</v>
      </c>
      <c r="J213" s="82" t="s">
        <v>30</v>
      </c>
      <c r="K213" s="67">
        <v>1100</v>
      </c>
      <c r="L213" s="82">
        <f t="shared" si="18"/>
        <v>0</v>
      </c>
      <c r="M213" s="67">
        <v>400</v>
      </c>
      <c r="N213" s="82"/>
      <c r="O213" s="82">
        <f t="shared" si="16"/>
        <v>700</v>
      </c>
      <c r="P213" s="82">
        <f t="shared" si="17"/>
        <v>0</v>
      </c>
      <c r="Q213" s="67">
        <v>700</v>
      </c>
      <c r="R213" s="82"/>
      <c r="S213" s="67"/>
      <c r="T213" s="82"/>
      <c r="U213" s="67"/>
      <c r="V213" s="82"/>
      <c r="W213" s="82"/>
      <c r="X213" s="82"/>
      <c r="Y213" s="19">
        <v>7</v>
      </c>
      <c r="Z213" s="82"/>
      <c r="AA213" s="69">
        <v>44621</v>
      </c>
      <c r="AB213" s="74"/>
      <c r="AC213" s="75"/>
      <c r="AD213" s="70" t="s">
        <v>0</v>
      </c>
    </row>
    <row r="214" spans="1:30" s="76" customFormat="1" ht="37.5">
      <c r="A214" s="82">
        <f>+SUBTOTAL(3,$B$7:B214)</f>
        <v>208</v>
      </c>
      <c r="B214" s="82" t="s">
        <v>444</v>
      </c>
      <c r="C214" s="82" t="s">
        <v>111</v>
      </c>
      <c r="D214" s="66" t="s">
        <v>210</v>
      </c>
      <c r="E214" s="82">
        <v>3</v>
      </c>
      <c r="F214" s="67">
        <v>300875540</v>
      </c>
      <c r="G214" s="66" t="s">
        <v>763</v>
      </c>
      <c r="H214" s="66" t="s">
        <v>766</v>
      </c>
      <c r="I214" s="66" t="s">
        <v>6</v>
      </c>
      <c r="J214" s="82" t="s">
        <v>34</v>
      </c>
      <c r="K214" s="67">
        <v>1180</v>
      </c>
      <c r="L214" s="82">
        <f t="shared" si="18"/>
        <v>0</v>
      </c>
      <c r="M214" s="67">
        <v>380</v>
      </c>
      <c r="N214" s="82"/>
      <c r="O214" s="82">
        <f t="shared" si="16"/>
        <v>800</v>
      </c>
      <c r="P214" s="82">
        <f t="shared" si="17"/>
        <v>0</v>
      </c>
      <c r="Q214" s="67">
        <v>800</v>
      </c>
      <c r="R214" s="82"/>
      <c r="S214" s="67"/>
      <c r="T214" s="82"/>
      <c r="U214" s="67"/>
      <c r="V214" s="82"/>
      <c r="W214" s="82"/>
      <c r="X214" s="82"/>
      <c r="Y214" s="19">
        <v>20</v>
      </c>
      <c r="Z214" s="82"/>
      <c r="AA214" s="69">
        <v>44621</v>
      </c>
      <c r="AB214" s="74"/>
      <c r="AC214" s="75"/>
      <c r="AD214" s="70" t="s">
        <v>0</v>
      </c>
    </row>
    <row r="215" spans="1:30" s="76" customFormat="1" ht="37.5">
      <c r="A215" s="82">
        <f>+SUBTOTAL(3,$B$7:B215)</f>
        <v>209</v>
      </c>
      <c r="B215" s="82" t="s">
        <v>444</v>
      </c>
      <c r="C215" s="82" t="s">
        <v>111</v>
      </c>
      <c r="D215" s="66" t="s">
        <v>210</v>
      </c>
      <c r="E215" s="82">
        <v>1</v>
      </c>
      <c r="F215" s="67">
        <v>306462251</v>
      </c>
      <c r="G215" s="66" t="s">
        <v>767</v>
      </c>
      <c r="H215" s="66" t="s">
        <v>768</v>
      </c>
      <c r="I215" s="66" t="s">
        <v>6</v>
      </c>
      <c r="J215" s="82" t="s">
        <v>12</v>
      </c>
      <c r="K215" s="67">
        <v>1200</v>
      </c>
      <c r="L215" s="82">
        <f t="shared" si="18"/>
        <v>0</v>
      </c>
      <c r="M215" s="67">
        <v>1000</v>
      </c>
      <c r="N215" s="82"/>
      <c r="O215" s="82">
        <f t="shared" si="16"/>
        <v>200</v>
      </c>
      <c r="P215" s="82">
        <f t="shared" si="17"/>
        <v>0</v>
      </c>
      <c r="Q215" s="67">
        <v>200</v>
      </c>
      <c r="R215" s="82"/>
      <c r="S215" s="67"/>
      <c r="T215" s="82"/>
      <c r="U215" s="67"/>
      <c r="V215" s="82"/>
      <c r="W215" s="82"/>
      <c r="X215" s="82"/>
      <c r="Y215" s="19">
        <v>5</v>
      </c>
      <c r="Z215" s="82"/>
      <c r="AA215" s="69">
        <v>44287</v>
      </c>
      <c r="AB215" s="74"/>
      <c r="AC215" s="75"/>
      <c r="AD215" s="70" t="s">
        <v>0</v>
      </c>
    </row>
    <row r="216" spans="1:30" s="76" customFormat="1" ht="37.5">
      <c r="A216" s="82">
        <f>+SUBTOTAL(3,$B$7:B216)</f>
        <v>210</v>
      </c>
      <c r="B216" s="82" t="s">
        <v>444</v>
      </c>
      <c r="C216" s="82" t="s">
        <v>111</v>
      </c>
      <c r="D216" s="66" t="s">
        <v>210</v>
      </c>
      <c r="E216" s="82">
        <v>3</v>
      </c>
      <c r="F216" s="67">
        <v>300875540</v>
      </c>
      <c r="G216" s="66" t="s">
        <v>763</v>
      </c>
      <c r="H216" s="66" t="s">
        <v>769</v>
      </c>
      <c r="I216" s="66" t="s">
        <v>6</v>
      </c>
      <c r="J216" s="82" t="s">
        <v>51</v>
      </c>
      <c r="K216" s="67">
        <v>1420</v>
      </c>
      <c r="L216" s="82">
        <f t="shared" si="18"/>
        <v>0</v>
      </c>
      <c r="M216" s="67">
        <v>420</v>
      </c>
      <c r="N216" s="82"/>
      <c r="O216" s="82">
        <f t="shared" si="16"/>
        <v>1000</v>
      </c>
      <c r="P216" s="82">
        <f t="shared" si="17"/>
        <v>0</v>
      </c>
      <c r="Q216" s="67">
        <v>1000</v>
      </c>
      <c r="R216" s="82"/>
      <c r="S216" s="67"/>
      <c r="T216" s="82"/>
      <c r="U216" s="67"/>
      <c r="V216" s="82"/>
      <c r="W216" s="82"/>
      <c r="X216" s="82"/>
      <c r="Y216" s="19">
        <v>7</v>
      </c>
      <c r="Z216" s="82"/>
      <c r="AA216" s="69">
        <v>44652</v>
      </c>
      <c r="AB216" s="74"/>
      <c r="AC216" s="75"/>
      <c r="AD216" s="70" t="s">
        <v>0</v>
      </c>
    </row>
    <row r="217" spans="1:30" s="76" customFormat="1" ht="37.5">
      <c r="A217" s="82">
        <f>+SUBTOTAL(3,$B$7:B217)</f>
        <v>211</v>
      </c>
      <c r="B217" s="82" t="s">
        <v>444</v>
      </c>
      <c r="C217" s="82" t="s">
        <v>111</v>
      </c>
      <c r="D217" s="66" t="s">
        <v>210</v>
      </c>
      <c r="E217" s="82">
        <v>3</v>
      </c>
      <c r="F217" s="67">
        <v>300875540</v>
      </c>
      <c r="G217" s="66" t="s">
        <v>763</v>
      </c>
      <c r="H217" s="66" t="s">
        <v>770</v>
      </c>
      <c r="I217" s="66" t="s">
        <v>10</v>
      </c>
      <c r="J217" s="82" t="s">
        <v>60</v>
      </c>
      <c r="K217" s="67">
        <v>1500</v>
      </c>
      <c r="L217" s="82">
        <f t="shared" si="18"/>
        <v>0</v>
      </c>
      <c r="M217" s="67">
        <v>500</v>
      </c>
      <c r="N217" s="82"/>
      <c r="O217" s="82">
        <f t="shared" si="16"/>
        <v>1000</v>
      </c>
      <c r="P217" s="82">
        <f t="shared" si="17"/>
        <v>0</v>
      </c>
      <c r="Q217" s="67">
        <v>1000</v>
      </c>
      <c r="R217" s="82"/>
      <c r="S217" s="67"/>
      <c r="T217" s="82"/>
      <c r="U217" s="67"/>
      <c r="V217" s="82"/>
      <c r="W217" s="82"/>
      <c r="X217" s="82"/>
      <c r="Y217" s="19">
        <v>5</v>
      </c>
      <c r="Z217" s="82"/>
      <c r="AA217" s="69">
        <v>44621</v>
      </c>
      <c r="AB217" s="74"/>
      <c r="AC217" s="75"/>
      <c r="AD217" s="70" t="s">
        <v>0</v>
      </c>
    </row>
    <row r="218" spans="1:30" s="76" customFormat="1" ht="37.5">
      <c r="A218" s="82">
        <f>+SUBTOTAL(3,$B$7:B218)</f>
        <v>212</v>
      </c>
      <c r="B218" s="82" t="s">
        <v>444</v>
      </c>
      <c r="C218" s="82" t="s">
        <v>111</v>
      </c>
      <c r="D218" s="66" t="s">
        <v>210</v>
      </c>
      <c r="E218" s="82">
        <v>3</v>
      </c>
      <c r="F218" s="67">
        <v>300875540</v>
      </c>
      <c r="G218" s="66" t="s">
        <v>763</v>
      </c>
      <c r="H218" s="66" t="s">
        <v>149</v>
      </c>
      <c r="I218" s="66" t="s">
        <v>6</v>
      </c>
      <c r="J218" s="82" t="s">
        <v>13</v>
      </c>
      <c r="K218" s="67">
        <v>1540</v>
      </c>
      <c r="L218" s="82">
        <f t="shared" si="18"/>
        <v>0</v>
      </c>
      <c r="M218" s="67">
        <v>500</v>
      </c>
      <c r="N218" s="82"/>
      <c r="O218" s="82">
        <f t="shared" si="16"/>
        <v>1040</v>
      </c>
      <c r="P218" s="82">
        <f t="shared" si="17"/>
        <v>0</v>
      </c>
      <c r="Q218" s="67">
        <v>1040</v>
      </c>
      <c r="R218" s="82"/>
      <c r="S218" s="67"/>
      <c r="T218" s="82"/>
      <c r="U218" s="67"/>
      <c r="V218" s="82"/>
      <c r="W218" s="82"/>
      <c r="X218" s="82"/>
      <c r="Y218" s="19">
        <v>7</v>
      </c>
      <c r="Z218" s="82"/>
      <c r="AA218" s="69">
        <v>44652</v>
      </c>
      <c r="AB218" s="74"/>
      <c r="AC218" s="75"/>
      <c r="AD218" s="70" t="s">
        <v>0</v>
      </c>
    </row>
    <row r="219" spans="1:30" s="76" customFormat="1" ht="37.5">
      <c r="A219" s="82">
        <f>+SUBTOTAL(3,$B$7:B219)</f>
        <v>213</v>
      </c>
      <c r="B219" s="82" t="s">
        <v>444</v>
      </c>
      <c r="C219" s="82" t="s">
        <v>111</v>
      </c>
      <c r="D219" s="66" t="s">
        <v>210</v>
      </c>
      <c r="E219" s="82">
        <v>3</v>
      </c>
      <c r="F219" s="67">
        <v>304279930</v>
      </c>
      <c r="G219" s="66" t="s">
        <v>771</v>
      </c>
      <c r="H219" s="66" t="s">
        <v>772</v>
      </c>
      <c r="I219" s="66" t="s">
        <v>9</v>
      </c>
      <c r="J219" s="82" t="s">
        <v>36</v>
      </c>
      <c r="K219" s="67">
        <v>1850</v>
      </c>
      <c r="L219" s="82">
        <f t="shared" si="18"/>
        <v>741</v>
      </c>
      <c r="M219" s="67">
        <v>800</v>
      </c>
      <c r="N219" s="82"/>
      <c r="O219" s="82">
        <f t="shared" si="16"/>
        <v>1050</v>
      </c>
      <c r="P219" s="82">
        <f t="shared" si="17"/>
        <v>741</v>
      </c>
      <c r="Q219" s="67">
        <v>1050</v>
      </c>
      <c r="R219" s="82">
        <v>741</v>
      </c>
      <c r="S219" s="67"/>
      <c r="T219" s="82"/>
      <c r="U219" s="67"/>
      <c r="V219" s="82"/>
      <c r="W219" s="82"/>
      <c r="X219" s="82"/>
      <c r="Y219" s="19">
        <v>10</v>
      </c>
      <c r="Z219" s="82"/>
      <c r="AA219" s="69">
        <v>44378</v>
      </c>
      <c r="AB219" s="74"/>
      <c r="AC219" s="75"/>
      <c r="AD219" s="70" t="s">
        <v>0</v>
      </c>
    </row>
    <row r="220" spans="1:30" s="76" customFormat="1" ht="37.5">
      <c r="A220" s="82">
        <f>+SUBTOTAL(3,$B$7:B220)</f>
        <v>214</v>
      </c>
      <c r="B220" s="82" t="s">
        <v>444</v>
      </c>
      <c r="C220" s="82" t="s">
        <v>111</v>
      </c>
      <c r="D220" s="66" t="s">
        <v>210</v>
      </c>
      <c r="E220" s="82">
        <v>1</v>
      </c>
      <c r="F220" s="67" t="s">
        <v>2091</v>
      </c>
      <c r="G220" s="66" t="s">
        <v>773</v>
      </c>
      <c r="H220" s="66" t="s">
        <v>774</v>
      </c>
      <c r="I220" s="66" t="s">
        <v>6</v>
      </c>
      <c r="J220" s="82" t="s">
        <v>12</v>
      </c>
      <c r="K220" s="67">
        <v>2200</v>
      </c>
      <c r="L220" s="82">
        <f t="shared" si="18"/>
        <v>0</v>
      </c>
      <c r="M220" s="67">
        <v>2000</v>
      </c>
      <c r="N220" s="82"/>
      <c r="O220" s="82">
        <f t="shared" si="16"/>
        <v>200</v>
      </c>
      <c r="P220" s="82">
        <f t="shared" si="17"/>
        <v>0</v>
      </c>
      <c r="Q220" s="67">
        <v>200</v>
      </c>
      <c r="R220" s="82"/>
      <c r="S220" s="67"/>
      <c r="T220" s="82"/>
      <c r="U220" s="67"/>
      <c r="V220" s="82"/>
      <c r="W220" s="82"/>
      <c r="X220" s="82"/>
      <c r="Y220" s="19">
        <v>10</v>
      </c>
      <c r="Z220" s="82"/>
      <c r="AA220" s="18">
        <v>44287</v>
      </c>
      <c r="AB220" s="74"/>
      <c r="AC220" s="75"/>
      <c r="AD220" s="70" t="s">
        <v>0</v>
      </c>
    </row>
    <row r="221" spans="1:30" s="76" customFormat="1" ht="37.5">
      <c r="A221" s="82">
        <f>+SUBTOTAL(3,$B$7:B221)</f>
        <v>215</v>
      </c>
      <c r="B221" s="82" t="s">
        <v>444</v>
      </c>
      <c r="C221" s="82" t="s">
        <v>111</v>
      </c>
      <c r="D221" s="66" t="s">
        <v>210</v>
      </c>
      <c r="E221" s="82">
        <v>3</v>
      </c>
      <c r="F221" s="67">
        <v>300875540</v>
      </c>
      <c r="G221" s="66" t="s">
        <v>775</v>
      </c>
      <c r="H221" s="66" t="s">
        <v>776</v>
      </c>
      <c r="I221" s="66" t="s">
        <v>10</v>
      </c>
      <c r="J221" s="82" t="s">
        <v>58</v>
      </c>
      <c r="K221" s="67">
        <v>20000</v>
      </c>
      <c r="L221" s="82">
        <f t="shared" si="18"/>
        <v>0</v>
      </c>
      <c r="M221" s="67">
        <v>4000</v>
      </c>
      <c r="N221" s="82"/>
      <c r="O221" s="82">
        <f t="shared" si="16"/>
        <v>16000</v>
      </c>
      <c r="P221" s="82">
        <f t="shared" si="17"/>
        <v>0</v>
      </c>
      <c r="Q221" s="67">
        <v>16000</v>
      </c>
      <c r="R221" s="82"/>
      <c r="S221" s="67"/>
      <c r="T221" s="82"/>
      <c r="U221" s="67"/>
      <c r="V221" s="82"/>
      <c r="W221" s="82"/>
      <c r="X221" s="82"/>
      <c r="Y221" s="19">
        <v>50</v>
      </c>
      <c r="Z221" s="82"/>
      <c r="AA221" s="69">
        <v>44531</v>
      </c>
      <c r="AB221" s="74"/>
      <c r="AC221" s="75"/>
      <c r="AD221" s="70" t="s">
        <v>0</v>
      </c>
    </row>
    <row r="222" spans="1:30" s="76" customFormat="1" ht="75">
      <c r="A222" s="82">
        <f>+SUBTOTAL(3,$B$7:B222)</f>
        <v>216</v>
      </c>
      <c r="B222" s="95" t="s">
        <v>2100</v>
      </c>
      <c r="C222" s="82" t="s">
        <v>111</v>
      </c>
      <c r="D222" s="66" t="s">
        <v>210</v>
      </c>
      <c r="E222" s="82">
        <v>3</v>
      </c>
      <c r="F222" s="67">
        <v>306829085</v>
      </c>
      <c r="G222" s="66" t="s">
        <v>777</v>
      </c>
      <c r="H222" s="66" t="s">
        <v>778</v>
      </c>
      <c r="I222" s="66" t="s">
        <v>6</v>
      </c>
      <c r="J222" s="82" t="s">
        <v>65</v>
      </c>
      <c r="K222" s="67">
        <v>122400</v>
      </c>
      <c r="L222" s="82">
        <f t="shared" si="18"/>
        <v>0</v>
      </c>
      <c r="M222" s="67">
        <v>78000</v>
      </c>
      <c r="N222" s="82"/>
      <c r="O222" s="82">
        <f t="shared" si="16"/>
        <v>0</v>
      </c>
      <c r="P222" s="82">
        <f t="shared" si="17"/>
        <v>0</v>
      </c>
      <c r="Q222" s="67"/>
      <c r="R222" s="82"/>
      <c r="S222" s="67"/>
      <c r="T222" s="82"/>
      <c r="U222" s="67">
        <v>4200</v>
      </c>
      <c r="V222" s="82"/>
      <c r="W222" s="82" t="s">
        <v>1825</v>
      </c>
      <c r="X222" s="82" t="s">
        <v>1803</v>
      </c>
      <c r="Y222" s="19">
        <v>100</v>
      </c>
      <c r="Z222" s="82"/>
      <c r="AA222" s="69">
        <v>44348</v>
      </c>
      <c r="AB222" s="74"/>
      <c r="AC222" s="75"/>
      <c r="AD222" s="70" t="s">
        <v>3</v>
      </c>
    </row>
    <row r="223" spans="1:30" s="76" customFormat="1" ht="37.5">
      <c r="A223" s="82">
        <f>+SUBTOTAL(3,$B$7:B223)</f>
        <v>217</v>
      </c>
      <c r="B223" s="82" t="s">
        <v>444</v>
      </c>
      <c r="C223" s="82" t="s">
        <v>111</v>
      </c>
      <c r="D223" s="66" t="s">
        <v>210</v>
      </c>
      <c r="E223" s="82">
        <v>3</v>
      </c>
      <c r="F223" s="67">
        <v>306829085</v>
      </c>
      <c r="G223" s="66" t="s">
        <v>779</v>
      </c>
      <c r="H223" s="66" t="s">
        <v>780</v>
      </c>
      <c r="I223" s="66" t="s">
        <v>9</v>
      </c>
      <c r="J223" s="82" t="s">
        <v>40</v>
      </c>
      <c r="K223" s="67">
        <v>4000</v>
      </c>
      <c r="L223" s="82">
        <f t="shared" si="18"/>
        <v>700</v>
      </c>
      <c r="M223" s="67">
        <v>2000</v>
      </c>
      <c r="N223" s="82"/>
      <c r="O223" s="82">
        <f t="shared" si="16"/>
        <v>2000</v>
      </c>
      <c r="P223" s="82">
        <f t="shared" si="17"/>
        <v>700</v>
      </c>
      <c r="Q223" s="67">
        <v>2000</v>
      </c>
      <c r="R223" s="82">
        <v>700</v>
      </c>
      <c r="S223" s="67"/>
      <c r="T223" s="82"/>
      <c r="U223" s="67"/>
      <c r="V223" s="82"/>
      <c r="W223" s="82"/>
      <c r="X223" s="82" t="s">
        <v>1826</v>
      </c>
      <c r="Y223" s="19">
        <v>5</v>
      </c>
      <c r="Z223" s="82"/>
      <c r="AA223" s="69">
        <v>44317</v>
      </c>
      <c r="AB223" s="74"/>
      <c r="AC223" s="75"/>
      <c r="AD223" s="70" t="s">
        <v>3</v>
      </c>
    </row>
    <row r="224" spans="1:30" s="76" customFormat="1" ht="37.5">
      <c r="A224" s="82">
        <f>+SUBTOTAL(3,$B$7:B224)</f>
        <v>218</v>
      </c>
      <c r="B224" s="82" t="s">
        <v>444</v>
      </c>
      <c r="C224" s="82" t="s">
        <v>111</v>
      </c>
      <c r="D224" s="66" t="s">
        <v>210</v>
      </c>
      <c r="E224" s="82">
        <v>3</v>
      </c>
      <c r="F224" s="67" t="s">
        <v>1827</v>
      </c>
      <c r="G224" s="66" t="s">
        <v>781</v>
      </c>
      <c r="H224" s="66" t="s">
        <v>782</v>
      </c>
      <c r="I224" s="66" t="s">
        <v>9</v>
      </c>
      <c r="J224" s="82" t="s">
        <v>39</v>
      </c>
      <c r="K224" s="67">
        <v>4500</v>
      </c>
      <c r="L224" s="82">
        <f t="shared" si="18"/>
        <v>0</v>
      </c>
      <c r="M224" s="67">
        <v>4500</v>
      </c>
      <c r="N224" s="82"/>
      <c r="O224" s="82">
        <f t="shared" si="16"/>
        <v>0</v>
      </c>
      <c r="P224" s="82">
        <f t="shared" si="17"/>
        <v>0</v>
      </c>
      <c r="Q224" s="67">
        <v>0</v>
      </c>
      <c r="R224" s="82"/>
      <c r="S224" s="67">
        <v>0</v>
      </c>
      <c r="T224" s="82"/>
      <c r="U224" s="67"/>
      <c r="V224" s="82"/>
      <c r="W224" s="82"/>
      <c r="X224" s="82"/>
      <c r="Y224" s="19">
        <v>40</v>
      </c>
      <c r="Z224" s="82"/>
      <c r="AA224" s="69">
        <v>44531</v>
      </c>
      <c r="AB224" s="74"/>
      <c r="AC224" s="75"/>
      <c r="AD224" s="70" t="s">
        <v>3</v>
      </c>
    </row>
    <row r="225" spans="1:30" s="76" customFormat="1" ht="75">
      <c r="A225" s="82">
        <f>+SUBTOTAL(3,$B$7:B225)</f>
        <v>219</v>
      </c>
      <c r="B225" s="82" t="s">
        <v>444</v>
      </c>
      <c r="C225" s="82" t="s">
        <v>111</v>
      </c>
      <c r="D225" s="66" t="s">
        <v>210</v>
      </c>
      <c r="E225" s="82">
        <v>1</v>
      </c>
      <c r="F225" s="67" t="s">
        <v>1828</v>
      </c>
      <c r="G225" s="66" t="s">
        <v>783</v>
      </c>
      <c r="H225" s="66" t="s">
        <v>784</v>
      </c>
      <c r="I225" s="66" t="s">
        <v>6</v>
      </c>
      <c r="J225" s="82" t="s">
        <v>13</v>
      </c>
      <c r="K225" s="67">
        <v>41000</v>
      </c>
      <c r="L225" s="82">
        <f t="shared" si="18"/>
        <v>3957</v>
      </c>
      <c r="M225" s="67">
        <v>17000</v>
      </c>
      <c r="N225" s="82"/>
      <c r="O225" s="82">
        <f t="shared" si="16"/>
        <v>24000</v>
      </c>
      <c r="P225" s="82">
        <f t="shared" si="17"/>
        <v>3957</v>
      </c>
      <c r="Q225" s="67">
        <v>24000</v>
      </c>
      <c r="R225" s="82">
        <v>3957</v>
      </c>
      <c r="S225" s="67">
        <v>0</v>
      </c>
      <c r="T225" s="82"/>
      <c r="U225" s="67">
        <v>0</v>
      </c>
      <c r="V225" s="82"/>
      <c r="W225" s="82"/>
      <c r="X225" s="82"/>
      <c r="Y225" s="19">
        <v>110</v>
      </c>
      <c r="Z225" s="82"/>
      <c r="AA225" s="69">
        <v>44256</v>
      </c>
      <c r="AB225" s="74"/>
      <c r="AC225" s="75"/>
      <c r="AD225" s="70" t="s">
        <v>3</v>
      </c>
    </row>
    <row r="226" spans="1:30" s="76" customFormat="1" ht="37.5">
      <c r="A226" s="82">
        <f>+SUBTOTAL(3,$B$7:B226)</f>
        <v>220</v>
      </c>
      <c r="B226" s="82" t="s">
        <v>444</v>
      </c>
      <c r="C226" s="82" t="s">
        <v>111</v>
      </c>
      <c r="D226" s="66" t="s">
        <v>210</v>
      </c>
      <c r="E226" s="82">
        <v>3</v>
      </c>
      <c r="F226" s="67" t="s">
        <v>1829</v>
      </c>
      <c r="G226" s="66" t="s">
        <v>785</v>
      </c>
      <c r="H226" s="66" t="s">
        <v>786</v>
      </c>
      <c r="I226" s="66" t="s">
        <v>9</v>
      </c>
      <c r="J226" s="82" t="s">
        <v>40</v>
      </c>
      <c r="K226" s="67">
        <v>8500</v>
      </c>
      <c r="L226" s="82">
        <f t="shared" si="18"/>
        <v>2000</v>
      </c>
      <c r="M226" s="67">
        <v>5500</v>
      </c>
      <c r="N226" s="82">
        <v>500</v>
      </c>
      <c r="O226" s="82">
        <f t="shared" si="16"/>
        <v>3000</v>
      </c>
      <c r="P226" s="82">
        <f t="shared" si="17"/>
        <v>1500</v>
      </c>
      <c r="Q226" s="67">
        <v>3000</v>
      </c>
      <c r="R226" s="82">
        <v>1500</v>
      </c>
      <c r="S226" s="67"/>
      <c r="T226" s="82"/>
      <c r="U226" s="67"/>
      <c r="V226" s="82"/>
      <c r="W226" s="82"/>
      <c r="X226" s="82"/>
      <c r="Y226" s="19">
        <v>20</v>
      </c>
      <c r="Z226" s="82">
        <v>10</v>
      </c>
      <c r="AA226" s="69">
        <v>44166</v>
      </c>
      <c r="AB226" s="74">
        <v>44168</v>
      </c>
      <c r="AC226" s="75" t="s">
        <v>2035</v>
      </c>
      <c r="AD226" s="70" t="s">
        <v>3</v>
      </c>
    </row>
    <row r="227" spans="1:30" s="76" customFormat="1" ht="37.5">
      <c r="A227" s="82">
        <f>+SUBTOTAL(3,$B$7:B227)</f>
        <v>221</v>
      </c>
      <c r="B227" s="82" t="s">
        <v>444</v>
      </c>
      <c r="C227" s="82" t="s">
        <v>111</v>
      </c>
      <c r="D227" s="66" t="s">
        <v>210</v>
      </c>
      <c r="E227" s="82">
        <v>2</v>
      </c>
      <c r="F227" s="67">
        <v>306120700</v>
      </c>
      <c r="G227" s="66" t="s">
        <v>787</v>
      </c>
      <c r="H227" s="66" t="s">
        <v>788</v>
      </c>
      <c r="I227" s="66" t="s">
        <v>9</v>
      </c>
      <c r="J227" s="82" t="s">
        <v>40</v>
      </c>
      <c r="K227" s="67">
        <v>200</v>
      </c>
      <c r="L227" s="82">
        <f t="shared" si="18"/>
        <v>136</v>
      </c>
      <c r="M227" s="67">
        <v>50</v>
      </c>
      <c r="N227" s="82"/>
      <c r="O227" s="82">
        <f t="shared" si="16"/>
        <v>150</v>
      </c>
      <c r="P227" s="82">
        <f t="shared" si="17"/>
        <v>136</v>
      </c>
      <c r="Q227" s="67">
        <v>150</v>
      </c>
      <c r="R227" s="82">
        <v>136</v>
      </c>
      <c r="S227" s="67"/>
      <c r="T227" s="82"/>
      <c r="U227" s="67"/>
      <c r="V227" s="82"/>
      <c r="W227" s="82"/>
      <c r="X227" s="82"/>
      <c r="Y227" s="19">
        <v>2</v>
      </c>
      <c r="Z227" s="82"/>
      <c r="AA227" s="18">
        <v>44256</v>
      </c>
      <c r="AB227" s="74"/>
      <c r="AC227" s="75"/>
      <c r="AD227" s="70" t="s">
        <v>3</v>
      </c>
    </row>
    <row r="228" spans="1:30" s="76" customFormat="1" ht="37.5">
      <c r="A228" s="82">
        <f>+SUBTOTAL(3,$B$7:B228)</f>
        <v>222</v>
      </c>
      <c r="B228" s="82" t="s">
        <v>444</v>
      </c>
      <c r="C228" s="82" t="s">
        <v>111</v>
      </c>
      <c r="D228" s="66" t="s">
        <v>210</v>
      </c>
      <c r="E228" s="82">
        <v>1</v>
      </c>
      <c r="F228" s="67" t="s">
        <v>1830</v>
      </c>
      <c r="G228" s="66" t="s">
        <v>789</v>
      </c>
      <c r="H228" s="66" t="s">
        <v>131</v>
      </c>
      <c r="I228" s="66" t="s">
        <v>9</v>
      </c>
      <c r="J228" s="82" t="s">
        <v>37</v>
      </c>
      <c r="K228" s="67">
        <v>225</v>
      </c>
      <c r="L228" s="82">
        <f t="shared" si="18"/>
        <v>0</v>
      </c>
      <c r="M228" s="67">
        <v>75</v>
      </c>
      <c r="N228" s="82"/>
      <c r="O228" s="82">
        <f t="shared" si="16"/>
        <v>150</v>
      </c>
      <c r="P228" s="82">
        <f t="shared" si="17"/>
        <v>0</v>
      </c>
      <c r="Q228" s="67">
        <v>150</v>
      </c>
      <c r="R228" s="82"/>
      <c r="S228" s="67"/>
      <c r="T228" s="82"/>
      <c r="U228" s="67"/>
      <c r="V228" s="82"/>
      <c r="W228" s="82"/>
      <c r="X228" s="82"/>
      <c r="Y228" s="19">
        <v>4</v>
      </c>
      <c r="Z228" s="82"/>
      <c r="AA228" s="69">
        <v>44531</v>
      </c>
      <c r="AB228" s="74"/>
      <c r="AC228" s="75"/>
      <c r="AD228" s="70" t="s">
        <v>3</v>
      </c>
    </row>
    <row r="229" spans="1:30" s="76" customFormat="1" ht="37.5">
      <c r="A229" s="82">
        <f>+SUBTOTAL(3,$B$7:B229)</f>
        <v>223</v>
      </c>
      <c r="B229" s="82" t="s">
        <v>444</v>
      </c>
      <c r="C229" s="82" t="s">
        <v>111</v>
      </c>
      <c r="D229" s="66" t="s">
        <v>210</v>
      </c>
      <c r="E229" s="82">
        <v>1</v>
      </c>
      <c r="F229" s="67">
        <v>304766863</v>
      </c>
      <c r="G229" s="66" t="s">
        <v>790</v>
      </c>
      <c r="H229" s="66" t="s">
        <v>788</v>
      </c>
      <c r="I229" s="66" t="s">
        <v>9</v>
      </c>
      <c r="J229" s="82" t="s">
        <v>40</v>
      </c>
      <c r="K229" s="67">
        <v>350</v>
      </c>
      <c r="L229" s="82">
        <f t="shared" si="18"/>
        <v>330</v>
      </c>
      <c r="M229" s="67">
        <v>100</v>
      </c>
      <c r="N229" s="82">
        <v>100</v>
      </c>
      <c r="O229" s="82">
        <f t="shared" si="16"/>
        <v>250</v>
      </c>
      <c r="P229" s="82">
        <f t="shared" si="17"/>
        <v>230</v>
      </c>
      <c r="Q229" s="67">
        <v>250</v>
      </c>
      <c r="R229" s="82">
        <v>230</v>
      </c>
      <c r="S229" s="67"/>
      <c r="T229" s="82"/>
      <c r="U229" s="67"/>
      <c r="V229" s="82"/>
      <c r="W229" s="82"/>
      <c r="X229" s="82"/>
      <c r="Y229" s="68">
        <v>8</v>
      </c>
      <c r="Z229" s="82">
        <v>5</v>
      </c>
      <c r="AA229" s="69">
        <v>44175</v>
      </c>
      <c r="AB229" s="74">
        <v>44181</v>
      </c>
      <c r="AC229" s="75" t="s">
        <v>2004</v>
      </c>
      <c r="AD229" s="70" t="s">
        <v>3</v>
      </c>
    </row>
    <row r="230" spans="1:30" s="76" customFormat="1" ht="37.5">
      <c r="A230" s="82">
        <f>+SUBTOTAL(3,$B$7:B230)</f>
        <v>224</v>
      </c>
      <c r="B230" s="82" t="s">
        <v>444</v>
      </c>
      <c r="C230" s="82" t="s">
        <v>111</v>
      </c>
      <c r="D230" s="66" t="s">
        <v>210</v>
      </c>
      <c r="E230" s="82">
        <v>3</v>
      </c>
      <c r="F230" s="67">
        <v>306222842</v>
      </c>
      <c r="G230" s="66" t="s">
        <v>791</v>
      </c>
      <c r="H230" s="66" t="s">
        <v>792</v>
      </c>
      <c r="I230" s="66" t="s">
        <v>10</v>
      </c>
      <c r="J230" s="82" t="s">
        <v>30</v>
      </c>
      <c r="K230" s="67">
        <v>350</v>
      </c>
      <c r="L230" s="82">
        <f t="shared" si="18"/>
        <v>0</v>
      </c>
      <c r="M230" s="67">
        <v>350</v>
      </c>
      <c r="N230" s="82"/>
      <c r="O230" s="82">
        <f t="shared" si="16"/>
        <v>0</v>
      </c>
      <c r="P230" s="82">
        <f t="shared" si="17"/>
        <v>0</v>
      </c>
      <c r="Q230" s="67">
        <v>0</v>
      </c>
      <c r="R230" s="82"/>
      <c r="S230" s="67"/>
      <c r="T230" s="82"/>
      <c r="U230" s="67"/>
      <c r="V230" s="82"/>
      <c r="W230" s="82"/>
      <c r="X230" s="82"/>
      <c r="Y230" s="19">
        <v>6</v>
      </c>
      <c r="Z230" s="82"/>
      <c r="AA230" s="69">
        <v>44531</v>
      </c>
      <c r="AB230" s="74"/>
      <c r="AC230" s="75"/>
      <c r="AD230" s="70" t="s">
        <v>3</v>
      </c>
    </row>
    <row r="231" spans="1:30" s="76" customFormat="1" ht="37.5">
      <c r="A231" s="82">
        <f>+SUBTOTAL(3,$B$7:B231)</f>
        <v>225</v>
      </c>
      <c r="B231" s="82" t="s">
        <v>444</v>
      </c>
      <c r="C231" s="82" t="s">
        <v>111</v>
      </c>
      <c r="D231" s="66" t="s">
        <v>210</v>
      </c>
      <c r="E231" s="82">
        <v>1</v>
      </c>
      <c r="F231" s="67" t="s">
        <v>1828</v>
      </c>
      <c r="G231" s="66" t="s">
        <v>793</v>
      </c>
      <c r="H231" s="66" t="s">
        <v>794</v>
      </c>
      <c r="I231" s="66" t="s">
        <v>6</v>
      </c>
      <c r="J231" s="82" t="s">
        <v>54</v>
      </c>
      <c r="K231" s="67">
        <v>400</v>
      </c>
      <c r="L231" s="82">
        <f t="shared" si="18"/>
        <v>0</v>
      </c>
      <c r="M231" s="67">
        <v>200</v>
      </c>
      <c r="N231" s="82"/>
      <c r="O231" s="82">
        <f t="shared" si="16"/>
        <v>200</v>
      </c>
      <c r="P231" s="82">
        <f t="shared" si="17"/>
        <v>0</v>
      </c>
      <c r="Q231" s="67">
        <v>200</v>
      </c>
      <c r="R231" s="82"/>
      <c r="S231" s="67"/>
      <c r="T231" s="82"/>
      <c r="U231" s="67"/>
      <c r="V231" s="82"/>
      <c r="W231" s="82"/>
      <c r="X231" s="82"/>
      <c r="Y231" s="19">
        <v>2</v>
      </c>
      <c r="Z231" s="82"/>
      <c r="AA231" s="69">
        <v>44470</v>
      </c>
      <c r="AB231" s="74"/>
      <c r="AC231" s="75"/>
      <c r="AD231" s="70" t="s">
        <v>3</v>
      </c>
    </row>
    <row r="232" spans="1:30" s="76" customFormat="1" ht="37.5">
      <c r="A232" s="82">
        <f>+SUBTOTAL(3,$B$7:B232)</f>
        <v>226</v>
      </c>
      <c r="B232" s="82" t="s">
        <v>444</v>
      </c>
      <c r="C232" s="82" t="s">
        <v>111</v>
      </c>
      <c r="D232" s="66" t="s">
        <v>210</v>
      </c>
      <c r="E232" s="82">
        <v>4</v>
      </c>
      <c r="F232" s="67">
        <v>206090727</v>
      </c>
      <c r="G232" s="66" t="s">
        <v>795</v>
      </c>
      <c r="H232" s="66" t="s">
        <v>796</v>
      </c>
      <c r="I232" s="66" t="s">
        <v>9</v>
      </c>
      <c r="J232" s="82" t="s">
        <v>40</v>
      </c>
      <c r="K232" s="67">
        <v>600</v>
      </c>
      <c r="L232" s="82">
        <f t="shared" si="18"/>
        <v>0</v>
      </c>
      <c r="M232" s="67">
        <v>250</v>
      </c>
      <c r="N232" s="82"/>
      <c r="O232" s="82">
        <f t="shared" si="16"/>
        <v>350</v>
      </c>
      <c r="P232" s="82">
        <f t="shared" si="17"/>
        <v>0</v>
      </c>
      <c r="Q232" s="67">
        <v>350</v>
      </c>
      <c r="R232" s="82"/>
      <c r="S232" s="67"/>
      <c r="T232" s="82"/>
      <c r="U232" s="67"/>
      <c r="V232" s="82"/>
      <c r="W232" s="82"/>
      <c r="X232" s="82"/>
      <c r="Y232" s="19">
        <v>4</v>
      </c>
      <c r="Z232" s="82"/>
      <c r="AA232" s="69">
        <v>44531</v>
      </c>
      <c r="AB232" s="74"/>
      <c r="AC232" s="75"/>
      <c r="AD232" s="70" t="s">
        <v>3</v>
      </c>
    </row>
    <row r="233" spans="1:30" s="76" customFormat="1" ht="37.5">
      <c r="A233" s="82">
        <f>+SUBTOTAL(3,$B$7:B233)</f>
        <v>227</v>
      </c>
      <c r="B233" s="82" t="s">
        <v>444</v>
      </c>
      <c r="C233" s="82" t="s">
        <v>111</v>
      </c>
      <c r="D233" s="66" t="s">
        <v>210</v>
      </c>
      <c r="E233" s="82">
        <v>2</v>
      </c>
      <c r="F233" s="67" t="s">
        <v>1831</v>
      </c>
      <c r="G233" s="66" t="s">
        <v>797</v>
      </c>
      <c r="H233" s="66" t="s">
        <v>798</v>
      </c>
      <c r="I233" s="66" t="s">
        <v>10</v>
      </c>
      <c r="J233" s="82" t="s">
        <v>60</v>
      </c>
      <c r="K233" s="67">
        <v>750</v>
      </c>
      <c r="L233" s="82">
        <f t="shared" si="18"/>
        <v>0</v>
      </c>
      <c r="M233" s="67">
        <v>250</v>
      </c>
      <c r="N233" s="82"/>
      <c r="O233" s="82">
        <f t="shared" si="16"/>
        <v>500</v>
      </c>
      <c r="P233" s="82">
        <f t="shared" si="17"/>
        <v>0</v>
      </c>
      <c r="Q233" s="67">
        <v>500</v>
      </c>
      <c r="R233" s="82"/>
      <c r="S233" s="67"/>
      <c r="T233" s="82"/>
      <c r="U233" s="67"/>
      <c r="V233" s="82"/>
      <c r="W233" s="82"/>
      <c r="X233" s="82"/>
      <c r="Y233" s="19">
        <v>7</v>
      </c>
      <c r="Z233" s="82"/>
      <c r="AA233" s="69">
        <v>44501</v>
      </c>
      <c r="AB233" s="74"/>
      <c r="AC233" s="75"/>
      <c r="AD233" s="70" t="s">
        <v>3</v>
      </c>
    </row>
    <row r="234" spans="1:30" s="76" customFormat="1" ht="37.5">
      <c r="A234" s="82">
        <f>+SUBTOTAL(3,$B$7:B234)</f>
        <v>228</v>
      </c>
      <c r="B234" s="82" t="s">
        <v>444</v>
      </c>
      <c r="C234" s="82" t="s">
        <v>111</v>
      </c>
      <c r="D234" s="66" t="s">
        <v>210</v>
      </c>
      <c r="E234" s="82">
        <v>1</v>
      </c>
      <c r="F234" s="67" t="s">
        <v>1832</v>
      </c>
      <c r="G234" s="66" t="s">
        <v>799</v>
      </c>
      <c r="H234" s="66" t="s">
        <v>540</v>
      </c>
      <c r="I234" s="66" t="s">
        <v>10</v>
      </c>
      <c r="J234" s="82" t="s">
        <v>45</v>
      </c>
      <c r="K234" s="67">
        <v>1400</v>
      </c>
      <c r="L234" s="82">
        <f t="shared" si="18"/>
        <v>0</v>
      </c>
      <c r="M234" s="67">
        <v>420</v>
      </c>
      <c r="N234" s="82"/>
      <c r="O234" s="82">
        <f t="shared" si="16"/>
        <v>980</v>
      </c>
      <c r="P234" s="82">
        <f t="shared" si="17"/>
        <v>0</v>
      </c>
      <c r="Q234" s="67">
        <v>980</v>
      </c>
      <c r="R234" s="82"/>
      <c r="S234" s="67"/>
      <c r="T234" s="82"/>
      <c r="U234" s="67"/>
      <c r="V234" s="82"/>
      <c r="W234" s="82"/>
      <c r="X234" s="82"/>
      <c r="Y234" s="19">
        <v>2</v>
      </c>
      <c r="Z234" s="82"/>
      <c r="AA234" s="69">
        <v>44409</v>
      </c>
      <c r="AB234" s="74"/>
      <c r="AC234" s="75"/>
      <c r="AD234" s="70" t="s">
        <v>3</v>
      </c>
    </row>
    <row r="235" spans="1:30" s="76" customFormat="1" ht="37.5">
      <c r="A235" s="82">
        <f>+SUBTOTAL(3,$B$7:B235)</f>
        <v>229</v>
      </c>
      <c r="B235" s="82" t="s">
        <v>444</v>
      </c>
      <c r="C235" s="82" t="s">
        <v>111</v>
      </c>
      <c r="D235" s="66" t="s">
        <v>210</v>
      </c>
      <c r="E235" s="82">
        <v>1</v>
      </c>
      <c r="F235" s="67">
        <v>306101992</v>
      </c>
      <c r="G235" s="66" t="s">
        <v>800</v>
      </c>
      <c r="H235" s="66" t="s">
        <v>801</v>
      </c>
      <c r="I235" s="66" t="s">
        <v>9</v>
      </c>
      <c r="J235" s="82" t="s">
        <v>38</v>
      </c>
      <c r="K235" s="67">
        <v>1710</v>
      </c>
      <c r="L235" s="82">
        <f t="shared" si="18"/>
        <v>760</v>
      </c>
      <c r="M235" s="67">
        <v>750</v>
      </c>
      <c r="N235" s="82"/>
      <c r="O235" s="82">
        <f t="shared" si="16"/>
        <v>960</v>
      </c>
      <c r="P235" s="82">
        <f t="shared" si="17"/>
        <v>760</v>
      </c>
      <c r="Q235" s="67">
        <v>960</v>
      </c>
      <c r="R235" s="82">
        <v>760</v>
      </c>
      <c r="S235" s="67"/>
      <c r="T235" s="82"/>
      <c r="U235" s="67"/>
      <c r="V235" s="82"/>
      <c r="W235" s="82"/>
      <c r="X235" s="82"/>
      <c r="Y235" s="19">
        <v>5</v>
      </c>
      <c r="Z235" s="82"/>
      <c r="AA235" s="69">
        <v>44256</v>
      </c>
      <c r="AB235" s="74"/>
      <c r="AC235" s="75"/>
      <c r="AD235" s="70" t="s">
        <v>3</v>
      </c>
    </row>
    <row r="236" spans="1:30" s="76" customFormat="1" ht="37.5">
      <c r="A236" s="82">
        <f>+SUBTOTAL(3,$B$7:B236)</f>
        <v>230</v>
      </c>
      <c r="B236" s="82" t="s">
        <v>444</v>
      </c>
      <c r="C236" s="82" t="s">
        <v>111</v>
      </c>
      <c r="D236" s="66" t="s">
        <v>210</v>
      </c>
      <c r="E236" s="82">
        <v>3</v>
      </c>
      <c r="F236" s="67">
        <v>304506759</v>
      </c>
      <c r="G236" s="66" t="s">
        <v>802</v>
      </c>
      <c r="H236" s="66" t="s">
        <v>803</v>
      </c>
      <c r="I236" s="66" t="s">
        <v>10</v>
      </c>
      <c r="J236" s="82" t="s">
        <v>58</v>
      </c>
      <c r="K236" s="67">
        <v>35000</v>
      </c>
      <c r="L236" s="82">
        <f t="shared" ref="L236:L267" si="19">+N236+R236+T236*10.2+V236*10.2</f>
        <v>0</v>
      </c>
      <c r="M236" s="67">
        <v>10000</v>
      </c>
      <c r="N236" s="82"/>
      <c r="O236" s="82">
        <f t="shared" si="16"/>
        <v>25000</v>
      </c>
      <c r="P236" s="82">
        <f t="shared" si="17"/>
        <v>0</v>
      </c>
      <c r="Q236" s="67">
        <v>25000</v>
      </c>
      <c r="R236" s="82"/>
      <c r="S236" s="67"/>
      <c r="T236" s="82"/>
      <c r="U236" s="67"/>
      <c r="V236" s="82"/>
      <c r="W236" s="82"/>
      <c r="X236" s="82"/>
      <c r="Y236" s="19">
        <v>20</v>
      </c>
      <c r="Z236" s="82"/>
      <c r="AA236" s="69">
        <v>44896</v>
      </c>
      <c r="AB236" s="74"/>
      <c r="AC236" s="75"/>
      <c r="AD236" s="70" t="s">
        <v>3</v>
      </c>
    </row>
    <row r="237" spans="1:30" s="76" customFormat="1" ht="37.5">
      <c r="A237" s="82">
        <f>+SUBTOTAL(3,$B$7:B237)</f>
        <v>231</v>
      </c>
      <c r="B237" s="82" t="s">
        <v>444</v>
      </c>
      <c r="C237" s="82" t="s">
        <v>111</v>
      </c>
      <c r="D237" s="66" t="s">
        <v>210</v>
      </c>
      <c r="E237" s="82">
        <v>1</v>
      </c>
      <c r="F237" s="67" t="s">
        <v>1833</v>
      </c>
      <c r="G237" s="66" t="s">
        <v>804</v>
      </c>
      <c r="H237" s="66" t="s">
        <v>805</v>
      </c>
      <c r="I237" s="66" t="s">
        <v>6</v>
      </c>
      <c r="J237" s="82" t="s">
        <v>34</v>
      </c>
      <c r="K237" s="67">
        <v>1500</v>
      </c>
      <c r="L237" s="82">
        <f t="shared" si="19"/>
        <v>0</v>
      </c>
      <c r="M237" s="67">
        <v>800</v>
      </c>
      <c r="N237" s="82"/>
      <c r="O237" s="82">
        <f t="shared" si="16"/>
        <v>700</v>
      </c>
      <c r="P237" s="82">
        <f t="shared" si="17"/>
        <v>0</v>
      </c>
      <c r="Q237" s="67">
        <v>700</v>
      </c>
      <c r="R237" s="82"/>
      <c r="S237" s="67"/>
      <c r="T237" s="82"/>
      <c r="U237" s="67"/>
      <c r="V237" s="82"/>
      <c r="W237" s="82"/>
      <c r="X237" s="82"/>
      <c r="Y237" s="19">
        <v>15</v>
      </c>
      <c r="Z237" s="82"/>
      <c r="AA237" s="69">
        <v>44682</v>
      </c>
      <c r="AB237" s="74"/>
      <c r="AC237" s="75"/>
      <c r="AD237" s="70" t="s">
        <v>446</v>
      </c>
    </row>
    <row r="238" spans="1:30" s="76" customFormat="1" ht="37.5">
      <c r="A238" s="82">
        <f>+SUBTOTAL(3,$B$7:B238)</f>
        <v>232</v>
      </c>
      <c r="B238" s="82" t="s">
        <v>444</v>
      </c>
      <c r="C238" s="82" t="s">
        <v>111</v>
      </c>
      <c r="D238" s="66" t="s">
        <v>210</v>
      </c>
      <c r="E238" s="82">
        <v>3</v>
      </c>
      <c r="F238" s="67">
        <v>300381324</v>
      </c>
      <c r="G238" s="66" t="s">
        <v>806</v>
      </c>
      <c r="H238" s="66" t="s">
        <v>753</v>
      </c>
      <c r="I238" s="66" t="s">
        <v>10</v>
      </c>
      <c r="J238" s="82" t="s">
        <v>45</v>
      </c>
      <c r="K238" s="67">
        <v>4000</v>
      </c>
      <c r="L238" s="82">
        <f t="shared" si="19"/>
        <v>0</v>
      </c>
      <c r="M238" s="67">
        <v>3000</v>
      </c>
      <c r="N238" s="82"/>
      <c r="O238" s="82">
        <f t="shared" si="16"/>
        <v>1000</v>
      </c>
      <c r="P238" s="82">
        <f t="shared" si="17"/>
        <v>0</v>
      </c>
      <c r="Q238" s="67">
        <v>1000</v>
      </c>
      <c r="R238" s="82"/>
      <c r="S238" s="67"/>
      <c r="T238" s="82"/>
      <c r="U238" s="67"/>
      <c r="V238" s="82"/>
      <c r="W238" s="82"/>
      <c r="X238" s="82"/>
      <c r="Y238" s="19">
        <v>10</v>
      </c>
      <c r="Z238" s="82"/>
      <c r="AA238" s="69">
        <v>44713</v>
      </c>
      <c r="AB238" s="74"/>
      <c r="AC238" s="75"/>
      <c r="AD238" s="70" t="s">
        <v>446</v>
      </c>
    </row>
    <row r="239" spans="1:30" s="76" customFormat="1" ht="37.5">
      <c r="A239" s="82">
        <f>+SUBTOTAL(3,$B$7:B239)</f>
        <v>233</v>
      </c>
      <c r="B239" s="82" t="s">
        <v>444</v>
      </c>
      <c r="C239" s="82" t="s">
        <v>111</v>
      </c>
      <c r="D239" s="66" t="s">
        <v>210</v>
      </c>
      <c r="E239" s="82">
        <v>2</v>
      </c>
      <c r="F239" s="67">
        <v>203115251</v>
      </c>
      <c r="G239" s="66" t="s">
        <v>807</v>
      </c>
      <c r="H239" s="66" t="s">
        <v>808</v>
      </c>
      <c r="I239" s="66" t="s">
        <v>10</v>
      </c>
      <c r="J239" s="82" t="s">
        <v>66</v>
      </c>
      <c r="K239" s="67">
        <v>2500</v>
      </c>
      <c r="L239" s="82">
        <f t="shared" si="19"/>
        <v>0</v>
      </c>
      <c r="M239" s="67">
        <v>1700</v>
      </c>
      <c r="N239" s="82"/>
      <c r="O239" s="82">
        <f t="shared" si="16"/>
        <v>800</v>
      </c>
      <c r="P239" s="82">
        <f t="shared" si="17"/>
        <v>0</v>
      </c>
      <c r="Q239" s="67">
        <v>800</v>
      </c>
      <c r="R239" s="82"/>
      <c r="S239" s="67"/>
      <c r="T239" s="82"/>
      <c r="U239" s="67"/>
      <c r="V239" s="82"/>
      <c r="W239" s="82"/>
      <c r="X239" s="82"/>
      <c r="Y239" s="19">
        <v>20</v>
      </c>
      <c r="Z239" s="82"/>
      <c r="AA239" s="69">
        <v>44470</v>
      </c>
      <c r="AB239" s="74"/>
      <c r="AC239" s="75"/>
      <c r="AD239" s="70" t="s">
        <v>446</v>
      </c>
    </row>
    <row r="240" spans="1:30" s="76" customFormat="1" ht="37.5">
      <c r="A240" s="82">
        <f>+SUBTOTAL(3,$B$7:B240)</f>
        <v>234</v>
      </c>
      <c r="B240" s="82" t="s">
        <v>444</v>
      </c>
      <c r="C240" s="82" t="s">
        <v>111</v>
      </c>
      <c r="D240" s="66" t="s">
        <v>210</v>
      </c>
      <c r="E240" s="82">
        <v>2</v>
      </c>
      <c r="F240" s="67" t="s">
        <v>1834</v>
      </c>
      <c r="G240" s="66" t="s">
        <v>809</v>
      </c>
      <c r="H240" s="66" t="s">
        <v>810</v>
      </c>
      <c r="I240" s="66" t="s">
        <v>6</v>
      </c>
      <c r="J240" s="82" t="s">
        <v>13</v>
      </c>
      <c r="K240" s="67">
        <v>10340</v>
      </c>
      <c r="L240" s="82">
        <f t="shared" si="19"/>
        <v>0</v>
      </c>
      <c r="M240" s="67">
        <v>940</v>
      </c>
      <c r="N240" s="82"/>
      <c r="O240" s="82">
        <f t="shared" si="16"/>
        <v>9400</v>
      </c>
      <c r="P240" s="82">
        <f t="shared" si="17"/>
        <v>0</v>
      </c>
      <c r="Q240" s="67">
        <v>9400</v>
      </c>
      <c r="R240" s="82"/>
      <c r="S240" s="67"/>
      <c r="T240" s="82"/>
      <c r="U240" s="67"/>
      <c r="V240" s="82"/>
      <c r="W240" s="82"/>
      <c r="X240" s="82"/>
      <c r="Y240" s="19">
        <v>40</v>
      </c>
      <c r="Z240" s="82"/>
      <c r="AA240" s="69">
        <v>44805</v>
      </c>
      <c r="AB240" s="74"/>
      <c r="AC240" s="75"/>
      <c r="AD240" s="70" t="s">
        <v>460</v>
      </c>
    </row>
    <row r="241" spans="1:30" s="76" customFormat="1" ht="37.5">
      <c r="A241" s="82">
        <f>+SUBTOTAL(3,$B$7:B241)</f>
        <v>235</v>
      </c>
      <c r="B241" s="82" t="s">
        <v>444</v>
      </c>
      <c r="C241" s="82" t="s">
        <v>111</v>
      </c>
      <c r="D241" s="66" t="s">
        <v>210</v>
      </c>
      <c r="E241" s="82">
        <v>2</v>
      </c>
      <c r="F241" s="67">
        <v>306564568</v>
      </c>
      <c r="G241" s="66" t="s">
        <v>811</v>
      </c>
      <c r="H241" s="66" t="s">
        <v>812</v>
      </c>
      <c r="I241" s="66" t="s">
        <v>6</v>
      </c>
      <c r="J241" s="82" t="s">
        <v>49</v>
      </c>
      <c r="K241" s="67">
        <v>1800</v>
      </c>
      <c r="L241" s="82">
        <f t="shared" si="19"/>
        <v>800</v>
      </c>
      <c r="M241" s="67">
        <v>300</v>
      </c>
      <c r="N241" s="82"/>
      <c r="O241" s="82">
        <f t="shared" si="16"/>
        <v>1500</v>
      </c>
      <c r="P241" s="82">
        <f t="shared" si="17"/>
        <v>800</v>
      </c>
      <c r="Q241" s="67">
        <v>1500</v>
      </c>
      <c r="R241" s="82">
        <v>800</v>
      </c>
      <c r="S241" s="67"/>
      <c r="T241" s="82"/>
      <c r="U241" s="67"/>
      <c r="V241" s="82"/>
      <c r="W241" s="82"/>
      <c r="X241" s="82"/>
      <c r="Y241" s="19">
        <v>20</v>
      </c>
      <c r="Z241" s="82"/>
      <c r="AA241" s="69">
        <v>44348</v>
      </c>
      <c r="AB241" s="74"/>
      <c r="AC241" s="75"/>
      <c r="AD241" s="70" t="s">
        <v>460</v>
      </c>
    </row>
    <row r="242" spans="1:30" s="76" customFormat="1" ht="37.5">
      <c r="A242" s="82">
        <f>+SUBTOTAL(3,$B$7:B242)</f>
        <v>236</v>
      </c>
      <c r="B242" s="82" t="s">
        <v>444</v>
      </c>
      <c r="C242" s="82" t="s">
        <v>111</v>
      </c>
      <c r="D242" s="66" t="s">
        <v>210</v>
      </c>
      <c r="E242" s="82">
        <v>4</v>
      </c>
      <c r="F242" s="67">
        <v>306417979</v>
      </c>
      <c r="G242" s="66" t="s">
        <v>813</v>
      </c>
      <c r="H242" s="66" t="s">
        <v>112</v>
      </c>
      <c r="I242" s="66" t="s">
        <v>6</v>
      </c>
      <c r="J242" s="82" t="s">
        <v>13</v>
      </c>
      <c r="K242" s="67">
        <v>5225</v>
      </c>
      <c r="L242" s="82">
        <f t="shared" si="19"/>
        <v>0</v>
      </c>
      <c r="M242" s="67"/>
      <c r="N242" s="82"/>
      <c r="O242" s="82">
        <f t="shared" si="16"/>
        <v>0</v>
      </c>
      <c r="P242" s="82">
        <f t="shared" si="17"/>
        <v>0</v>
      </c>
      <c r="Q242" s="67"/>
      <c r="R242" s="82"/>
      <c r="S242" s="67"/>
      <c r="T242" s="82"/>
      <c r="U242" s="67">
        <v>550</v>
      </c>
      <c r="V242" s="82"/>
      <c r="W242" s="82" t="s">
        <v>1835</v>
      </c>
      <c r="X242" s="82" t="s">
        <v>1826</v>
      </c>
      <c r="Y242" s="19">
        <v>15</v>
      </c>
      <c r="Z242" s="82"/>
      <c r="AA242" s="69">
        <v>44470</v>
      </c>
      <c r="AB242" s="74"/>
      <c r="AC242" s="75"/>
      <c r="AD242" s="70" t="s">
        <v>460</v>
      </c>
    </row>
    <row r="243" spans="1:30" s="76" customFormat="1" ht="56.25">
      <c r="A243" s="82">
        <f>+SUBTOTAL(3,$B$7:B243)</f>
        <v>237</v>
      </c>
      <c r="B243" s="82" t="s">
        <v>444</v>
      </c>
      <c r="C243" s="82" t="s">
        <v>111</v>
      </c>
      <c r="D243" s="66" t="s">
        <v>210</v>
      </c>
      <c r="E243" s="82">
        <v>3</v>
      </c>
      <c r="F243" s="67">
        <v>305468655</v>
      </c>
      <c r="G243" s="66" t="s">
        <v>814</v>
      </c>
      <c r="H243" s="66" t="s">
        <v>815</v>
      </c>
      <c r="I243" s="66" t="s">
        <v>10</v>
      </c>
      <c r="J243" s="82" t="s">
        <v>60</v>
      </c>
      <c r="K243" s="67">
        <v>10000</v>
      </c>
      <c r="L243" s="82">
        <f t="shared" si="19"/>
        <v>0</v>
      </c>
      <c r="M243" s="67">
        <v>5000</v>
      </c>
      <c r="N243" s="82"/>
      <c r="O243" s="82">
        <f t="shared" si="16"/>
        <v>5000</v>
      </c>
      <c r="P243" s="82">
        <f t="shared" si="17"/>
        <v>0</v>
      </c>
      <c r="Q243" s="67">
        <v>5000</v>
      </c>
      <c r="R243" s="82"/>
      <c r="S243" s="67"/>
      <c r="T243" s="82"/>
      <c r="U243" s="67"/>
      <c r="V243" s="82"/>
      <c r="W243" s="82"/>
      <c r="X243" s="82"/>
      <c r="Y243" s="19">
        <v>30</v>
      </c>
      <c r="Z243" s="82"/>
      <c r="AA243" s="69">
        <v>44531</v>
      </c>
      <c r="AB243" s="74"/>
      <c r="AC243" s="75"/>
      <c r="AD243" s="70" t="s">
        <v>460</v>
      </c>
    </row>
    <row r="244" spans="1:30" s="76" customFormat="1" ht="37.5">
      <c r="A244" s="82">
        <f>+SUBTOTAL(3,$B$7:B244)</f>
        <v>238</v>
      </c>
      <c r="B244" s="82" t="s">
        <v>444</v>
      </c>
      <c r="C244" s="82" t="s">
        <v>111</v>
      </c>
      <c r="D244" s="66" t="s">
        <v>210</v>
      </c>
      <c r="E244" s="82">
        <v>2</v>
      </c>
      <c r="F244" s="67">
        <v>300452331</v>
      </c>
      <c r="G244" s="66" t="s">
        <v>816</v>
      </c>
      <c r="H244" s="66" t="s">
        <v>817</v>
      </c>
      <c r="I244" s="66" t="s">
        <v>6</v>
      </c>
      <c r="J244" s="82" t="s">
        <v>49</v>
      </c>
      <c r="K244" s="67">
        <v>3760</v>
      </c>
      <c r="L244" s="82">
        <f t="shared" si="19"/>
        <v>0</v>
      </c>
      <c r="M244" s="67">
        <v>940</v>
      </c>
      <c r="N244" s="82"/>
      <c r="O244" s="82">
        <f t="shared" si="16"/>
        <v>2820</v>
      </c>
      <c r="P244" s="82">
        <f t="shared" si="17"/>
        <v>0</v>
      </c>
      <c r="Q244" s="67">
        <v>2820</v>
      </c>
      <c r="R244" s="82"/>
      <c r="S244" s="67"/>
      <c r="T244" s="82"/>
      <c r="U244" s="67"/>
      <c r="V244" s="82"/>
      <c r="W244" s="82"/>
      <c r="X244" s="82"/>
      <c r="Y244" s="19">
        <v>20</v>
      </c>
      <c r="Z244" s="82"/>
      <c r="AA244" s="69">
        <v>44440</v>
      </c>
      <c r="AB244" s="74"/>
      <c r="AC244" s="75"/>
      <c r="AD244" s="70" t="s">
        <v>460</v>
      </c>
    </row>
    <row r="245" spans="1:30" s="76" customFormat="1" ht="37.5">
      <c r="A245" s="82">
        <f>+SUBTOTAL(3,$B$7:B245)</f>
        <v>239</v>
      </c>
      <c r="B245" s="82" t="s">
        <v>444</v>
      </c>
      <c r="C245" s="82" t="s">
        <v>111</v>
      </c>
      <c r="D245" s="66" t="s">
        <v>210</v>
      </c>
      <c r="E245" s="82">
        <v>4</v>
      </c>
      <c r="F245" s="67">
        <v>306417979</v>
      </c>
      <c r="G245" s="66" t="s">
        <v>813</v>
      </c>
      <c r="H245" s="66" t="s">
        <v>818</v>
      </c>
      <c r="I245" s="66" t="s">
        <v>6</v>
      </c>
      <c r="J245" s="82" t="s">
        <v>12</v>
      </c>
      <c r="K245" s="67">
        <v>4750</v>
      </c>
      <c r="L245" s="82">
        <f t="shared" si="19"/>
        <v>0</v>
      </c>
      <c r="M245" s="67"/>
      <c r="N245" s="82"/>
      <c r="O245" s="82">
        <f t="shared" si="16"/>
        <v>0</v>
      </c>
      <c r="P245" s="82">
        <f t="shared" si="17"/>
        <v>0</v>
      </c>
      <c r="Q245" s="67"/>
      <c r="R245" s="82"/>
      <c r="S245" s="67"/>
      <c r="T245" s="82"/>
      <c r="U245" s="67">
        <v>500</v>
      </c>
      <c r="V245" s="82"/>
      <c r="W245" s="82" t="s">
        <v>1835</v>
      </c>
      <c r="X245" s="82" t="s">
        <v>1826</v>
      </c>
      <c r="Y245" s="19">
        <v>15</v>
      </c>
      <c r="Z245" s="82"/>
      <c r="AA245" s="69">
        <v>44348</v>
      </c>
      <c r="AB245" s="74"/>
      <c r="AC245" s="75"/>
      <c r="AD245" s="70" t="s">
        <v>460</v>
      </c>
    </row>
    <row r="246" spans="1:30" s="76" customFormat="1" ht="37.5">
      <c r="A246" s="82">
        <f>+SUBTOTAL(3,$B$7:B246)</f>
        <v>240</v>
      </c>
      <c r="B246" s="82" t="s">
        <v>444</v>
      </c>
      <c r="C246" s="82" t="s">
        <v>111</v>
      </c>
      <c r="D246" s="66" t="s">
        <v>210</v>
      </c>
      <c r="E246" s="82">
        <v>1</v>
      </c>
      <c r="F246" s="67">
        <v>303196649</v>
      </c>
      <c r="G246" s="66" t="s">
        <v>819</v>
      </c>
      <c r="H246" s="66" t="s">
        <v>820</v>
      </c>
      <c r="I246" s="66" t="s">
        <v>6</v>
      </c>
      <c r="J246" s="82" t="s">
        <v>12</v>
      </c>
      <c r="K246" s="67">
        <v>1000</v>
      </c>
      <c r="L246" s="82">
        <f t="shared" si="19"/>
        <v>100</v>
      </c>
      <c r="M246" s="67">
        <v>500</v>
      </c>
      <c r="N246" s="82"/>
      <c r="O246" s="82">
        <f t="shared" si="16"/>
        <v>500</v>
      </c>
      <c r="P246" s="82">
        <f t="shared" si="17"/>
        <v>100</v>
      </c>
      <c r="Q246" s="67">
        <v>500</v>
      </c>
      <c r="R246" s="82">
        <v>100</v>
      </c>
      <c r="S246" s="67"/>
      <c r="T246" s="82"/>
      <c r="U246" s="67"/>
      <c r="V246" s="82"/>
      <c r="W246" s="82"/>
      <c r="X246" s="82"/>
      <c r="Y246" s="19">
        <v>4</v>
      </c>
      <c r="Z246" s="82"/>
      <c r="AA246" s="69">
        <v>44348</v>
      </c>
      <c r="AB246" s="74"/>
      <c r="AC246" s="75"/>
      <c r="AD246" s="70" t="s">
        <v>460</v>
      </c>
    </row>
    <row r="247" spans="1:30" s="76" customFormat="1" ht="37.5">
      <c r="A247" s="82">
        <f>+SUBTOTAL(3,$B$7:B247)</f>
        <v>241</v>
      </c>
      <c r="B247" s="82" t="s">
        <v>444</v>
      </c>
      <c r="C247" s="82" t="s">
        <v>111</v>
      </c>
      <c r="D247" s="66" t="s">
        <v>210</v>
      </c>
      <c r="E247" s="82">
        <v>4</v>
      </c>
      <c r="F247" s="67">
        <v>305954383</v>
      </c>
      <c r="G247" s="66" t="s">
        <v>821</v>
      </c>
      <c r="H247" s="66" t="s">
        <v>822</v>
      </c>
      <c r="I247" s="66" t="s">
        <v>6</v>
      </c>
      <c r="J247" s="82" t="s">
        <v>12</v>
      </c>
      <c r="K247" s="67">
        <v>1000</v>
      </c>
      <c r="L247" s="82">
        <f t="shared" si="19"/>
        <v>0</v>
      </c>
      <c r="M247" s="67">
        <v>750</v>
      </c>
      <c r="N247" s="82"/>
      <c r="O247" s="82">
        <f t="shared" si="16"/>
        <v>250</v>
      </c>
      <c r="P247" s="82">
        <f t="shared" si="17"/>
        <v>0</v>
      </c>
      <c r="Q247" s="67">
        <v>250</v>
      </c>
      <c r="R247" s="82"/>
      <c r="S247" s="67"/>
      <c r="T247" s="82"/>
      <c r="U247" s="67"/>
      <c r="V247" s="82"/>
      <c r="W247" s="82"/>
      <c r="X247" s="82"/>
      <c r="Y247" s="19">
        <v>4</v>
      </c>
      <c r="Z247" s="82"/>
      <c r="AA247" s="69">
        <v>44440</v>
      </c>
      <c r="AB247" s="74"/>
      <c r="AC247" s="75"/>
      <c r="AD247" s="70" t="s">
        <v>460</v>
      </c>
    </row>
    <row r="248" spans="1:30" s="76" customFormat="1" ht="56.25">
      <c r="A248" s="82">
        <f>+SUBTOTAL(3,$B$7:B248)</f>
        <v>242</v>
      </c>
      <c r="B248" s="82" t="s">
        <v>444</v>
      </c>
      <c r="C248" s="82" t="s">
        <v>111</v>
      </c>
      <c r="D248" s="66" t="s">
        <v>210</v>
      </c>
      <c r="E248" s="82">
        <v>2</v>
      </c>
      <c r="F248" s="67">
        <v>203127369</v>
      </c>
      <c r="G248" s="66" t="s">
        <v>823</v>
      </c>
      <c r="H248" s="66" t="s">
        <v>824</v>
      </c>
      <c r="I248" s="66" t="s">
        <v>6</v>
      </c>
      <c r="J248" s="82" t="s">
        <v>12</v>
      </c>
      <c r="K248" s="67">
        <v>1500</v>
      </c>
      <c r="L248" s="82">
        <f t="shared" si="19"/>
        <v>0</v>
      </c>
      <c r="M248" s="67">
        <v>500</v>
      </c>
      <c r="N248" s="82"/>
      <c r="O248" s="82">
        <f t="shared" si="16"/>
        <v>1000</v>
      </c>
      <c r="P248" s="82">
        <f t="shared" si="17"/>
        <v>0</v>
      </c>
      <c r="Q248" s="67">
        <v>1000</v>
      </c>
      <c r="R248" s="82"/>
      <c r="S248" s="67"/>
      <c r="T248" s="82"/>
      <c r="U248" s="67"/>
      <c r="V248" s="82"/>
      <c r="W248" s="82"/>
      <c r="X248" s="82"/>
      <c r="Y248" s="19">
        <v>6</v>
      </c>
      <c r="Z248" s="82"/>
      <c r="AA248" s="69">
        <v>44531</v>
      </c>
      <c r="AB248" s="74"/>
      <c r="AC248" s="75"/>
      <c r="AD248" s="70" t="s">
        <v>460</v>
      </c>
    </row>
    <row r="249" spans="1:30" s="76" customFormat="1" ht="56.25">
      <c r="A249" s="82">
        <f>+SUBTOTAL(3,$B$7:B249)</f>
        <v>243</v>
      </c>
      <c r="B249" s="82" t="s">
        <v>444</v>
      </c>
      <c r="C249" s="82" t="s">
        <v>111</v>
      </c>
      <c r="D249" s="66" t="s">
        <v>210</v>
      </c>
      <c r="E249" s="82">
        <v>3</v>
      </c>
      <c r="F249" s="67">
        <v>305468655</v>
      </c>
      <c r="G249" s="66" t="s">
        <v>814</v>
      </c>
      <c r="H249" s="66" t="s">
        <v>825</v>
      </c>
      <c r="I249" s="66" t="s">
        <v>6</v>
      </c>
      <c r="J249" s="82" t="s">
        <v>12</v>
      </c>
      <c r="K249" s="67">
        <v>1500</v>
      </c>
      <c r="L249" s="82">
        <f t="shared" si="19"/>
        <v>0</v>
      </c>
      <c r="M249" s="67">
        <v>1000</v>
      </c>
      <c r="N249" s="82"/>
      <c r="O249" s="82">
        <f t="shared" si="16"/>
        <v>500</v>
      </c>
      <c r="P249" s="82">
        <f t="shared" si="17"/>
        <v>0</v>
      </c>
      <c r="Q249" s="67">
        <v>500</v>
      </c>
      <c r="R249" s="82"/>
      <c r="S249" s="67"/>
      <c r="T249" s="82"/>
      <c r="U249" s="67"/>
      <c r="V249" s="82"/>
      <c r="W249" s="82"/>
      <c r="X249" s="82"/>
      <c r="Y249" s="19">
        <v>5</v>
      </c>
      <c r="Z249" s="82"/>
      <c r="AA249" s="69">
        <v>44531</v>
      </c>
      <c r="AB249" s="74"/>
      <c r="AC249" s="75"/>
      <c r="AD249" s="70" t="s">
        <v>460</v>
      </c>
    </row>
    <row r="250" spans="1:30" s="76" customFormat="1" ht="37.5">
      <c r="A250" s="82">
        <f>+SUBTOTAL(3,$B$7:B250)</f>
        <v>244</v>
      </c>
      <c r="B250" s="82" t="s">
        <v>444</v>
      </c>
      <c r="C250" s="82" t="s">
        <v>111</v>
      </c>
      <c r="D250" s="66" t="s">
        <v>210</v>
      </c>
      <c r="E250" s="82">
        <v>3</v>
      </c>
      <c r="F250" s="67">
        <v>305468655</v>
      </c>
      <c r="G250" s="66" t="s">
        <v>814</v>
      </c>
      <c r="H250" s="66" t="s">
        <v>826</v>
      </c>
      <c r="I250" s="66" t="s">
        <v>6</v>
      </c>
      <c r="J250" s="82" t="s">
        <v>12</v>
      </c>
      <c r="K250" s="67">
        <v>1500</v>
      </c>
      <c r="L250" s="82">
        <f t="shared" si="19"/>
        <v>0</v>
      </c>
      <c r="M250" s="67">
        <v>500</v>
      </c>
      <c r="N250" s="82"/>
      <c r="O250" s="82">
        <f t="shared" si="16"/>
        <v>1000</v>
      </c>
      <c r="P250" s="82">
        <f t="shared" si="17"/>
        <v>0</v>
      </c>
      <c r="Q250" s="67">
        <v>1000</v>
      </c>
      <c r="R250" s="82"/>
      <c r="S250" s="67"/>
      <c r="T250" s="82"/>
      <c r="U250" s="67"/>
      <c r="V250" s="82"/>
      <c r="W250" s="82"/>
      <c r="X250" s="82"/>
      <c r="Y250" s="19">
        <v>10</v>
      </c>
      <c r="Z250" s="82"/>
      <c r="AA250" s="69">
        <v>44896</v>
      </c>
      <c r="AB250" s="74"/>
      <c r="AC250" s="75"/>
      <c r="AD250" s="70" t="s">
        <v>460</v>
      </c>
    </row>
    <row r="251" spans="1:30" s="76" customFormat="1" ht="37.5">
      <c r="A251" s="82">
        <f>+SUBTOTAL(3,$B$7:B251)</f>
        <v>245</v>
      </c>
      <c r="B251" s="82" t="s">
        <v>444</v>
      </c>
      <c r="C251" s="82" t="s">
        <v>111</v>
      </c>
      <c r="D251" s="66" t="s">
        <v>210</v>
      </c>
      <c r="E251" s="82">
        <v>3</v>
      </c>
      <c r="F251" s="67">
        <v>305468655</v>
      </c>
      <c r="G251" s="66" t="s">
        <v>814</v>
      </c>
      <c r="H251" s="66" t="s">
        <v>827</v>
      </c>
      <c r="I251" s="66" t="s">
        <v>6</v>
      </c>
      <c r="J251" s="82" t="s">
        <v>12</v>
      </c>
      <c r="K251" s="67">
        <v>1500</v>
      </c>
      <c r="L251" s="82">
        <f t="shared" si="19"/>
        <v>0</v>
      </c>
      <c r="M251" s="67">
        <v>500</v>
      </c>
      <c r="N251" s="82"/>
      <c r="O251" s="82">
        <f t="shared" si="16"/>
        <v>1000</v>
      </c>
      <c r="P251" s="82">
        <f t="shared" si="17"/>
        <v>0</v>
      </c>
      <c r="Q251" s="67">
        <v>1000</v>
      </c>
      <c r="R251" s="82"/>
      <c r="S251" s="67"/>
      <c r="T251" s="82"/>
      <c r="U251" s="67"/>
      <c r="V251" s="82"/>
      <c r="W251" s="82"/>
      <c r="X251" s="82"/>
      <c r="Y251" s="19">
        <v>8</v>
      </c>
      <c r="Z251" s="82"/>
      <c r="AA251" s="69">
        <v>44805</v>
      </c>
      <c r="AB251" s="74"/>
      <c r="AC251" s="75"/>
      <c r="AD251" s="70" t="s">
        <v>460</v>
      </c>
    </row>
    <row r="252" spans="1:30" s="76" customFormat="1" ht="37.5">
      <c r="A252" s="82">
        <f>+SUBTOTAL(3,$B$7:B252)</f>
        <v>246</v>
      </c>
      <c r="B252" s="82" t="s">
        <v>444</v>
      </c>
      <c r="C252" s="82" t="s">
        <v>111</v>
      </c>
      <c r="D252" s="66" t="s">
        <v>210</v>
      </c>
      <c r="E252" s="82">
        <v>1</v>
      </c>
      <c r="F252" s="67">
        <v>301178576</v>
      </c>
      <c r="G252" s="66" t="s">
        <v>828</v>
      </c>
      <c r="H252" s="66" t="s">
        <v>164</v>
      </c>
      <c r="I252" s="66" t="s">
        <v>10</v>
      </c>
      <c r="J252" s="82" t="s">
        <v>45</v>
      </c>
      <c r="K252" s="67">
        <v>1500</v>
      </c>
      <c r="L252" s="82">
        <f t="shared" si="19"/>
        <v>660</v>
      </c>
      <c r="M252" s="67">
        <v>500</v>
      </c>
      <c r="N252" s="82"/>
      <c r="O252" s="82">
        <f t="shared" si="16"/>
        <v>1000</v>
      </c>
      <c r="P252" s="82">
        <f t="shared" si="17"/>
        <v>660</v>
      </c>
      <c r="Q252" s="67">
        <v>1000</v>
      </c>
      <c r="R252" s="82">
        <v>660</v>
      </c>
      <c r="S252" s="67"/>
      <c r="T252" s="82"/>
      <c r="U252" s="67"/>
      <c r="V252" s="82"/>
      <c r="W252" s="82"/>
      <c r="X252" s="82"/>
      <c r="Y252" s="19">
        <v>2</v>
      </c>
      <c r="Z252" s="82"/>
      <c r="AA252" s="69">
        <v>44256</v>
      </c>
      <c r="AB252" s="74"/>
      <c r="AC252" s="75"/>
      <c r="AD252" s="70" t="s">
        <v>460</v>
      </c>
    </row>
    <row r="253" spans="1:30" s="76" customFormat="1" ht="37.5">
      <c r="A253" s="82">
        <f>+SUBTOTAL(3,$B$7:B253)</f>
        <v>247</v>
      </c>
      <c r="B253" s="82" t="s">
        <v>444</v>
      </c>
      <c r="C253" s="82" t="s">
        <v>111</v>
      </c>
      <c r="D253" s="66" t="s">
        <v>210</v>
      </c>
      <c r="E253" s="82">
        <v>2</v>
      </c>
      <c r="F253" s="67">
        <v>301160022</v>
      </c>
      <c r="G253" s="66" t="s">
        <v>829</v>
      </c>
      <c r="H253" s="66" t="s">
        <v>830</v>
      </c>
      <c r="I253" s="66" t="s">
        <v>9</v>
      </c>
      <c r="J253" s="82" t="s">
        <v>37</v>
      </c>
      <c r="K253" s="67">
        <v>2000</v>
      </c>
      <c r="L253" s="82">
        <f t="shared" si="19"/>
        <v>0</v>
      </c>
      <c r="M253" s="67">
        <v>1000</v>
      </c>
      <c r="N253" s="82"/>
      <c r="O253" s="82">
        <f t="shared" si="16"/>
        <v>1000</v>
      </c>
      <c r="P253" s="82">
        <f t="shared" si="17"/>
        <v>0</v>
      </c>
      <c r="Q253" s="67">
        <v>1000</v>
      </c>
      <c r="R253" s="82"/>
      <c r="S253" s="67"/>
      <c r="T253" s="82"/>
      <c r="U253" s="67"/>
      <c r="V253" s="82"/>
      <c r="W253" s="82"/>
      <c r="X253" s="82"/>
      <c r="Y253" s="19">
        <v>16</v>
      </c>
      <c r="Z253" s="82"/>
      <c r="AA253" s="69">
        <v>44896</v>
      </c>
      <c r="AB253" s="74"/>
      <c r="AC253" s="75"/>
      <c r="AD253" s="70" t="s">
        <v>460</v>
      </c>
    </row>
    <row r="254" spans="1:30" s="76" customFormat="1" ht="37.5">
      <c r="A254" s="82">
        <f>+SUBTOTAL(3,$B$7:B254)</f>
        <v>248</v>
      </c>
      <c r="B254" s="82" t="s">
        <v>444</v>
      </c>
      <c r="C254" s="82" t="s">
        <v>111</v>
      </c>
      <c r="D254" s="66" t="s">
        <v>210</v>
      </c>
      <c r="E254" s="82">
        <v>1</v>
      </c>
      <c r="F254" s="67">
        <v>301178576</v>
      </c>
      <c r="G254" s="66" t="s">
        <v>828</v>
      </c>
      <c r="H254" s="66" t="s">
        <v>831</v>
      </c>
      <c r="I254" s="66" t="s">
        <v>6</v>
      </c>
      <c r="J254" s="82" t="s">
        <v>12</v>
      </c>
      <c r="K254" s="67">
        <v>4000</v>
      </c>
      <c r="L254" s="82">
        <f t="shared" si="19"/>
        <v>0</v>
      </c>
      <c r="M254" s="67">
        <v>1000</v>
      </c>
      <c r="N254" s="82"/>
      <c r="O254" s="82">
        <f t="shared" si="16"/>
        <v>3000</v>
      </c>
      <c r="P254" s="82">
        <f t="shared" si="17"/>
        <v>0</v>
      </c>
      <c r="Q254" s="67">
        <v>3000</v>
      </c>
      <c r="R254" s="82"/>
      <c r="S254" s="67"/>
      <c r="T254" s="82"/>
      <c r="U254" s="67"/>
      <c r="V254" s="82"/>
      <c r="W254" s="82"/>
      <c r="X254" s="82"/>
      <c r="Y254" s="19">
        <v>15</v>
      </c>
      <c r="Z254" s="82"/>
      <c r="AA254" s="69">
        <v>44896</v>
      </c>
      <c r="AB254" s="74"/>
      <c r="AC254" s="75"/>
      <c r="AD254" s="70" t="s">
        <v>460</v>
      </c>
    </row>
    <row r="255" spans="1:30" s="76" customFormat="1" ht="37.5">
      <c r="A255" s="82">
        <f>+SUBTOTAL(3,$B$7:B255)</f>
        <v>249</v>
      </c>
      <c r="B255" s="82" t="s">
        <v>444</v>
      </c>
      <c r="C255" s="82" t="s">
        <v>111</v>
      </c>
      <c r="D255" s="66" t="s">
        <v>210</v>
      </c>
      <c r="E255" s="82">
        <v>2</v>
      </c>
      <c r="F255" s="67">
        <v>203127369</v>
      </c>
      <c r="G255" s="66" t="s">
        <v>823</v>
      </c>
      <c r="H255" s="66" t="s">
        <v>832</v>
      </c>
      <c r="I255" s="66" t="s">
        <v>10</v>
      </c>
      <c r="J255" s="82" t="s">
        <v>58</v>
      </c>
      <c r="K255" s="67">
        <v>20000</v>
      </c>
      <c r="L255" s="82">
        <f t="shared" si="19"/>
        <v>0</v>
      </c>
      <c r="M255" s="67">
        <v>10000</v>
      </c>
      <c r="N255" s="82"/>
      <c r="O255" s="82">
        <f t="shared" si="16"/>
        <v>10000</v>
      </c>
      <c r="P255" s="82">
        <f t="shared" si="17"/>
        <v>0</v>
      </c>
      <c r="Q255" s="67">
        <v>10000</v>
      </c>
      <c r="R255" s="82"/>
      <c r="S255" s="67"/>
      <c r="T255" s="82"/>
      <c r="U255" s="67"/>
      <c r="V255" s="82"/>
      <c r="W255" s="82"/>
      <c r="X255" s="82"/>
      <c r="Y255" s="19">
        <v>30</v>
      </c>
      <c r="Z255" s="82"/>
      <c r="AA255" s="69">
        <v>44896</v>
      </c>
      <c r="AB255" s="74"/>
      <c r="AC255" s="75"/>
      <c r="AD255" s="70" t="s">
        <v>460</v>
      </c>
    </row>
    <row r="256" spans="1:30" s="76" customFormat="1" ht="37.5">
      <c r="A256" s="82">
        <f>+SUBTOTAL(3,$B$7:B256)</f>
        <v>250</v>
      </c>
      <c r="B256" s="82" t="s">
        <v>444</v>
      </c>
      <c r="C256" s="82" t="s">
        <v>111</v>
      </c>
      <c r="D256" s="66" t="s">
        <v>210</v>
      </c>
      <c r="E256" s="82">
        <v>2</v>
      </c>
      <c r="F256" s="67">
        <v>305922992</v>
      </c>
      <c r="G256" s="66" t="s">
        <v>833</v>
      </c>
      <c r="H256" s="66" t="s">
        <v>834</v>
      </c>
      <c r="I256" s="66" t="s">
        <v>6</v>
      </c>
      <c r="J256" s="82" t="s">
        <v>12</v>
      </c>
      <c r="K256" s="67">
        <v>70550</v>
      </c>
      <c r="L256" s="82">
        <f t="shared" si="19"/>
        <v>73440</v>
      </c>
      <c r="M256" s="67">
        <v>8300</v>
      </c>
      <c r="N256" s="82"/>
      <c r="O256" s="82">
        <f t="shared" si="16"/>
        <v>62250.000000000007</v>
      </c>
      <c r="P256" s="82">
        <f t="shared" si="17"/>
        <v>73440</v>
      </c>
      <c r="Q256" s="67">
        <v>62250.000000000007</v>
      </c>
      <c r="R256" s="82"/>
      <c r="S256" s="67"/>
      <c r="T256" s="82">
        <v>7200</v>
      </c>
      <c r="U256" s="67"/>
      <c r="V256" s="82"/>
      <c r="W256" s="82"/>
      <c r="X256" s="82"/>
      <c r="Y256" s="68">
        <v>20</v>
      </c>
      <c r="Z256" s="82"/>
      <c r="AA256" s="69">
        <v>44470</v>
      </c>
      <c r="AB256" s="74"/>
      <c r="AC256" s="75"/>
      <c r="AD256" s="70" t="s">
        <v>453</v>
      </c>
    </row>
    <row r="257" spans="1:30" s="76" customFormat="1" ht="37.5">
      <c r="A257" s="82">
        <f>+SUBTOTAL(3,$B$7:B257)</f>
        <v>251</v>
      </c>
      <c r="B257" s="82" t="s">
        <v>444</v>
      </c>
      <c r="C257" s="82" t="s">
        <v>111</v>
      </c>
      <c r="D257" s="66" t="s">
        <v>210</v>
      </c>
      <c r="E257" s="82">
        <v>4</v>
      </c>
      <c r="F257" s="67">
        <v>201435726</v>
      </c>
      <c r="G257" s="66" t="s">
        <v>835</v>
      </c>
      <c r="H257" s="66" t="s">
        <v>836</v>
      </c>
      <c r="I257" s="66" t="s">
        <v>10</v>
      </c>
      <c r="J257" s="82" t="s">
        <v>45</v>
      </c>
      <c r="K257" s="67">
        <v>1000</v>
      </c>
      <c r="L257" s="82">
        <f t="shared" si="19"/>
        <v>350</v>
      </c>
      <c r="M257" s="67">
        <v>500</v>
      </c>
      <c r="N257" s="82"/>
      <c r="O257" s="82">
        <f t="shared" si="16"/>
        <v>500</v>
      </c>
      <c r="P257" s="82">
        <f t="shared" si="17"/>
        <v>350</v>
      </c>
      <c r="Q257" s="67">
        <v>500</v>
      </c>
      <c r="R257" s="82">
        <v>350</v>
      </c>
      <c r="S257" s="67"/>
      <c r="T257" s="82"/>
      <c r="U257" s="67"/>
      <c r="V257" s="82"/>
      <c r="W257" s="82"/>
      <c r="X257" s="82"/>
      <c r="Y257" s="19">
        <v>10</v>
      </c>
      <c r="Z257" s="82"/>
      <c r="AA257" s="69">
        <v>44774</v>
      </c>
      <c r="AB257" s="74"/>
      <c r="AC257" s="75"/>
      <c r="AD257" s="70" t="s">
        <v>453</v>
      </c>
    </row>
    <row r="258" spans="1:30" s="76" customFormat="1" ht="56.25">
      <c r="A258" s="82">
        <f>+SUBTOTAL(3,$B$7:B258)</f>
        <v>252</v>
      </c>
      <c r="B258" s="82" t="s">
        <v>444</v>
      </c>
      <c r="C258" s="82" t="s">
        <v>111</v>
      </c>
      <c r="D258" s="66" t="s">
        <v>210</v>
      </c>
      <c r="E258" s="82">
        <v>4</v>
      </c>
      <c r="F258" s="67">
        <v>306358356</v>
      </c>
      <c r="G258" s="66" t="s">
        <v>837</v>
      </c>
      <c r="H258" s="66" t="s">
        <v>838</v>
      </c>
      <c r="I258" s="66" t="s">
        <v>6</v>
      </c>
      <c r="J258" s="82" t="s">
        <v>12</v>
      </c>
      <c r="K258" s="67">
        <v>10000</v>
      </c>
      <c r="L258" s="82">
        <f t="shared" si="19"/>
        <v>1000</v>
      </c>
      <c r="M258" s="67">
        <v>4000</v>
      </c>
      <c r="N258" s="82"/>
      <c r="O258" s="82">
        <f t="shared" si="16"/>
        <v>6000</v>
      </c>
      <c r="P258" s="82">
        <f t="shared" si="17"/>
        <v>1000</v>
      </c>
      <c r="Q258" s="67">
        <v>6000</v>
      </c>
      <c r="R258" s="82">
        <v>1000</v>
      </c>
      <c r="S258" s="67"/>
      <c r="T258" s="82"/>
      <c r="U258" s="67"/>
      <c r="V258" s="82"/>
      <c r="W258" s="82"/>
      <c r="X258" s="82"/>
      <c r="Y258" s="19">
        <v>100</v>
      </c>
      <c r="Z258" s="82"/>
      <c r="AA258" s="69">
        <v>44805</v>
      </c>
      <c r="AB258" s="74"/>
      <c r="AC258" s="75"/>
      <c r="AD258" s="70" t="s">
        <v>453</v>
      </c>
    </row>
    <row r="259" spans="1:30" s="76" customFormat="1" ht="37.5">
      <c r="A259" s="82">
        <f>+SUBTOTAL(3,$B$7:B259)</f>
        <v>253</v>
      </c>
      <c r="B259" s="82" t="s">
        <v>444</v>
      </c>
      <c r="C259" s="82" t="s">
        <v>111</v>
      </c>
      <c r="D259" s="66" t="s">
        <v>210</v>
      </c>
      <c r="E259" s="82">
        <v>1</v>
      </c>
      <c r="F259" s="67">
        <v>307604223</v>
      </c>
      <c r="G259" s="66" t="s">
        <v>839</v>
      </c>
      <c r="H259" s="66" t="s">
        <v>840</v>
      </c>
      <c r="I259" s="66" t="s">
        <v>9</v>
      </c>
      <c r="J259" s="82" t="s">
        <v>40</v>
      </c>
      <c r="K259" s="67">
        <v>1100</v>
      </c>
      <c r="L259" s="82">
        <f t="shared" si="19"/>
        <v>235</v>
      </c>
      <c r="M259" s="67">
        <v>600</v>
      </c>
      <c r="N259" s="82">
        <v>100</v>
      </c>
      <c r="O259" s="82">
        <f t="shared" si="16"/>
        <v>500</v>
      </c>
      <c r="P259" s="82">
        <f t="shared" si="17"/>
        <v>135</v>
      </c>
      <c r="Q259" s="67">
        <v>500</v>
      </c>
      <c r="R259" s="82">
        <v>135</v>
      </c>
      <c r="S259" s="67"/>
      <c r="T259" s="82"/>
      <c r="U259" s="67"/>
      <c r="V259" s="82"/>
      <c r="W259" s="82"/>
      <c r="X259" s="82"/>
      <c r="Y259" s="19">
        <v>4</v>
      </c>
      <c r="Z259" s="82">
        <v>4</v>
      </c>
      <c r="AA259" s="69">
        <v>44440</v>
      </c>
      <c r="AB259" s="74">
        <v>44221</v>
      </c>
      <c r="AC259" s="75" t="s">
        <v>2097</v>
      </c>
      <c r="AD259" s="70" t="s">
        <v>453</v>
      </c>
    </row>
    <row r="260" spans="1:30" s="76" customFormat="1" ht="37.5">
      <c r="A260" s="82">
        <f>+SUBTOTAL(3,$B$7:B260)</f>
        <v>254</v>
      </c>
      <c r="B260" s="82" t="s">
        <v>444</v>
      </c>
      <c r="C260" s="82" t="s">
        <v>111</v>
      </c>
      <c r="D260" s="66" t="s">
        <v>210</v>
      </c>
      <c r="E260" s="82">
        <v>4</v>
      </c>
      <c r="F260" s="67">
        <v>307602376</v>
      </c>
      <c r="G260" s="66" t="s">
        <v>841</v>
      </c>
      <c r="H260" s="66" t="s">
        <v>1778</v>
      </c>
      <c r="I260" s="66" t="s">
        <v>9</v>
      </c>
      <c r="J260" s="82" t="s">
        <v>1777</v>
      </c>
      <c r="K260" s="67">
        <v>1100</v>
      </c>
      <c r="L260" s="82">
        <f t="shared" si="19"/>
        <v>100</v>
      </c>
      <c r="M260" s="67">
        <v>500</v>
      </c>
      <c r="N260" s="82">
        <v>70</v>
      </c>
      <c r="O260" s="82">
        <f t="shared" si="16"/>
        <v>600</v>
      </c>
      <c r="P260" s="82">
        <f t="shared" si="17"/>
        <v>30</v>
      </c>
      <c r="Q260" s="67">
        <v>600</v>
      </c>
      <c r="R260" s="82">
        <v>30</v>
      </c>
      <c r="S260" s="67"/>
      <c r="T260" s="82"/>
      <c r="U260" s="67"/>
      <c r="V260" s="82"/>
      <c r="W260" s="82"/>
      <c r="X260" s="82"/>
      <c r="Y260" s="19">
        <v>5</v>
      </c>
      <c r="Z260" s="82">
        <v>3</v>
      </c>
      <c r="AA260" s="69">
        <v>44531</v>
      </c>
      <c r="AB260" s="74">
        <v>44214</v>
      </c>
      <c r="AC260" s="75" t="s">
        <v>2098</v>
      </c>
      <c r="AD260" s="70" t="s">
        <v>453</v>
      </c>
    </row>
    <row r="261" spans="1:30" s="76" customFormat="1" ht="37.5">
      <c r="A261" s="82">
        <f>+SUBTOTAL(3,$B$7:B261)</f>
        <v>255</v>
      </c>
      <c r="B261" s="82" t="s">
        <v>444</v>
      </c>
      <c r="C261" s="82" t="s">
        <v>111</v>
      </c>
      <c r="D261" s="66" t="s">
        <v>210</v>
      </c>
      <c r="E261" s="82">
        <v>1</v>
      </c>
      <c r="F261" s="67">
        <v>307292154</v>
      </c>
      <c r="G261" s="66" t="s">
        <v>842</v>
      </c>
      <c r="H261" s="66" t="s">
        <v>843</v>
      </c>
      <c r="I261" s="66" t="s">
        <v>6</v>
      </c>
      <c r="J261" s="82" t="s">
        <v>12</v>
      </c>
      <c r="K261" s="67">
        <v>1200</v>
      </c>
      <c r="L261" s="82">
        <f t="shared" si="19"/>
        <v>300</v>
      </c>
      <c r="M261" s="67">
        <v>800</v>
      </c>
      <c r="N261" s="82">
        <v>200</v>
      </c>
      <c r="O261" s="82">
        <f t="shared" si="16"/>
        <v>400</v>
      </c>
      <c r="P261" s="82">
        <f t="shared" si="17"/>
        <v>100</v>
      </c>
      <c r="Q261" s="67">
        <v>400</v>
      </c>
      <c r="R261" s="82">
        <v>100</v>
      </c>
      <c r="S261" s="67"/>
      <c r="T261" s="82"/>
      <c r="U261" s="67"/>
      <c r="V261" s="82"/>
      <c r="W261" s="82"/>
      <c r="X261" s="82"/>
      <c r="Y261" s="19">
        <v>10</v>
      </c>
      <c r="Z261" s="82">
        <v>5</v>
      </c>
      <c r="AA261" s="69">
        <v>44409</v>
      </c>
      <c r="AB261" s="74">
        <v>44214</v>
      </c>
      <c r="AC261" s="75" t="s">
        <v>2015</v>
      </c>
      <c r="AD261" s="70" t="s">
        <v>453</v>
      </c>
    </row>
    <row r="262" spans="1:30" s="76" customFormat="1" ht="37.5">
      <c r="A262" s="82">
        <f>+SUBTOTAL(3,$B$7:B262)</f>
        <v>256</v>
      </c>
      <c r="B262" s="82" t="s">
        <v>444</v>
      </c>
      <c r="C262" s="82" t="s">
        <v>111</v>
      </c>
      <c r="D262" s="66" t="s">
        <v>210</v>
      </c>
      <c r="E262" s="82">
        <v>1</v>
      </c>
      <c r="F262" s="67">
        <v>307292219</v>
      </c>
      <c r="G262" s="66" t="s">
        <v>844</v>
      </c>
      <c r="H262" s="66" t="s">
        <v>845</v>
      </c>
      <c r="I262" s="66" t="s">
        <v>9</v>
      </c>
      <c r="J262" s="82" t="s">
        <v>39</v>
      </c>
      <c r="K262" s="67">
        <v>1200</v>
      </c>
      <c r="L262" s="82">
        <f t="shared" si="19"/>
        <v>600</v>
      </c>
      <c r="M262" s="67">
        <v>800</v>
      </c>
      <c r="N262" s="82">
        <v>500</v>
      </c>
      <c r="O262" s="82">
        <f t="shared" si="16"/>
        <v>400</v>
      </c>
      <c r="P262" s="82">
        <f t="shared" si="17"/>
        <v>100</v>
      </c>
      <c r="Q262" s="67">
        <v>400</v>
      </c>
      <c r="R262" s="82">
        <v>100</v>
      </c>
      <c r="S262" s="67"/>
      <c r="T262" s="82"/>
      <c r="U262" s="67"/>
      <c r="V262" s="82"/>
      <c r="W262" s="82"/>
      <c r="X262" s="82"/>
      <c r="Y262" s="19">
        <v>6</v>
      </c>
      <c r="Z262" s="82">
        <v>5</v>
      </c>
      <c r="AA262" s="69">
        <v>44501</v>
      </c>
      <c r="AB262" s="74">
        <v>44221</v>
      </c>
      <c r="AC262" s="75" t="s">
        <v>2096</v>
      </c>
      <c r="AD262" s="70" t="s">
        <v>453</v>
      </c>
    </row>
    <row r="263" spans="1:30" s="76" customFormat="1" ht="37.5">
      <c r="A263" s="82">
        <f>+SUBTOTAL(3,$B$7:B263)</f>
        <v>257</v>
      </c>
      <c r="B263" s="82" t="s">
        <v>444</v>
      </c>
      <c r="C263" s="82" t="s">
        <v>111</v>
      </c>
      <c r="D263" s="66" t="s">
        <v>210</v>
      </c>
      <c r="E263" s="82">
        <v>1</v>
      </c>
      <c r="F263" s="67">
        <v>307289734</v>
      </c>
      <c r="G263" s="66" t="s">
        <v>846</v>
      </c>
      <c r="H263" s="66" t="s">
        <v>344</v>
      </c>
      <c r="I263" s="66" t="s">
        <v>6</v>
      </c>
      <c r="J263" s="82" t="s">
        <v>34</v>
      </c>
      <c r="K263" s="67">
        <v>2000</v>
      </c>
      <c r="L263" s="82">
        <f t="shared" si="19"/>
        <v>88</v>
      </c>
      <c r="M263" s="67">
        <v>1000</v>
      </c>
      <c r="N263" s="82"/>
      <c r="O263" s="82">
        <f t="shared" ref="O263:O326" si="20">+Q263+S263*10.2</f>
        <v>1000</v>
      </c>
      <c r="P263" s="82">
        <f t="shared" ref="P263:P326" si="21">+R263+T263*10.2</f>
        <v>88</v>
      </c>
      <c r="Q263" s="67">
        <v>1000</v>
      </c>
      <c r="R263" s="82">
        <v>88</v>
      </c>
      <c r="S263" s="67"/>
      <c r="T263" s="82"/>
      <c r="U263" s="67"/>
      <c r="V263" s="82"/>
      <c r="W263" s="82"/>
      <c r="X263" s="82"/>
      <c r="Y263" s="19">
        <v>20</v>
      </c>
      <c r="Z263" s="82"/>
      <c r="AA263" s="69">
        <v>44835</v>
      </c>
      <c r="AB263" s="74"/>
      <c r="AC263" s="75"/>
      <c r="AD263" s="70" t="s">
        <v>453</v>
      </c>
    </row>
    <row r="264" spans="1:30" s="76" customFormat="1" ht="37.5">
      <c r="A264" s="82">
        <f>+SUBTOTAL(3,$B$7:B264)</f>
        <v>258</v>
      </c>
      <c r="B264" s="82" t="s">
        <v>444</v>
      </c>
      <c r="C264" s="82" t="s">
        <v>111</v>
      </c>
      <c r="D264" s="66" t="s">
        <v>210</v>
      </c>
      <c r="E264" s="82">
        <v>2</v>
      </c>
      <c r="F264" s="67">
        <v>307280898</v>
      </c>
      <c r="G264" s="66" t="s">
        <v>847</v>
      </c>
      <c r="H264" s="66" t="s">
        <v>848</v>
      </c>
      <c r="I264" s="66" t="s">
        <v>10</v>
      </c>
      <c r="J264" s="82" t="s">
        <v>59</v>
      </c>
      <c r="K264" s="67">
        <v>2000</v>
      </c>
      <c r="L264" s="82">
        <f t="shared" si="19"/>
        <v>350</v>
      </c>
      <c r="M264" s="67">
        <v>1000</v>
      </c>
      <c r="N264" s="82"/>
      <c r="O264" s="82">
        <f t="shared" si="20"/>
        <v>1000</v>
      </c>
      <c r="P264" s="82">
        <f t="shared" si="21"/>
        <v>350</v>
      </c>
      <c r="Q264" s="67">
        <v>1000</v>
      </c>
      <c r="R264" s="82">
        <v>350</v>
      </c>
      <c r="S264" s="67"/>
      <c r="T264" s="82"/>
      <c r="U264" s="67"/>
      <c r="V264" s="82"/>
      <c r="W264" s="82"/>
      <c r="X264" s="82"/>
      <c r="Y264" s="19">
        <v>5</v>
      </c>
      <c r="Z264" s="82"/>
      <c r="AA264" s="69">
        <v>44409</v>
      </c>
      <c r="AB264" s="74"/>
      <c r="AC264" s="75"/>
      <c r="AD264" s="70" t="s">
        <v>453</v>
      </c>
    </row>
    <row r="265" spans="1:30" s="76" customFormat="1" ht="37.5">
      <c r="A265" s="82">
        <f>+SUBTOTAL(3,$B$7:B265)</f>
        <v>259</v>
      </c>
      <c r="B265" s="82" t="s">
        <v>444</v>
      </c>
      <c r="C265" s="82" t="s">
        <v>111</v>
      </c>
      <c r="D265" s="66" t="s">
        <v>210</v>
      </c>
      <c r="E265" s="82">
        <v>2</v>
      </c>
      <c r="F265" s="67" t="s">
        <v>1836</v>
      </c>
      <c r="G265" s="66" t="s">
        <v>849</v>
      </c>
      <c r="H265" s="66" t="s">
        <v>850</v>
      </c>
      <c r="I265" s="66" t="s">
        <v>10</v>
      </c>
      <c r="J265" s="82" t="s">
        <v>30</v>
      </c>
      <c r="K265" s="67">
        <v>2100</v>
      </c>
      <c r="L265" s="82">
        <f t="shared" si="19"/>
        <v>0</v>
      </c>
      <c r="M265" s="67">
        <v>1000</v>
      </c>
      <c r="N265" s="82"/>
      <c r="O265" s="82">
        <f t="shared" si="20"/>
        <v>1100</v>
      </c>
      <c r="P265" s="82">
        <f t="shared" si="21"/>
        <v>0</v>
      </c>
      <c r="Q265" s="67">
        <v>1100</v>
      </c>
      <c r="R265" s="82"/>
      <c r="S265" s="67"/>
      <c r="T265" s="82"/>
      <c r="U265" s="67"/>
      <c r="V265" s="82"/>
      <c r="W265" s="82"/>
      <c r="X265" s="82"/>
      <c r="Y265" s="19">
        <v>10</v>
      </c>
      <c r="Z265" s="82"/>
      <c r="AA265" s="69">
        <v>44896</v>
      </c>
      <c r="AB265" s="74"/>
      <c r="AC265" s="75"/>
      <c r="AD265" s="70" t="s">
        <v>453</v>
      </c>
    </row>
    <row r="266" spans="1:30" s="76" customFormat="1" ht="37.5">
      <c r="A266" s="82">
        <f>+SUBTOTAL(3,$B$7:B266)</f>
        <v>260</v>
      </c>
      <c r="B266" s="82" t="s">
        <v>444</v>
      </c>
      <c r="C266" s="82" t="s">
        <v>111</v>
      </c>
      <c r="D266" s="66" t="s">
        <v>210</v>
      </c>
      <c r="E266" s="82">
        <v>3</v>
      </c>
      <c r="F266" s="67">
        <v>302709317</v>
      </c>
      <c r="G266" s="66" t="s">
        <v>851</v>
      </c>
      <c r="H266" s="66" t="s">
        <v>848</v>
      </c>
      <c r="I266" s="66" t="s">
        <v>10</v>
      </c>
      <c r="J266" s="82" t="s">
        <v>59</v>
      </c>
      <c r="K266" s="67">
        <v>2600</v>
      </c>
      <c r="L266" s="82">
        <f t="shared" si="19"/>
        <v>1850</v>
      </c>
      <c r="M266" s="67">
        <v>1500</v>
      </c>
      <c r="N266" s="82">
        <v>1500</v>
      </c>
      <c r="O266" s="82">
        <f t="shared" si="20"/>
        <v>1100</v>
      </c>
      <c r="P266" s="94">
        <f t="shared" si="21"/>
        <v>350</v>
      </c>
      <c r="Q266" s="67">
        <v>1100</v>
      </c>
      <c r="R266" s="82">
        <v>350</v>
      </c>
      <c r="S266" s="67"/>
      <c r="T266" s="82"/>
      <c r="U266" s="67"/>
      <c r="V266" s="82"/>
      <c r="W266" s="82"/>
      <c r="X266" s="82"/>
      <c r="Y266" s="19">
        <v>5</v>
      </c>
      <c r="Z266" s="82">
        <v>5</v>
      </c>
      <c r="AA266" s="69">
        <v>44440</v>
      </c>
      <c r="AB266" s="74">
        <v>44221</v>
      </c>
      <c r="AC266" s="75" t="s">
        <v>2099</v>
      </c>
      <c r="AD266" s="70" t="s">
        <v>453</v>
      </c>
    </row>
    <row r="267" spans="1:30" s="76" customFormat="1" ht="37.5">
      <c r="A267" s="82">
        <f>+SUBTOTAL(3,$B$7:B267)</f>
        <v>261</v>
      </c>
      <c r="B267" s="82" t="s">
        <v>444</v>
      </c>
      <c r="C267" s="82" t="s">
        <v>111</v>
      </c>
      <c r="D267" s="66" t="s">
        <v>210</v>
      </c>
      <c r="E267" s="82">
        <v>3</v>
      </c>
      <c r="F267" s="67" t="s">
        <v>1837</v>
      </c>
      <c r="G267" s="66" t="s">
        <v>852</v>
      </c>
      <c r="H267" s="66" t="s">
        <v>853</v>
      </c>
      <c r="I267" s="66" t="s">
        <v>10</v>
      </c>
      <c r="J267" s="82" t="s">
        <v>58</v>
      </c>
      <c r="K267" s="67">
        <v>72000</v>
      </c>
      <c r="L267" s="82">
        <f t="shared" si="19"/>
        <v>0</v>
      </c>
      <c r="M267" s="67">
        <v>37000</v>
      </c>
      <c r="N267" s="82"/>
      <c r="O267" s="82">
        <f t="shared" si="20"/>
        <v>35000</v>
      </c>
      <c r="P267" s="82">
        <f t="shared" si="21"/>
        <v>0</v>
      </c>
      <c r="Q267" s="67">
        <v>35000</v>
      </c>
      <c r="R267" s="82"/>
      <c r="S267" s="67"/>
      <c r="T267" s="82"/>
      <c r="U267" s="67"/>
      <c r="V267" s="82"/>
      <c r="W267" s="82"/>
      <c r="X267" s="82"/>
      <c r="Y267" s="19">
        <v>15</v>
      </c>
      <c r="Z267" s="82"/>
      <c r="AA267" s="69">
        <v>44896</v>
      </c>
      <c r="AB267" s="74"/>
      <c r="AC267" s="75"/>
      <c r="AD267" s="70" t="s">
        <v>453</v>
      </c>
    </row>
    <row r="268" spans="1:30" s="76" customFormat="1" ht="56.25">
      <c r="A268" s="82">
        <f>+SUBTOTAL(3,$B$7:B268)</f>
        <v>262</v>
      </c>
      <c r="B268" s="82" t="s">
        <v>444</v>
      </c>
      <c r="C268" s="82" t="s">
        <v>111</v>
      </c>
      <c r="D268" s="66" t="s">
        <v>210</v>
      </c>
      <c r="E268" s="82">
        <v>2</v>
      </c>
      <c r="F268" s="67" t="s">
        <v>2092</v>
      </c>
      <c r="G268" s="66" t="s">
        <v>854</v>
      </c>
      <c r="H268" s="66" t="s">
        <v>855</v>
      </c>
      <c r="I268" s="66" t="s">
        <v>10</v>
      </c>
      <c r="J268" s="82" t="s">
        <v>30</v>
      </c>
      <c r="K268" s="67">
        <v>4340</v>
      </c>
      <c r="L268" s="82">
        <f t="shared" ref="L268:L296" si="22">+N268+R268+T268*10.2+V268*10.2</f>
        <v>500</v>
      </c>
      <c r="M268" s="67">
        <v>3340</v>
      </c>
      <c r="N268" s="82"/>
      <c r="O268" s="82">
        <f t="shared" si="20"/>
        <v>1000</v>
      </c>
      <c r="P268" s="82">
        <f t="shared" si="21"/>
        <v>500</v>
      </c>
      <c r="Q268" s="67">
        <v>1000</v>
      </c>
      <c r="R268" s="82">
        <v>500</v>
      </c>
      <c r="S268" s="67"/>
      <c r="T268" s="82"/>
      <c r="U268" s="67"/>
      <c r="V268" s="82"/>
      <c r="W268" s="82"/>
      <c r="X268" s="82"/>
      <c r="Y268" s="19">
        <v>15</v>
      </c>
      <c r="Z268" s="82"/>
      <c r="AA268" s="69">
        <v>44550</v>
      </c>
      <c r="AB268" s="74"/>
      <c r="AC268" s="75"/>
      <c r="AD268" s="70" t="s">
        <v>4</v>
      </c>
    </row>
    <row r="269" spans="1:30" s="76" customFormat="1" ht="56.25">
      <c r="A269" s="82">
        <f>+SUBTOTAL(3,$B$7:B269)</f>
        <v>263</v>
      </c>
      <c r="B269" s="82" t="s">
        <v>444</v>
      </c>
      <c r="C269" s="82" t="s">
        <v>111</v>
      </c>
      <c r="D269" s="66" t="s">
        <v>210</v>
      </c>
      <c r="E269" s="82">
        <v>3</v>
      </c>
      <c r="F269" s="67">
        <v>307307426</v>
      </c>
      <c r="G269" s="66" t="s">
        <v>856</v>
      </c>
      <c r="H269" s="66" t="s">
        <v>857</v>
      </c>
      <c r="I269" s="66" t="s">
        <v>9</v>
      </c>
      <c r="J269" s="82" t="s">
        <v>37</v>
      </c>
      <c r="K269" s="67">
        <v>12000</v>
      </c>
      <c r="L269" s="82">
        <f t="shared" si="22"/>
        <v>0</v>
      </c>
      <c r="M269" s="67">
        <v>10000</v>
      </c>
      <c r="N269" s="82"/>
      <c r="O269" s="82">
        <f t="shared" si="20"/>
        <v>2000</v>
      </c>
      <c r="P269" s="82">
        <f t="shared" si="21"/>
        <v>0</v>
      </c>
      <c r="Q269" s="67">
        <v>2000</v>
      </c>
      <c r="R269" s="82"/>
      <c r="S269" s="67"/>
      <c r="T269" s="82"/>
      <c r="U269" s="67"/>
      <c r="V269" s="82"/>
      <c r="W269" s="82"/>
      <c r="X269" s="82"/>
      <c r="Y269" s="19">
        <v>25</v>
      </c>
      <c r="Z269" s="82"/>
      <c r="AA269" s="69">
        <v>44896</v>
      </c>
      <c r="AB269" s="74"/>
      <c r="AC269" s="75"/>
      <c r="AD269" s="70" t="s">
        <v>4</v>
      </c>
    </row>
    <row r="270" spans="1:30" s="76" customFormat="1" ht="75">
      <c r="A270" s="82">
        <f>+SUBTOTAL(3,$B$7:B270)</f>
        <v>264</v>
      </c>
      <c r="B270" s="82" t="s">
        <v>444</v>
      </c>
      <c r="C270" s="82" t="s">
        <v>111</v>
      </c>
      <c r="D270" s="66" t="s">
        <v>210</v>
      </c>
      <c r="E270" s="82">
        <v>2</v>
      </c>
      <c r="F270" s="67">
        <v>203246571</v>
      </c>
      <c r="G270" s="66" t="s">
        <v>858</v>
      </c>
      <c r="H270" s="66" t="s">
        <v>859</v>
      </c>
      <c r="I270" s="66" t="s">
        <v>6</v>
      </c>
      <c r="J270" s="82" t="s">
        <v>13</v>
      </c>
      <c r="K270" s="67">
        <v>2000</v>
      </c>
      <c r="L270" s="82">
        <f t="shared" si="22"/>
        <v>0</v>
      </c>
      <c r="M270" s="67">
        <v>500</v>
      </c>
      <c r="N270" s="82"/>
      <c r="O270" s="82">
        <f t="shared" si="20"/>
        <v>1500</v>
      </c>
      <c r="P270" s="82">
        <f t="shared" si="21"/>
        <v>0</v>
      </c>
      <c r="Q270" s="67">
        <v>1500</v>
      </c>
      <c r="R270" s="82"/>
      <c r="S270" s="67"/>
      <c r="T270" s="82"/>
      <c r="U270" s="67"/>
      <c r="V270" s="82"/>
      <c r="W270" s="82"/>
      <c r="X270" s="82"/>
      <c r="Y270" s="19">
        <v>10</v>
      </c>
      <c r="Z270" s="82"/>
      <c r="AA270" s="69">
        <v>44470</v>
      </c>
      <c r="AB270" s="74"/>
      <c r="AC270" s="75"/>
      <c r="AD270" s="70" t="s">
        <v>4</v>
      </c>
    </row>
    <row r="271" spans="1:30" s="76" customFormat="1" ht="37.5">
      <c r="A271" s="82">
        <f>+SUBTOTAL(3,$B$7:B271)</f>
        <v>265</v>
      </c>
      <c r="B271" s="82" t="s">
        <v>444</v>
      </c>
      <c r="C271" s="82" t="s">
        <v>111</v>
      </c>
      <c r="D271" s="66" t="s">
        <v>210</v>
      </c>
      <c r="E271" s="82">
        <v>2</v>
      </c>
      <c r="F271" s="67">
        <v>203246571</v>
      </c>
      <c r="G271" s="66" t="s">
        <v>858</v>
      </c>
      <c r="H271" s="66" t="s">
        <v>860</v>
      </c>
      <c r="I271" s="66" t="s">
        <v>6</v>
      </c>
      <c r="J271" s="82" t="s">
        <v>13</v>
      </c>
      <c r="K271" s="67">
        <v>350</v>
      </c>
      <c r="L271" s="82">
        <f t="shared" si="22"/>
        <v>0</v>
      </c>
      <c r="M271" s="67">
        <v>350</v>
      </c>
      <c r="N271" s="82"/>
      <c r="O271" s="82">
        <f t="shared" si="20"/>
        <v>0</v>
      </c>
      <c r="P271" s="82">
        <f t="shared" si="21"/>
        <v>0</v>
      </c>
      <c r="Q271" s="67"/>
      <c r="R271" s="82"/>
      <c r="S271" s="67"/>
      <c r="T271" s="82"/>
      <c r="U271" s="67"/>
      <c r="V271" s="82"/>
      <c r="W271" s="82"/>
      <c r="X271" s="82"/>
      <c r="Y271" s="19">
        <v>5</v>
      </c>
      <c r="Z271" s="82"/>
      <c r="AA271" s="69">
        <v>44348</v>
      </c>
      <c r="AB271" s="74"/>
      <c r="AC271" s="75"/>
      <c r="AD271" s="70" t="s">
        <v>477</v>
      </c>
    </row>
    <row r="272" spans="1:30" s="76" customFormat="1" ht="37.5">
      <c r="A272" s="82">
        <f>+SUBTOTAL(3,$B$7:B272)</f>
        <v>266</v>
      </c>
      <c r="B272" s="82" t="s">
        <v>444</v>
      </c>
      <c r="C272" s="82" t="s">
        <v>111</v>
      </c>
      <c r="D272" s="66" t="s">
        <v>210</v>
      </c>
      <c r="E272" s="82">
        <v>3</v>
      </c>
      <c r="F272" s="67">
        <v>304714904</v>
      </c>
      <c r="G272" s="66" t="s">
        <v>861</v>
      </c>
      <c r="H272" s="66" t="s">
        <v>862</v>
      </c>
      <c r="I272" s="66" t="s">
        <v>10</v>
      </c>
      <c r="J272" s="82" t="s">
        <v>44</v>
      </c>
      <c r="K272" s="67">
        <v>7700</v>
      </c>
      <c r="L272" s="82">
        <f t="shared" si="22"/>
        <v>0</v>
      </c>
      <c r="M272" s="67">
        <v>7700</v>
      </c>
      <c r="N272" s="82"/>
      <c r="O272" s="82">
        <f t="shared" si="20"/>
        <v>0</v>
      </c>
      <c r="P272" s="82">
        <f t="shared" si="21"/>
        <v>0</v>
      </c>
      <c r="Q272" s="67"/>
      <c r="R272" s="82"/>
      <c r="S272" s="67"/>
      <c r="T272" s="82"/>
      <c r="U272" s="67"/>
      <c r="V272" s="82"/>
      <c r="W272" s="82"/>
      <c r="X272" s="82"/>
      <c r="Y272" s="19">
        <v>40</v>
      </c>
      <c r="Z272" s="82"/>
      <c r="AA272" s="69">
        <v>44256</v>
      </c>
      <c r="AB272" s="74"/>
      <c r="AC272" s="75"/>
      <c r="AD272" s="70" t="s">
        <v>477</v>
      </c>
    </row>
    <row r="273" spans="1:30" s="76" customFormat="1" ht="37.5">
      <c r="A273" s="82">
        <f>+SUBTOTAL(3,$B$7:B273)</f>
        <v>267</v>
      </c>
      <c r="B273" s="82" t="s">
        <v>444</v>
      </c>
      <c r="C273" s="82" t="s">
        <v>111</v>
      </c>
      <c r="D273" s="66" t="s">
        <v>210</v>
      </c>
      <c r="E273" s="82">
        <v>3</v>
      </c>
      <c r="F273" s="67">
        <v>202744199</v>
      </c>
      <c r="G273" s="66" t="s">
        <v>863</v>
      </c>
      <c r="H273" s="66" t="s">
        <v>864</v>
      </c>
      <c r="I273" s="66" t="s">
        <v>10</v>
      </c>
      <c r="J273" s="82" t="s">
        <v>30</v>
      </c>
      <c r="K273" s="67">
        <v>8000</v>
      </c>
      <c r="L273" s="82">
        <f t="shared" si="22"/>
        <v>0</v>
      </c>
      <c r="M273" s="67">
        <v>8000</v>
      </c>
      <c r="N273" s="82"/>
      <c r="O273" s="82">
        <f t="shared" si="20"/>
        <v>0</v>
      </c>
      <c r="P273" s="82">
        <f t="shared" si="21"/>
        <v>0</v>
      </c>
      <c r="Q273" s="67"/>
      <c r="R273" s="82"/>
      <c r="S273" s="67"/>
      <c r="T273" s="82"/>
      <c r="U273" s="67"/>
      <c r="V273" s="82"/>
      <c r="W273" s="82"/>
      <c r="X273" s="82"/>
      <c r="Y273" s="19">
        <v>13</v>
      </c>
      <c r="Z273" s="82"/>
      <c r="AA273" s="69">
        <v>44348</v>
      </c>
      <c r="AB273" s="74"/>
      <c r="AC273" s="75"/>
      <c r="AD273" s="70" t="s">
        <v>477</v>
      </c>
    </row>
    <row r="274" spans="1:30" s="76" customFormat="1" ht="37.5">
      <c r="A274" s="82">
        <f>+SUBTOTAL(3,$B$7:B274)</f>
        <v>268</v>
      </c>
      <c r="B274" s="82" t="s">
        <v>444</v>
      </c>
      <c r="C274" s="82" t="s">
        <v>111</v>
      </c>
      <c r="D274" s="66" t="s">
        <v>210</v>
      </c>
      <c r="E274" s="82">
        <v>2</v>
      </c>
      <c r="F274" s="67">
        <v>305070400</v>
      </c>
      <c r="G274" s="66" t="s">
        <v>865</v>
      </c>
      <c r="H274" s="66" t="s">
        <v>866</v>
      </c>
      <c r="I274" s="66" t="s">
        <v>6</v>
      </c>
      <c r="J274" s="82" t="s">
        <v>52</v>
      </c>
      <c r="K274" s="67">
        <v>3500</v>
      </c>
      <c r="L274" s="82">
        <f t="shared" si="22"/>
        <v>2190</v>
      </c>
      <c r="M274" s="67">
        <v>1500</v>
      </c>
      <c r="N274" s="82">
        <v>500</v>
      </c>
      <c r="O274" s="82">
        <f t="shared" si="20"/>
        <v>2000</v>
      </c>
      <c r="P274" s="82">
        <f t="shared" si="21"/>
        <v>1690</v>
      </c>
      <c r="Q274" s="67">
        <v>2000</v>
      </c>
      <c r="R274" s="82">
        <v>1690</v>
      </c>
      <c r="S274" s="67"/>
      <c r="T274" s="82"/>
      <c r="U274" s="67"/>
      <c r="V274" s="82"/>
      <c r="W274" s="82"/>
      <c r="X274" s="82"/>
      <c r="Y274" s="19">
        <v>15</v>
      </c>
      <c r="Z274" s="82">
        <v>4</v>
      </c>
      <c r="AA274" s="69">
        <v>44866</v>
      </c>
      <c r="AB274" s="74">
        <v>44127</v>
      </c>
      <c r="AC274" s="75" t="s">
        <v>2067</v>
      </c>
      <c r="AD274" s="70" t="s">
        <v>4</v>
      </c>
    </row>
    <row r="275" spans="1:30" s="76" customFormat="1" ht="37.5">
      <c r="A275" s="82">
        <f>+SUBTOTAL(3,$B$7:B275)</f>
        <v>269</v>
      </c>
      <c r="B275" s="82" t="s">
        <v>444</v>
      </c>
      <c r="C275" s="82" t="s">
        <v>111</v>
      </c>
      <c r="D275" s="66" t="s">
        <v>210</v>
      </c>
      <c r="E275" s="82">
        <v>2</v>
      </c>
      <c r="F275" s="67">
        <v>305395146</v>
      </c>
      <c r="G275" s="66" t="s">
        <v>867</v>
      </c>
      <c r="H275" s="66" t="s">
        <v>868</v>
      </c>
      <c r="I275" s="66" t="s">
        <v>6</v>
      </c>
      <c r="J275" s="82" t="s">
        <v>14</v>
      </c>
      <c r="K275" s="67">
        <v>14250</v>
      </c>
      <c r="L275" s="82">
        <f t="shared" si="22"/>
        <v>0</v>
      </c>
      <c r="M275" s="67">
        <v>0</v>
      </c>
      <c r="N275" s="82"/>
      <c r="O275" s="82">
        <f t="shared" si="20"/>
        <v>0</v>
      </c>
      <c r="P275" s="82">
        <f t="shared" si="21"/>
        <v>0</v>
      </c>
      <c r="Q275" s="67">
        <v>0</v>
      </c>
      <c r="R275" s="82"/>
      <c r="S275" s="67">
        <v>0</v>
      </c>
      <c r="T275" s="82"/>
      <c r="U275" s="67">
        <v>1500</v>
      </c>
      <c r="V275" s="82"/>
      <c r="W275" s="82" t="s">
        <v>1838</v>
      </c>
      <c r="X275" s="82" t="s">
        <v>1839</v>
      </c>
      <c r="Y275" s="19">
        <v>10</v>
      </c>
      <c r="Z275" s="82"/>
      <c r="AA275" s="69">
        <v>44531</v>
      </c>
      <c r="AB275" s="74"/>
      <c r="AC275" s="75"/>
      <c r="AD275" s="70" t="s">
        <v>477</v>
      </c>
    </row>
    <row r="276" spans="1:30" s="76" customFormat="1" ht="56.25">
      <c r="A276" s="82">
        <f>+SUBTOTAL(3,$B$7:B276)</f>
        <v>270</v>
      </c>
      <c r="B276" s="82" t="s">
        <v>444</v>
      </c>
      <c r="C276" s="82" t="s">
        <v>111</v>
      </c>
      <c r="D276" s="66" t="s">
        <v>210</v>
      </c>
      <c r="E276" s="82">
        <v>1</v>
      </c>
      <c r="F276" s="67">
        <v>305382559</v>
      </c>
      <c r="G276" s="66" t="s">
        <v>869</v>
      </c>
      <c r="H276" s="66" t="s">
        <v>870</v>
      </c>
      <c r="I276" s="66" t="s">
        <v>10</v>
      </c>
      <c r="J276" s="82" t="s">
        <v>30</v>
      </c>
      <c r="K276" s="67">
        <v>350</v>
      </c>
      <c r="L276" s="82">
        <f t="shared" si="22"/>
        <v>0</v>
      </c>
      <c r="M276" s="67">
        <v>350</v>
      </c>
      <c r="N276" s="82"/>
      <c r="O276" s="82">
        <f t="shared" si="20"/>
        <v>0</v>
      </c>
      <c r="P276" s="82">
        <f t="shared" si="21"/>
        <v>0</v>
      </c>
      <c r="Q276" s="67">
        <v>0</v>
      </c>
      <c r="R276" s="82"/>
      <c r="S276" s="67"/>
      <c r="T276" s="82"/>
      <c r="U276" s="67"/>
      <c r="V276" s="82"/>
      <c r="W276" s="82"/>
      <c r="X276" s="82"/>
      <c r="Y276" s="19">
        <v>5</v>
      </c>
      <c r="Z276" s="82"/>
      <c r="AA276" s="69">
        <v>44440</v>
      </c>
      <c r="AB276" s="74"/>
      <c r="AC276" s="75"/>
      <c r="AD276" s="70" t="s">
        <v>477</v>
      </c>
    </row>
    <row r="277" spans="1:30" s="76" customFormat="1" ht="56.25">
      <c r="A277" s="82">
        <f>+SUBTOTAL(3,$B$7:B277)</f>
        <v>271</v>
      </c>
      <c r="B277" s="82" t="s">
        <v>444</v>
      </c>
      <c r="C277" s="82" t="s">
        <v>111</v>
      </c>
      <c r="D277" s="66" t="s">
        <v>210</v>
      </c>
      <c r="E277" s="82">
        <v>1</v>
      </c>
      <c r="F277" s="67">
        <v>302478652</v>
      </c>
      <c r="G277" s="66" t="s">
        <v>871</v>
      </c>
      <c r="H277" s="66" t="s">
        <v>872</v>
      </c>
      <c r="I277" s="66" t="s">
        <v>10</v>
      </c>
      <c r="J277" s="82" t="s">
        <v>30</v>
      </c>
      <c r="K277" s="67">
        <v>1200</v>
      </c>
      <c r="L277" s="82">
        <f t="shared" si="22"/>
        <v>0</v>
      </c>
      <c r="M277" s="67">
        <v>1200</v>
      </c>
      <c r="N277" s="82"/>
      <c r="O277" s="82">
        <f t="shared" si="20"/>
        <v>0</v>
      </c>
      <c r="P277" s="82">
        <f t="shared" si="21"/>
        <v>0</v>
      </c>
      <c r="Q277" s="67"/>
      <c r="R277" s="82"/>
      <c r="S277" s="67"/>
      <c r="T277" s="82"/>
      <c r="U277" s="67"/>
      <c r="V277" s="82"/>
      <c r="W277" s="82"/>
      <c r="X277" s="82"/>
      <c r="Y277" s="19">
        <v>20</v>
      </c>
      <c r="Z277" s="82"/>
      <c r="AA277" s="69">
        <v>44440</v>
      </c>
      <c r="AB277" s="74"/>
      <c r="AC277" s="75"/>
      <c r="AD277" s="70" t="s">
        <v>477</v>
      </c>
    </row>
    <row r="278" spans="1:30" s="76" customFormat="1" ht="37.5">
      <c r="A278" s="82">
        <f>+SUBTOTAL(3,$B$7:B278)</f>
        <v>272</v>
      </c>
      <c r="B278" s="82" t="s">
        <v>444</v>
      </c>
      <c r="C278" s="82" t="s">
        <v>111</v>
      </c>
      <c r="D278" s="66" t="s">
        <v>210</v>
      </c>
      <c r="E278" s="82">
        <v>1</v>
      </c>
      <c r="F278" s="67">
        <v>302606682</v>
      </c>
      <c r="G278" s="66" t="s">
        <v>873</v>
      </c>
      <c r="H278" s="66" t="s">
        <v>874</v>
      </c>
      <c r="I278" s="66" t="s">
        <v>10</v>
      </c>
      <c r="J278" s="82" t="s">
        <v>66</v>
      </c>
      <c r="K278" s="67">
        <v>8500</v>
      </c>
      <c r="L278" s="82">
        <f t="shared" si="22"/>
        <v>0</v>
      </c>
      <c r="M278" s="67">
        <v>3500</v>
      </c>
      <c r="N278" s="82"/>
      <c r="O278" s="82">
        <f t="shared" si="20"/>
        <v>5000</v>
      </c>
      <c r="P278" s="82">
        <f t="shared" si="21"/>
        <v>0</v>
      </c>
      <c r="Q278" s="67">
        <v>5000</v>
      </c>
      <c r="R278" s="82"/>
      <c r="S278" s="67"/>
      <c r="T278" s="82"/>
      <c r="U278" s="67"/>
      <c r="V278" s="82"/>
      <c r="W278" s="82"/>
      <c r="X278" s="82"/>
      <c r="Y278" s="19">
        <v>20</v>
      </c>
      <c r="Z278" s="82"/>
      <c r="AA278" s="69">
        <v>44470</v>
      </c>
      <c r="AB278" s="74"/>
      <c r="AC278" s="75"/>
      <c r="AD278" s="70" t="s">
        <v>4</v>
      </c>
    </row>
    <row r="279" spans="1:30" s="76" customFormat="1" ht="56.25">
      <c r="A279" s="82">
        <f>+SUBTOTAL(3,$B$7:B279)</f>
        <v>273</v>
      </c>
      <c r="B279" s="82" t="s">
        <v>444</v>
      </c>
      <c r="C279" s="82" t="s">
        <v>111</v>
      </c>
      <c r="D279" s="66" t="s">
        <v>210</v>
      </c>
      <c r="E279" s="82">
        <v>3</v>
      </c>
      <c r="F279" s="67">
        <v>203279475</v>
      </c>
      <c r="G279" s="66" t="s">
        <v>875</v>
      </c>
      <c r="H279" s="66" t="s">
        <v>876</v>
      </c>
      <c r="I279" s="66" t="s">
        <v>6</v>
      </c>
      <c r="J279" s="82" t="s">
        <v>55</v>
      </c>
      <c r="K279" s="67">
        <v>399050</v>
      </c>
      <c r="L279" s="82">
        <f t="shared" si="22"/>
        <v>0</v>
      </c>
      <c r="M279" s="67">
        <v>97900</v>
      </c>
      <c r="N279" s="82"/>
      <c r="O279" s="82">
        <f t="shared" si="20"/>
        <v>323340</v>
      </c>
      <c r="P279" s="82">
        <f t="shared" si="21"/>
        <v>0</v>
      </c>
      <c r="Q279" s="67"/>
      <c r="R279" s="82"/>
      <c r="S279" s="67">
        <v>31700</v>
      </c>
      <c r="T279" s="82"/>
      <c r="U279" s="67"/>
      <c r="V279" s="82"/>
      <c r="W279" s="82"/>
      <c r="X279" s="82"/>
      <c r="Y279" s="19">
        <v>1150</v>
      </c>
      <c r="Z279" s="82"/>
      <c r="AA279" s="69">
        <v>44560</v>
      </c>
      <c r="AB279" s="74"/>
      <c r="AC279" s="75"/>
      <c r="AD279" s="70" t="s">
        <v>4</v>
      </c>
    </row>
    <row r="280" spans="1:30" s="76" customFormat="1" ht="56.25">
      <c r="A280" s="82">
        <f>+SUBTOTAL(3,$B$7:B280)</f>
        <v>274</v>
      </c>
      <c r="B280" s="82" t="s">
        <v>444</v>
      </c>
      <c r="C280" s="82" t="s">
        <v>111</v>
      </c>
      <c r="D280" s="66" t="s">
        <v>210</v>
      </c>
      <c r="E280" s="82">
        <v>2</v>
      </c>
      <c r="F280" s="67">
        <v>306328076</v>
      </c>
      <c r="G280" s="66" t="s">
        <v>877</v>
      </c>
      <c r="H280" s="66" t="s">
        <v>878</v>
      </c>
      <c r="I280" s="66" t="s">
        <v>6</v>
      </c>
      <c r="J280" s="82" t="s">
        <v>52</v>
      </c>
      <c r="K280" s="67">
        <v>70000</v>
      </c>
      <c r="L280" s="82">
        <f t="shared" si="22"/>
        <v>40290</v>
      </c>
      <c r="M280" s="67">
        <v>22500</v>
      </c>
      <c r="N280" s="82"/>
      <c r="O280" s="82">
        <f t="shared" si="20"/>
        <v>51000</v>
      </c>
      <c r="P280" s="82">
        <f t="shared" si="21"/>
        <v>40290</v>
      </c>
      <c r="Q280" s="67">
        <v>0</v>
      </c>
      <c r="R280" s="82"/>
      <c r="S280" s="67">
        <v>5000</v>
      </c>
      <c r="T280" s="82">
        <v>3950</v>
      </c>
      <c r="U280" s="67"/>
      <c r="V280" s="82"/>
      <c r="W280" s="82"/>
      <c r="X280" s="82"/>
      <c r="Y280" s="19">
        <v>100</v>
      </c>
      <c r="Z280" s="82"/>
      <c r="AA280" s="69">
        <v>44440</v>
      </c>
      <c r="AB280" s="74"/>
      <c r="AC280" s="75"/>
      <c r="AD280" s="70" t="s">
        <v>4</v>
      </c>
    </row>
    <row r="281" spans="1:30" s="76" customFormat="1" ht="37.5">
      <c r="A281" s="82">
        <f>+SUBTOTAL(3,$B$7:B281)</f>
        <v>275</v>
      </c>
      <c r="B281" s="82" t="s">
        <v>444</v>
      </c>
      <c r="C281" s="82" t="s">
        <v>111</v>
      </c>
      <c r="D281" s="66" t="s">
        <v>210</v>
      </c>
      <c r="E281" s="82">
        <v>2</v>
      </c>
      <c r="F281" s="67" t="s">
        <v>1840</v>
      </c>
      <c r="G281" s="66" t="s">
        <v>879</v>
      </c>
      <c r="H281" s="66" t="s">
        <v>880</v>
      </c>
      <c r="I281" s="66" t="s">
        <v>9</v>
      </c>
      <c r="J281" s="82" t="s">
        <v>47</v>
      </c>
      <c r="K281" s="67">
        <v>7500</v>
      </c>
      <c r="L281" s="82">
        <f t="shared" si="22"/>
        <v>1500</v>
      </c>
      <c r="M281" s="67">
        <v>4000</v>
      </c>
      <c r="N281" s="82"/>
      <c r="O281" s="82">
        <f t="shared" si="20"/>
        <v>3500</v>
      </c>
      <c r="P281" s="82">
        <f t="shared" si="21"/>
        <v>1500</v>
      </c>
      <c r="Q281" s="67">
        <v>3500</v>
      </c>
      <c r="R281" s="82">
        <v>1500</v>
      </c>
      <c r="S281" s="67"/>
      <c r="T281" s="82"/>
      <c r="U281" s="67"/>
      <c r="V281" s="82"/>
      <c r="W281" s="82"/>
      <c r="X281" s="82"/>
      <c r="Y281" s="19">
        <v>10</v>
      </c>
      <c r="Z281" s="82"/>
      <c r="AA281" s="69">
        <v>44531</v>
      </c>
      <c r="AB281" s="74"/>
      <c r="AC281" s="75"/>
      <c r="AD281" s="70" t="s">
        <v>4</v>
      </c>
    </row>
    <row r="282" spans="1:30" s="76" customFormat="1" ht="37.5">
      <c r="A282" s="82">
        <f>+SUBTOTAL(3,$B$7:B282)</f>
        <v>276</v>
      </c>
      <c r="B282" s="82" t="s">
        <v>444</v>
      </c>
      <c r="C282" s="82" t="s">
        <v>111</v>
      </c>
      <c r="D282" s="66" t="s">
        <v>210</v>
      </c>
      <c r="E282" s="82">
        <v>1</v>
      </c>
      <c r="F282" s="67">
        <v>204275299</v>
      </c>
      <c r="G282" s="66" t="s">
        <v>881</v>
      </c>
      <c r="H282" s="66" t="s">
        <v>882</v>
      </c>
      <c r="I282" s="66" t="s">
        <v>10</v>
      </c>
      <c r="J282" s="82" t="s">
        <v>59</v>
      </c>
      <c r="K282" s="67">
        <v>3000</v>
      </c>
      <c r="L282" s="82">
        <f t="shared" si="22"/>
        <v>150</v>
      </c>
      <c r="M282" s="67">
        <v>1000</v>
      </c>
      <c r="N282" s="82"/>
      <c r="O282" s="82">
        <f t="shared" si="20"/>
        <v>1000</v>
      </c>
      <c r="P282" s="82">
        <f t="shared" si="21"/>
        <v>150</v>
      </c>
      <c r="Q282" s="67">
        <v>1000</v>
      </c>
      <c r="R282" s="82">
        <v>150</v>
      </c>
      <c r="S282" s="67"/>
      <c r="T282" s="82"/>
      <c r="U282" s="67"/>
      <c r="V282" s="82"/>
      <c r="W282" s="82"/>
      <c r="X282" s="82"/>
      <c r="Y282" s="19">
        <v>10</v>
      </c>
      <c r="Z282" s="82"/>
      <c r="AA282" s="69">
        <v>44348</v>
      </c>
      <c r="AB282" s="74"/>
      <c r="AC282" s="75"/>
      <c r="AD282" s="70" t="s">
        <v>4</v>
      </c>
    </row>
    <row r="283" spans="1:30" s="76" customFormat="1" ht="37.5">
      <c r="A283" s="82">
        <f>+SUBTOTAL(3,$B$7:B283)</f>
        <v>277</v>
      </c>
      <c r="B283" s="82" t="s">
        <v>444</v>
      </c>
      <c r="C283" s="82" t="s">
        <v>111</v>
      </c>
      <c r="D283" s="66" t="s">
        <v>210</v>
      </c>
      <c r="E283" s="82">
        <v>1</v>
      </c>
      <c r="F283" s="67">
        <v>307605388</v>
      </c>
      <c r="G283" s="66" t="s">
        <v>883</v>
      </c>
      <c r="H283" s="66" t="s">
        <v>151</v>
      </c>
      <c r="I283" s="66" t="s">
        <v>10</v>
      </c>
      <c r="J283" s="82" t="s">
        <v>60</v>
      </c>
      <c r="K283" s="67">
        <v>2028</v>
      </c>
      <c r="L283" s="82">
        <f t="shared" si="22"/>
        <v>1000</v>
      </c>
      <c r="M283" s="67">
        <v>1028</v>
      </c>
      <c r="N283" s="82"/>
      <c r="O283" s="82">
        <f t="shared" si="20"/>
        <v>1000</v>
      </c>
      <c r="P283" s="82">
        <f t="shared" si="21"/>
        <v>1000</v>
      </c>
      <c r="Q283" s="67">
        <v>1000</v>
      </c>
      <c r="R283" s="82">
        <v>1000</v>
      </c>
      <c r="S283" s="67"/>
      <c r="T283" s="82"/>
      <c r="U283" s="67"/>
      <c r="V283" s="82"/>
      <c r="W283" s="82"/>
      <c r="X283" s="82"/>
      <c r="Y283" s="19">
        <v>20</v>
      </c>
      <c r="Z283" s="82"/>
      <c r="AA283" s="69">
        <v>44470</v>
      </c>
      <c r="AB283" s="74"/>
      <c r="AC283" s="75"/>
      <c r="AD283" s="70" t="s">
        <v>4</v>
      </c>
    </row>
    <row r="284" spans="1:30" s="76" customFormat="1" ht="37.5">
      <c r="A284" s="82">
        <f>+SUBTOTAL(3,$B$7:B284)</f>
        <v>278</v>
      </c>
      <c r="B284" s="82" t="s">
        <v>444</v>
      </c>
      <c r="C284" s="82" t="s">
        <v>111</v>
      </c>
      <c r="D284" s="66" t="s">
        <v>210</v>
      </c>
      <c r="E284" s="82">
        <v>1</v>
      </c>
      <c r="F284" s="67">
        <v>305946013</v>
      </c>
      <c r="G284" s="66" t="s">
        <v>1986</v>
      </c>
      <c r="H284" s="66" t="s">
        <v>884</v>
      </c>
      <c r="I284" s="66" t="s">
        <v>10</v>
      </c>
      <c r="J284" s="82" t="s">
        <v>44</v>
      </c>
      <c r="K284" s="67">
        <v>250</v>
      </c>
      <c r="L284" s="82">
        <f t="shared" si="22"/>
        <v>200</v>
      </c>
      <c r="M284" s="67">
        <v>50</v>
      </c>
      <c r="N284" s="82"/>
      <c r="O284" s="82">
        <f t="shared" si="20"/>
        <v>200</v>
      </c>
      <c r="P284" s="82">
        <f t="shared" si="21"/>
        <v>200</v>
      </c>
      <c r="Q284" s="67">
        <v>200</v>
      </c>
      <c r="R284" s="82">
        <v>200</v>
      </c>
      <c r="S284" s="67"/>
      <c r="T284" s="82"/>
      <c r="U284" s="67"/>
      <c r="V284" s="82"/>
      <c r="W284" s="82"/>
      <c r="X284" s="82"/>
      <c r="Y284" s="19">
        <v>6</v>
      </c>
      <c r="Z284" s="82"/>
      <c r="AA284" s="69">
        <v>44348</v>
      </c>
      <c r="AB284" s="74"/>
      <c r="AC284" s="75"/>
      <c r="AD284" s="70" t="s">
        <v>4</v>
      </c>
    </row>
    <row r="285" spans="1:30" s="76" customFormat="1" ht="37.5">
      <c r="A285" s="82">
        <f>+SUBTOTAL(3,$B$7:B285)</f>
        <v>279</v>
      </c>
      <c r="B285" s="82" t="s">
        <v>444</v>
      </c>
      <c r="C285" s="82" t="s">
        <v>111</v>
      </c>
      <c r="D285" s="66" t="s">
        <v>210</v>
      </c>
      <c r="E285" s="82">
        <v>3</v>
      </c>
      <c r="F285" s="67">
        <v>303750988</v>
      </c>
      <c r="G285" s="66" t="s">
        <v>885</v>
      </c>
      <c r="H285" s="66" t="s">
        <v>886</v>
      </c>
      <c r="I285" s="66" t="s">
        <v>9</v>
      </c>
      <c r="J285" s="82" t="s">
        <v>41</v>
      </c>
      <c r="K285" s="67">
        <v>2500</v>
      </c>
      <c r="L285" s="82">
        <f t="shared" si="22"/>
        <v>1500</v>
      </c>
      <c r="M285" s="67">
        <v>1000</v>
      </c>
      <c r="N285" s="82"/>
      <c r="O285" s="82">
        <f t="shared" si="20"/>
        <v>1500</v>
      </c>
      <c r="P285" s="82">
        <f t="shared" si="21"/>
        <v>1500</v>
      </c>
      <c r="Q285" s="67">
        <v>1500</v>
      </c>
      <c r="R285" s="82">
        <v>1500</v>
      </c>
      <c r="S285" s="67"/>
      <c r="T285" s="82"/>
      <c r="U285" s="67"/>
      <c r="V285" s="82"/>
      <c r="W285" s="82"/>
      <c r="X285" s="82"/>
      <c r="Y285" s="19">
        <v>8</v>
      </c>
      <c r="Z285" s="82"/>
      <c r="AA285" s="69">
        <v>44348</v>
      </c>
      <c r="AB285" s="74"/>
      <c r="AC285" s="75"/>
      <c r="AD285" s="70" t="s">
        <v>4</v>
      </c>
    </row>
    <row r="286" spans="1:30" s="76" customFormat="1" ht="37.5">
      <c r="A286" s="82">
        <f>+SUBTOTAL(3,$B$7:B286)</f>
        <v>280</v>
      </c>
      <c r="B286" s="82" t="s">
        <v>444</v>
      </c>
      <c r="C286" s="82" t="s">
        <v>111</v>
      </c>
      <c r="D286" s="66" t="s">
        <v>210</v>
      </c>
      <c r="E286" s="82">
        <v>1</v>
      </c>
      <c r="F286" s="67">
        <v>306874980</v>
      </c>
      <c r="G286" s="66" t="s">
        <v>887</v>
      </c>
      <c r="H286" s="66" t="s">
        <v>888</v>
      </c>
      <c r="I286" s="66" t="s">
        <v>10</v>
      </c>
      <c r="J286" s="82" t="s">
        <v>66</v>
      </c>
      <c r="K286" s="67">
        <v>1005</v>
      </c>
      <c r="L286" s="82">
        <f t="shared" si="22"/>
        <v>220</v>
      </c>
      <c r="M286" s="67">
        <v>785</v>
      </c>
      <c r="N286" s="82"/>
      <c r="O286" s="82">
        <f t="shared" si="20"/>
        <v>220</v>
      </c>
      <c r="P286" s="82">
        <f t="shared" si="21"/>
        <v>220</v>
      </c>
      <c r="Q286" s="67">
        <v>220</v>
      </c>
      <c r="R286" s="82">
        <v>220</v>
      </c>
      <c r="S286" s="67">
        <v>0</v>
      </c>
      <c r="T286" s="82"/>
      <c r="U286" s="67"/>
      <c r="V286" s="82"/>
      <c r="W286" s="82"/>
      <c r="X286" s="82"/>
      <c r="Y286" s="68">
        <v>3</v>
      </c>
      <c r="Z286" s="82"/>
      <c r="AA286" s="69">
        <v>44470</v>
      </c>
      <c r="AB286" s="74"/>
      <c r="AC286" s="75"/>
      <c r="AD286" s="70" t="s">
        <v>4</v>
      </c>
    </row>
    <row r="287" spans="1:30" s="76" customFormat="1" ht="37.5">
      <c r="A287" s="82">
        <f>+SUBTOTAL(3,$B$7:B287)</f>
        <v>281</v>
      </c>
      <c r="B287" s="82" t="s">
        <v>444</v>
      </c>
      <c r="C287" s="82" t="s">
        <v>111</v>
      </c>
      <c r="D287" s="66" t="s">
        <v>210</v>
      </c>
      <c r="E287" s="82">
        <v>2</v>
      </c>
      <c r="F287" s="67" t="s">
        <v>2093</v>
      </c>
      <c r="G287" s="66" t="s">
        <v>889</v>
      </c>
      <c r="H287" s="66" t="s">
        <v>890</v>
      </c>
      <c r="I287" s="66" t="s">
        <v>6</v>
      </c>
      <c r="J287" s="82" t="s">
        <v>49</v>
      </c>
      <c r="K287" s="67">
        <v>1100</v>
      </c>
      <c r="L287" s="82">
        <f t="shared" si="22"/>
        <v>600</v>
      </c>
      <c r="M287" s="67">
        <v>500</v>
      </c>
      <c r="N287" s="82"/>
      <c r="O287" s="82">
        <f t="shared" si="20"/>
        <v>600</v>
      </c>
      <c r="P287" s="82">
        <f t="shared" si="21"/>
        <v>600</v>
      </c>
      <c r="Q287" s="67">
        <v>600</v>
      </c>
      <c r="R287" s="82">
        <v>600</v>
      </c>
      <c r="S287" s="67">
        <v>0</v>
      </c>
      <c r="T287" s="82"/>
      <c r="U287" s="67"/>
      <c r="V287" s="82"/>
      <c r="W287" s="82"/>
      <c r="X287" s="82"/>
      <c r="Y287" s="82">
        <v>3</v>
      </c>
      <c r="Z287" s="82"/>
      <c r="AA287" s="69">
        <v>44531</v>
      </c>
      <c r="AB287" s="74"/>
      <c r="AC287" s="75"/>
      <c r="AD287" s="70" t="s">
        <v>4</v>
      </c>
    </row>
    <row r="288" spans="1:30" s="76" customFormat="1" ht="37.5">
      <c r="A288" s="82">
        <f>+SUBTOTAL(3,$B$7:B288)</f>
        <v>282</v>
      </c>
      <c r="B288" s="82" t="s">
        <v>444</v>
      </c>
      <c r="C288" s="82" t="s">
        <v>111</v>
      </c>
      <c r="D288" s="66" t="s">
        <v>210</v>
      </c>
      <c r="E288" s="82">
        <v>1</v>
      </c>
      <c r="F288" s="67">
        <v>303750988</v>
      </c>
      <c r="G288" s="66" t="s">
        <v>891</v>
      </c>
      <c r="H288" s="66" t="s">
        <v>892</v>
      </c>
      <c r="I288" s="66" t="s">
        <v>10</v>
      </c>
      <c r="J288" s="82" t="s">
        <v>30</v>
      </c>
      <c r="K288" s="67">
        <v>1200</v>
      </c>
      <c r="L288" s="82">
        <f t="shared" si="22"/>
        <v>600</v>
      </c>
      <c r="M288" s="67">
        <v>600</v>
      </c>
      <c r="N288" s="82"/>
      <c r="O288" s="82">
        <f t="shared" si="20"/>
        <v>600</v>
      </c>
      <c r="P288" s="82">
        <f t="shared" si="21"/>
        <v>600</v>
      </c>
      <c r="Q288" s="67">
        <v>600</v>
      </c>
      <c r="R288" s="82">
        <v>600</v>
      </c>
      <c r="S288" s="67">
        <v>0</v>
      </c>
      <c r="T288" s="82"/>
      <c r="U288" s="67"/>
      <c r="V288" s="82"/>
      <c r="W288" s="82"/>
      <c r="X288" s="82"/>
      <c r="Y288" s="19">
        <v>10</v>
      </c>
      <c r="Z288" s="82"/>
      <c r="AA288" s="69">
        <v>44470</v>
      </c>
      <c r="AB288" s="74"/>
      <c r="AC288" s="75"/>
      <c r="AD288" s="70" t="s">
        <v>4</v>
      </c>
    </row>
    <row r="289" spans="1:30" s="76" customFormat="1" ht="37.5">
      <c r="A289" s="82">
        <f>+SUBTOTAL(3,$B$7:B289)</f>
        <v>283</v>
      </c>
      <c r="B289" s="82" t="s">
        <v>444</v>
      </c>
      <c r="C289" s="82" t="s">
        <v>111</v>
      </c>
      <c r="D289" s="66" t="s">
        <v>210</v>
      </c>
      <c r="E289" s="82">
        <v>1</v>
      </c>
      <c r="F289" s="67">
        <v>307820572</v>
      </c>
      <c r="G289" s="66" t="s">
        <v>893</v>
      </c>
      <c r="H289" s="66" t="s">
        <v>894</v>
      </c>
      <c r="I289" s="66" t="s">
        <v>10</v>
      </c>
      <c r="J289" s="82" t="s">
        <v>59</v>
      </c>
      <c r="K289" s="67">
        <v>2000</v>
      </c>
      <c r="L289" s="82">
        <f t="shared" si="22"/>
        <v>0</v>
      </c>
      <c r="M289" s="67">
        <v>1000</v>
      </c>
      <c r="N289" s="82"/>
      <c r="O289" s="82">
        <f t="shared" si="20"/>
        <v>1000</v>
      </c>
      <c r="P289" s="82">
        <f t="shared" si="21"/>
        <v>0</v>
      </c>
      <c r="Q289" s="67">
        <v>1000</v>
      </c>
      <c r="R289" s="82"/>
      <c r="S289" s="67">
        <v>0</v>
      </c>
      <c r="T289" s="82"/>
      <c r="U289" s="67"/>
      <c r="V289" s="82"/>
      <c r="W289" s="82"/>
      <c r="X289" s="82"/>
      <c r="Y289" s="19">
        <v>6</v>
      </c>
      <c r="Z289" s="82"/>
      <c r="AA289" s="69">
        <v>44440</v>
      </c>
      <c r="AB289" s="74"/>
      <c r="AC289" s="75"/>
      <c r="AD289" s="70" t="s">
        <v>4</v>
      </c>
    </row>
    <row r="290" spans="1:30" s="76" customFormat="1" ht="56.25">
      <c r="A290" s="82">
        <f>+SUBTOTAL(3,$B$7:B290)</f>
        <v>284</v>
      </c>
      <c r="B290" s="82" t="s">
        <v>444</v>
      </c>
      <c r="C290" s="82" t="s">
        <v>111</v>
      </c>
      <c r="D290" s="66" t="s">
        <v>210</v>
      </c>
      <c r="E290" s="82">
        <v>2</v>
      </c>
      <c r="F290" s="67" t="s">
        <v>1841</v>
      </c>
      <c r="G290" s="66" t="s">
        <v>895</v>
      </c>
      <c r="H290" s="66" t="s">
        <v>896</v>
      </c>
      <c r="I290" s="66" t="s">
        <v>10</v>
      </c>
      <c r="J290" s="82" t="s">
        <v>60</v>
      </c>
      <c r="K290" s="67">
        <v>2300</v>
      </c>
      <c r="L290" s="82">
        <f t="shared" si="22"/>
        <v>0</v>
      </c>
      <c r="M290" s="67">
        <v>500</v>
      </c>
      <c r="N290" s="82"/>
      <c r="O290" s="82">
        <f t="shared" si="20"/>
        <v>1800</v>
      </c>
      <c r="P290" s="82">
        <f t="shared" si="21"/>
        <v>0</v>
      </c>
      <c r="Q290" s="67">
        <v>1800</v>
      </c>
      <c r="R290" s="82"/>
      <c r="S290" s="67">
        <v>0</v>
      </c>
      <c r="T290" s="82"/>
      <c r="U290" s="67"/>
      <c r="V290" s="82"/>
      <c r="W290" s="82"/>
      <c r="X290" s="82"/>
      <c r="Y290" s="19">
        <v>2</v>
      </c>
      <c r="Z290" s="82"/>
      <c r="AA290" s="69">
        <v>44501</v>
      </c>
      <c r="AB290" s="74"/>
      <c r="AC290" s="75"/>
      <c r="AD290" s="70" t="s">
        <v>4</v>
      </c>
    </row>
    <row r="291" spans="1:30" s="76" customFormat="1" ht="37.5">
      <c r="A291" s="82">
        <f>+SUBTOTAL(3,$B$7:B291)</f>
        <v>285</v>
      </c>
      <c r="B291" s="82" t="s">
        <v>444</v>
      </c>
      <c r="C291" s="82" t="s">
        <v>111</v>
      </c>
      <c r="D291" s="66" t="s">
        <v>210</v>
      </c>
      <c r="E291" s="82">
        <v>3</v>
      </c>
      <c r="F291" s="67" t="s">
        <v>1842</v>
      </c>
      <c r="G291" s="66" t="s">
        <v>897</v>
      </c>
      <c r="H291" s="66" t="s">
        <v>898</v>
      </c>
      <c r="I291" s="66" t="s">
        <v>10</v>
      </c>
      <c r="J291" s="82" t="s">
        <v>44</v>
      </c>
      <c r="K291" s="67">
        <v>4200</v>
      </c>
      <c r="L291" s="82">
        <f t="shared" si="22"/>
        <v>227</v>
      </c>
      <c r="M291" s="67">
        <v>2000</v>
      </c>
      <c r="N291" s="82"/>
      <c r="O291" s="82">
        <f t="shared" si="20"/>
        <v>2200</v>
      </c>
      <c r="P291" s="82">
        <f t="shared" si="21"/>
        <v>227</v>
      </c>
      <c r="Q291" s="67">
        <v>2200</v>
      </c>
      <c r="R291" s="82">
        <v>227</v>
      </c>
      <c r="S291" s="67">
        <v>0</v>
      </c>
      <c r="T291" s="82"/>
      <c r="U291" s="67"/>
      <c r="V291" s="82"/>
      <c r="W291" s="82"/>
      <c r="X291" s="82"/>
      <c r="Y291" s="19">
        <v>10</v>
      </c>
      <c r="Z291" s="82"/>
      <c r="AA291" s="69">
        <v>44470</v>
      </c>
      <c r="AB291" s="74"/>
      <c r="AC291" s="75"/>
      <c r="AD291" s="70" t="s">
        <v>4</v>
      </c>
    </row>
    <row r="292" spans="1:30" s="76" customFormat="1" ht="37.5">
      <c r="A292" s="82">
        <f>+SUBTOTAL(3,$B$7:B292)</f>
        <v>286</v>
      </c>
      <c r="B292" s="82" t="s">
        <v>444</v>
      </c>
      <c r="C292" s="82" t="s">
        <v>111</v>
      </c>
      <c r="D292" s="66" t="s">
        <v>210</v>
      </c>
      <c r="E292" s="82">
        <v>2</v>
      </c>
      <c r="F292" s="67" t="s">
        <v>1843</v>
      </c>
      <c r="G292" s="66" t="s">
        <v>899</v>
      </c>
      <c r="H292" s="66" t="s">
        <v>900</v>
      </c>
      <c r="I292" s="66" t="s">
        <v>9</v>
      </c>
      <c r="J292" s="82" t="s">
        <v>47</v>
      </c>
      <c r="K292" s="67">
        <v>4500</v>
      </c>
      <c r="L292" s="82">
        <f t="shared" si="22"/>
        <v>1110</v>
      </c>
      <c r="M292" s="67">
        <v>2000</v>
      </c>
      <c r="N292" s="82"/>
      <c r="O292" s="82">
        <f t="shared" si="20"/>
        <v>2500</v>
      </c>
      <c r="P292" s="82">
        <f t="shared" si="21"/>
        <v>1110</v>
      </c>
      <c r="Q292" s="67">
        <v>2500</v>
      </c>
      <c r="R292" s="82">
        <v>1110</v>
      </c>
      <c r="S292" s="67">
        <v>0</v>
      </c>
      <c r="T292" s="82"/>
      <c r="U292" s="67"/>
      <c r="V292" s="82"/>
      <c r="W292" s="82"/>
      <c r="X292" s="82"/>
      <c r="Y292" s="19">
        <v>10</v>
      </c>
      <c r="Z292" s="82"/>
      <c r="AA292" s="69">
        <v>44440</v>
      </c>
      <c r="AB292" s="74"/>
      <c r="AC292" s="75"/>
      <c r="AD292" s="70" t="s">
        <v>4</v>
      </c>
    </row>
    <row r="293" spans="1:30" s="76" customFormat="1" ht="37.5">
      <c r="A293" s="82">
        <f>+SUBTOTAL(3,$B$7:B293)</f>
        <v>287</v>
      </c>
      <c r="B293" s="82" t="s">
        <v>444</v>
      </c>
      <c r="C293" s="82" t="s">
        <v>111</v>
      </c>
      <c r="D293" s="66" t="s">
        <v>210</v>
      </c>
      <c r="E293" s="82">
        <v>1</v>
      </c>
      <c r="F293" s="67">
        <v>202049746</v>
      </c>
      <c r="G293" s="66" t="s">
        <v>901</v>
      </c>
      <c r="H293" s="66" t="s">
        <v>892</v>
      </c>
      <c r="I293" s="66" t="s">
        <v>10</v>
      </c>
      <c r="J293" s="82" t="s">
        <v>30</v>
      </c>
      <c r="K293" s="67">
        <v>6545</v>
      </c>
      <c r="L293" s="82">
        <f t="shared" si="22"/>
        <v>0</v>
      </c>
      <c r="M293" s="67">
        <v>2000</v>
      </c>
      <c r="N293" s="82"/>
      <c r="O293" s="82">
        <f t="shared" si="20"/>
        <v>4530</v>
      </c>
      <c r="P293" s="82">
        <f t="shared" si="21"/>
        <v>0</v>
      </c>
      <c r="Q293" s="67">
        <v>3000</v>
      </c>
      <c r="R293" s="82"/>
      <c r="S293" s="67">
        <v>150</v>
      </c>
      <c r="T293" s="82"/>
      <c r="U293" s="67"/>
      <c r="V293" s="82"/>
      <c r="W293" s="82"/>
      <c r="X293" s="82"/>
      <c r="Y293" s="19">
        <v>20</v>
      </c>
      <c r="Z293" s="82"/>
      <c r="AA293" s="69">
        <v>44440</v>
      </c>
      <c r="AB293" s="74"/>
      <c r="AC293" s="75"/>
      <c r="AD293" s="70" t="s">
        <v>4</v>
      </c>
    </row>
    <row r="294" spans="1:30" s="76" customFormat="1" ht="56.25">
      <c r="A294" s="82">
        <f>+SUBTOTAL(3,$B$7:B294)</f>
        <v>288</v>
      </c>
      <c r="B294" s="82" t="s">
        <v>444</v>
      </c>
      <c r="C294" s="82" t="s">
        <v>111</v>
      </c>
      <c r="D294" s="66" t="s">
        <v>210</v>
      </c>
      <c r="E294" s="82">
        <v>3</v>
      </c>
      <c r="F294" s="67">
        <v>303750988</v>
      </c>
      <c r="G294" s="66" t="s">
        <v>902</v>
      </c>
      <c r="H294" s="66" t="s">
        <v>903</v>
      </c>
      <c r="I294" s="66" t="s">
        <v>9</v>
      </c>
      <c r="J294" s="82" t="s">
        <v>41</v>
      </c>
      <c r="K294" s="67">
        <v>2500</v>
      </c>
      <c r="L294" s="82">
        <f t="shared" si="22"/>
        <v>1400</v>
      </c>
      <c r="M294" s="67">
        <v>1000</v>
      </c>
      <c r="N294" s="82"/>
      <c r="O294" s="82">
        <f t="shared" si="20"/>
        <v>1500</v>
      </c>
      <c r="P294" s="82">
        <f t="shared" si="21"/>
        <v>1400</v>
      </c>
      <c r="Q294" s="67">
        <v>1500</v>
      </c>
      <c r="R294" s="82">
        <v>1400</v>
      </c>
      <c r="S294" s="67">
        <v>0</v>
      </c>
      <c r="T294" s="82"/>
      <c r="U294" s="67"/>
      <c r="V294" s="82"/>
      <c r="W294" s="82"/>
      <c r="X294" s="82"/>
      <c r="Y294" s="19">
        <v>10</v>
      </c>
      <c r="Z294" s="82"/>
      <c r="AA294" s="69">
        <v>44348</v>
      </c>
      <c r="AB294" s="74"/>
      <c r="AC294" s="75"/>
      <c r="AD294" s="70" t="s">
        <v>4</v>
      </c>
    </row>
    <row r="295" spans="1:30" s="76" customFormat="1" ht="37.5">
      <c r="A295" s="82">
        <f>+SUBTOTAL(3,$B$7:B295)</f>
        <v>289</v>
      </c>
      <c r="B295" s="82" t="s">
        <v>444</v>
      </c>
      <c r="C295" s="82" t="s">
        <v>111</v>
      </c>
      <c r="D295" s="66" t="s">
        <v>210</v>
      </c>
      <c r="E295" s="82">
        <v>3</v>
      </c>
      <c r="F295" s="67">
        <v>307202605</v>
      </c>
      <c r="G295" s="66" t="s">
        <v>904</v>
      </c>
      <c r="H295" s="66" t="s">
        <v>905</v>
      </c>
      <c r="I295" s="66" t="s">
        <v>10</v>
      </c>
      <c r="J295" s="82" t="s">
        <v>58</v>
      </c>
      <c r="K295" s="67">
        <v>42000</v>
      </c>
      <c r="L295" s="82">
        <f t="shared" si="22"/>
        <v>3250</v>
      </c>
      <c r="M295" s="67">
        <v>15000</v>
      </c>
      <c r="N295" s="82"/>
      <c r="O295" s="82">
        <f t="shared" si="20"/>
        <v>27000</v>
      </c>
      <c r="P295" s="82">
        <f t="shared" si="21"/>
        <v>3250</v>
      </c>
      <c r="Q295" s="67">
        <v>27000</v>
      </c>
      <c r="R295" s="82">
        <v>3250</v>
      </c>
      <c r="S295" s="67"/>
      <c r="T295" s="82"/>
      <c r="U295" s="67"/>
      <c r="V295" s="82"/>
      <c r="W295" s="82"/>
      <c r="X295" s="82"/>
      <c r="Y295" s="19">
        <v>20</v>
      </c>
      <c r="Z295" s="82"/>
      <c r="AA295" s="69">
        <v>44470</v>
      </c>
      <c r="AB295" s="74"/>
      <c r="AC295" s="75"/>
      <c r="AD295" s="70" t="s">
        <v>4</v>
      </c>
    </row>
    <row r="296" spans="1:30" s="76" customFormat="1" ht="37.5">
      <c r="A296" s="82">
        <f>+SUBTOTAL(3,$B$7:B296)</f>
        <v>290</v>
      </c>
      <c r="B296" s="82" t="s">
        <v>444</v>
      </c>
      <c r="C296" s="82" t="s">
        <v>111</v>
      </c>
      <c r="D296" s="66" t="s">
        <v>210</v>
      </c>
      <c r="E296" s="82">
        <v>4</v>
      </c>
      <c r="F296" s="67" t="s">
        <v>1844</v>
      </c>
      <c r="G296" s="66" t="s">
        <v>906</v>
      </c>
      <c r="H296" s="66" t="s">
        <v>907</v>
      </c>
      <c r="I296" s="66" t="s">
        <v>6</v>
      </c>
      <c r="J296" s="82" t="s">
        <v>13</v>
      </c>
      <c r="K296" s="67">
        <v>2000</v>
      </c>
      <c r="L296" s="82">
        <f t="shared" si="22"/>
        <v>0</v>
      </c>
      <c r="M296" s="67">
        <v>460</v>
      </c>
      <c r="N296" s="82"/>
      <c r="O296" s="82">
        <f t="shared" si="20"/>
        <v>1540</v>
      </c>
      <c r="P296" s="82">
        <f t="shared" si="21"/>
        <v>0</v>
      </c>
      <c r="Q296" s="67">
        <v>1540</v>
      </c>
      <c r="R296" s="82"/>
      <c r="S296" s="67"/>
      <c r="T296" s="82"/>
      <c r="U296" s="67"/>
      <c r="V296" s="82"/>
      <c r="W296" s="82"/>
      <c r="X296" s="82"/>
      <c r="Y296" s="19">
        <v>10</v>
      </c>
      <c r="Z296" s="82"/>
      <c r="AA296" s="69">
        <v>44470</v>
      </c>
      <c r="AB296" s="74"/>
      <c r="AC296" s="75"/>
      <c r="AD296" s="70" t="s">
        <v>33</v>
      </c>
    </row>
    <row r="297" spans="1:30" s="76" customFormat="1" ht="37.5">
      <c r="A297" s="82">
        <f>+SUBTOTAL(3,$B$7:B297)</f>
        <v>291</v>
      </c>
      <c r="B297" s="82" t="s">
        <v>444</v>
      </c>
      <c r="C297" s="82" t="s">
        <v>111</v>
      </c>
      <c r="D297" s="66" t="s">
        <v>210</v>
      </c>
      <c r="E297" s="82">
        <v>3</v>
      </c>
      <c r="F297" s="67" t="s">
        <v>1845</v>
      </c>
      <c r="G297" s="66" t="s">
        <v>908</v>
      </c>
      <c r="H297" s="66" t="s">
        <v>909</v>
      </c>
      <c r="I297" s="66" t="s">
        <v>10</v>
      </c>
      <c r="J297" s="82" t="s">
        <v>30</v>
      </c>
      <c r="K297" s="67">
        <v>4000</v>
      </c>
      <c r="L297" s="82">
        <v>3627.4</v>
      </c>
      <c r="M297" s="67">
        <v>2000</v>
      </c>
      <c r="N297" s="82">
        <v>2000</v>
      </c>
      <c r="O297" s="82">
        <f t="shared" si="20"/>
        <v>2000</v>
      </c>
      <c r="P297" s="82">
        <f t="shared" si="21"/>
        <v>1611.6</v>
      </c>
      <c r="Q297" s="67">
        <v>2000</v>
      </c>
      <c r="R297" s="82"/>
      <c r="S297" s="67"/>
      <c r="T297" s="82">
        <v>158</v>
      </c>
      <c r="U297" s="67"/>
      <c r="V297" s="82"/>
      <c r="W297" s="82"/>
      <c r="X297" s="82"/>
      <c r="Y297" s="19">
        <v>10</v>
      </c>
      <c r="Z297" s="82">
        <v>10</v>
      </c>
      <c r="AA297" s="69">
        <v>44166</v>
      </c>
      <c r="AB297" s="74">
        <v>44168</v>
      </c>
      <c r="AC297" s="75" t="s">
        <v>1913</v>
      </c>
      <c r="AD297" s="70" t="s">
        <v>33</v>
      </c>
    </row>
    <row r="298" spans="1:30" s="76" customFormat="1" ht="56.25">
      <c r="A298" s="82">
        <f>+SUBTOTAL(3,$B$7:B298)</f>
        <v>292</v>
      </c>
      <c r="B298" s="82" t="s">
        <v>444</v>
      </c>
      <c r="C298" s="82" t="s">
        <v>111</v>
      </c>
      <c r="D298" s="66" t="s">
        <v>210</v>
      </c>
      <c r="E298" s="82">
        <v>4</v>
      </c>
      <c r="F298" s="67">
        <v>207167557</v>
      </c>
      <c r="G298" s="66" t="s">
        <v>910</v>
      </c>
      <c r="H298" s="66" t="s">
        <v>911</v>
      </c>
      <c r="I298" s="66" t="s">
        <v>10</v>
      </c>
      <c r="J298" s="82" t="s">
        <v>45</v>
      </c>
      <c r="K298" s="67">
        <v>7410</v>
      </c>
      <c r="L298" s="82">
        <f t="shared" ref="L298:L329" si="23">+N298+R298+T298*10.2+V298*10.2</f>
        <v>0</v>
      </c>
      <c r="M298" s="67"/>
      <c r="N298" s="82"/>
      <c r="O298" s="82">
        <f t="shared" si="20"/>
        <v>7955.9999999999991</v>
      </c>
      <c r="P298" s="82">
        <f t="shared" si="21"/>
        <v>0</v>
      </c>
      <c r="Q298" s="67"/>
      <c r="R298" s="82"/>
      <c r="S298" s="67">
        <v>780</v>
      </c>
      <c r="T298" s="82"/>
      <c r="U298" s="67"/>
      <c r="V298" s="82"/>
      <c r="W298" s="82"/>
      <c r="X298" s="82"/>
      <c r="Y298" s="19">
        <v>20</v>
      </c>
      <c r="Z298" s="82"/>
      <c r="AA298" s="69">
        <v>44713</v>
      </c>
      <c r="AB298" s="74"/>
      <c r="AC298" s="75"/>
      <c r="AD298" s="70" t="s">
        <v>33</v>
      </c>
    </row>
    <row r="299" spans="1:30" s="76" customFormat="1" ht="37.5">
      <c r="A299" s="82">
        <f>+SUBTOTAL(3,$B$7:B299)</f>
        <v>293</v>
      </c>
      <c r="B299" s="82" t="s">
        <v>444</v>
      </c>
      <c r="C299" s="82" t="s">
        <v>111</v>
      </c>
      <c r="D299" s="66" t="s">
        <v>210</v>
      </c>
      <c r="E299" s="82">
        <v>4</v>
      </c>
      <c r="F299" s="67">
        <v>304955952</v>
      </c>
      <c r="G299" s="66" t="s">
        <v>912</v>
      </c>
      <c r="H299" s="66" t="s">
        <v>753</v>
      </c>
      <c r="I299" s="66" t="s">
        <v>10</v>
      </c>
      <c r="J299" s="82" t="s">
        <v>45</v>
      </c>
      <c r="K299" s="67">
        <v>3500</v>
      </c>
      <c r="L299" s="82">
        <f t="shared" si="23"/>
        <v>1600</v>
      </c>
      <c r="M299" s="67">
        <v>1000</v>
      </c>
      <c r="N299" s="82"/>
      <c r="O299" s="82">
        <f t="shared" si="20"/>
        <v>2500</v>
      </c>
      <c r="P299" s="82">
        <f t="shared" si="21"/>
        <v>1600</v>
      </c>
      <c r="Q299" s="67">
        <v>2500</v>
      </c>
      <c r="R299" s="82">
        <v>1600</v>
      </c>
      <c r="S299" s="67"/>
      <c r="T299" s="82"/>
      <c r="U299" s="67"/>
      <c r="V299" s="82"/>
      <c r="W299" s="82"/>
      <c r="X299" s="82"/>
      <c r="Y299" s="19">
        <v>10</v>
      </c>
      <c r="Z299" s="82"/>
      <c r="AA299" s="69">
        <v>44348</v>
      </c>
      <c r="AB299" s="74"/>
      <c r="AC299" s="75"/>
      <c r="AD299" s="70" t="s">
        <v>33</v>
      </c>
    </row>
    <row r="300" spans="1:30" s="76" customFormat="1" ht="37.5">
      <c r="A300" s="82">
        <f>+SUBTOTAL(3,$B$7:B300)</f>
        <v>294</v>
      </c>
      <c r="B300" s="82" t="s">
        <v>444</v>
      </c>
      <c r="C300" s="82" t="s">
        <v>111</v>
      </c>
      <c r="D300" s="66" t="s">
        <v>210</v>
      </c>
      <c r="E300" s="82">
        <v>3</v>
      </c>
      <c r="F300" s="67" t="s">
        <v>1846</v>
      </c>
      <c r="G300" s="66" t="s">
        <v>913</v>
      </c>
      <c r="H300" s="66" t="s">
        <v>914</v>
      </c>
      <c r="I300" s="66" t="s">
        <v>10</v>
      </c>
      <c r="J300" s="82" t="s">
        <v>44</v>
      </c>
      <c r="K300" s="67">
        <v>3000</v>
      </c>
      <c r="L300" s="82">
        <f t="shared" si="23"/>
        <v>0</v>
      </c>
      <c r="M300" s="67">
        <v>1000</v>
      </c>
      <c r="N300" s="82"/>
      <c r="O300" s="82">
        <f t="shared" si="20"/>
        <v>2000</v>
      </c>
      <c r="P300" s="82">
        <f t="shared" si="21"/>
        <v>0</v>
      </c>
      <c r="Q300" s="67">
        <v>2000</v>
      </c>
      <c r="R300" s="82"/>
      <c r="S300" s="67"/>
      <c r="T300" s="82"/>
      <c r="U300" s="67"/>
      <c r="V300" s="82"/>
      <c r="W300" s="82"/>
      <c r="X300" s="82"/>
      <c r="Y300" s="19">
        <v>20</v>
      </c>
      <c r="Z300" s="82"/>
      <c r="AA300" s="18">
        <v>44531</v>
      </c>
      <c r="AB300" s="74"/>
      <c r="AC300" s="75"/>
      <c r="AD300" s="70" t="s">
        <v>33</v>
      </c>
    </row>
    <row r="301" spans="1:30" s="76" customFormat="1" ht="56.25">
      <c r="A301" s="82">
        <f>+SUBTOTAL(3,$B$7:B301)</f>
        <v>295</v>
      </c>
      <c r="B301" s="82" t="s">
        <v>444</v>
      </c>
      <c r="C301" s="82" t="s">
        <v>111</v>
      </c>
      <c r="D301" s="66" t="s">
        <v>210</v>
      </c>
      <c r="E301" s="82">
        <v>3</v>
      </c>
      <c r="F301" s="67">
        <v>202925068</v>
      </c>
      <c r="G301" s="66" t="s">
        <v>915</v>
      </c>
      <c r="H301" s="66" t="s">
        <v>916</v>
      </c>
      <c r="I301" s="66" t="s">
        <v>6</v>
      </c>
      <c r="J301" s="82" t="s">
        <v>12</v>
      </c>
      <c r="K301" s="67">
        <v>4500</v>
      </c>
      <c r="L301" s="82">
        <f t="shared" si="23"/>
        <v>0</v>
      </c>
      <c r="M301" s="67">
        <v>500</v>
      </c>
      <c r="N301" s="82"/>
      <c r="O301" s="82">
        <f t="shared" si="20"/>
        <v>4000</v>
      </c>
      <c r="P301" s="82">
        <f t="shared" si="21"/>
        <v>0</v>
      </c>
      <c r="Q301" s="67">
        <v>4000</v>
      </c>
      <c r="R301" s="82"/>
      <c r="S301" s="67"/>
      <c r="T301" s="82"/>
      <c r="U301" s="67"/>
      <c r="V301" s="82"/>
      <c r="W301" s="82"/>
      <c r="X301" s="82"/>
      <c r="Y301" s="19">
        <v>4</v>
      </c>
      <c r="Z301" s="82"/>
      <c r="AA301" s="69">
        <v>44531</v>
      </c>
      <c r="AB301" s="74"/>
      <c r="AC301" s="75"/>
      <c r="AD301" s="70" t="s">
        <v>33</v>
      </c>
    </row>
    <row r="302" spans="1:30" s="76" customFormat="1" ht="56.25">
      <c r="A302" s="82">
        <f>+SUBTOTAL(3,$B$7:B302)</f>
        <v>296</v>
      </c>
      <c r="B302" s="82" t="s">
        <v>444</v>
      </c>
      <c r="C302" s="82" t="s">
        <v>111</v>
      </c>
      <c r="D302" s="66" t="s">
        <v>210</v>
      </c>
      <c r="E302" s="82">
        <v>4</v>
      </c>
      <c r="F302" s="67">
        <v>306771889</v>
      </c>
      <c r="G302" s="66" t="s">
        <v>917</v>
      </c>
      <c r="H302" s="66" t="s">
        <v>916</v>
      </c>
      <c r="I302" s="66" t="s">
        <v>6</v>
      </c>
      <c r="J302" s="82" t="s">
        <v>12</v>
      </c>
      <c r="K302" s="67">
        <v>6600</v>
      </c>
      <c r="L302" s="82">
        <f t="shared" si="23"/>
        <v>0</v>
      </c>
      <c r="M302" s="67">
        <v>600</v>
      </c>
      <c r="N302" s="82"/>
      <c r="O302" s="82">
        <f t="shared" si="20"/>
        <v>6000</v>
      </c>
      <c r="P302" s="82">
        <f t="shared" si="21"/>
        <v>0</v>
      </c>
      <c r="Q302" s="67">
        <v>6000</v>
      </c>
      <c r="R302" s="82"/>
      <c r="S302" s="67"/>
      <c r="T302" s="82"/>
      <c r="U302" s="67"/>
      <c r="V302" s="82"/>
      <c r="W302" s="82"/>
      <c r="X302" s="82"/>
      <c r="Y302" s="19">
        <v>4</v>
      </c>
      <c r="Z302" s="82"/>
      <c r="AA302" s="69">
        <v>44501</v>
      </c>
      <c r="AB302" s="74"/>
      <c r="AC302" s="75"/>
      <c r="AD302" s="70" t="s">
        <v>33</v>
      </c>
    </row>
    <row r="303" spans="1:30" s="76" customFormat="1" ht="37.5">
      <c r="A303" s="82">
        <f>+SUBTOTAL(3,$B$7:B303)</f>
        <v>297</v>
      </c>
      <c r="B303" s="82" t="s">
        <v>444</v>
      </c>
      <c r="C303" s="82" t="s">
        <v>111</v>
      </c>
      <c r="D303" s="66" t="s">
        <v>210</v>
      </c>
      <c r="E303" s="82">
        <v>2</v>
      </c>
      <c r="F303" s="67">
        <v>306351065</v>
      </c>
      <c r="G303" s="66" t="s">
        <v>918</v>
      </c>
      <c r="H303" s="66" t="s">
        <v>919</v>
      </c>
      <c r="I303" s="66" t="s">
        <v>9</v>
      </c>
      <c r="J303" s="82" t="s">
        <v>47</v>
      </c>
      <c r="K303" s="67">
        <v>400</v>
      </c>
      <c r="L303" s="82">
        <f t="shared" si="23"/>
        <v>0</v>
      </c>
      <c r="M303" s="67">
        <v>100</v>
      </c>
      <c r="N303" s="82"/>
      <c r="O303" s="82">
        <f t="shared" si="20"/>
        <v>300</v>
      </c>
      <c r="P303" s="82">
        <f t="shared" si="21"/>
        <v>0</v>
      </c>
      <c r="Q303" s="67">
        <v>300</v>
      </c>
      <c r="R303" s="82"/>
      <c r="S303" s="67"/>
      <c r="T303" s="82"/>
      <c r="U303" s="67"/>
      <c r="V303" s="82"/>
      <c r="W303" s="82"/>
      <c r="X303" s="82"/>
      <c r="Y303" s="19">
        <v>5</v>
      </c>
      <c r="Z303" s="82"/>
      <c r="AA303" s="69">
        <v>44531</v>
      </c>
      <c r="AB303" s="74"/>
      <c r="AC303" s="75"/>
      <c r="AD303" s="70" t="s">
        <v>33</v>
      </c>
    </row>
    <row r="304" spans="1:30" s="76" customFormat="1" ht="37.5">
      <c r="A304" s="82">
        <f>+SUBTOTAL(3,$B$7:B304)</f>
        <v>298</v>
      </c>
      <c r="B304" s="82" t="s">
        <v>444</v>
      </c>
      <c r="C304" s="82" t="s">
        <v>111</v>
      </c>
      <c r="D304" s="66" t="s">
        <v>210</v>
      </c>
      <c r="E304" s="82">
        <v>3</v>
      </c>
      <c r="F304" s="67">
        <v>306351065</v>
      </c>
      <c r="G304" s="66" t="s">
        <v>920</v>
      </c>
      <c r="H304" s="66" t="s">
        <v>921</v>
      </c>
      <c r="I304" s="66" t="s">
        <v>10</v>
      </c>
      <c r="J304" s="82" t="s">
        <v>58</v>
      </c>
      <c r="K304" s="67">
        <v>15000</v>
      </c>
      <c r="L304" s="82">
        <f t="shared" si="23"/>
        <v>0</v>
      </c>
      <c r="M304" s="67">
        <v>9000</v>
      </c>
      <c r="N304" s="82"/>
      <c r="O304" s="82">
        <f t="shared" si="20"/>
        <v>6000</v>
      </c>
      <c r="P304" s="82">
        <f t="shared" si="21"/>
        <v>0</v>
      </c>
      <c r="Q304" s="67">
        <v>6000</v>
      </c>
      <c r="R304" s="82"/>
      <c r="S304" s="67"/>
      <c r="T304" s="82"/>
      <c r="U304" s="67"/>
      <c r="V304" s="82"/>
      <c r="W304" s="82"/>
      <c r="X304" s="82"/>
      <c r="Y304" s="19">
        <v>30</v>
      </c>
      <c r="Z304" s="82"/>
      <c r="AA304" s="69">
        <v>44531</v>
      </c>
      <c r="AB304" s="74"/>
      <c r="AC304" s="75"/>
      <c r="AD304" s="70" t="s">
        <v>33</v>
      </c>
    </row>
    <row r="305" spans="1:30" s="76" customFormat="1" ht="37.5">
      <c r="A305" s="82">
        <f>+SUBTOTAL(3,$B$7:B305)</f>
        <v>299</v>
      </c>
      <c r="B305" s="82" t="s">
        <v>444</v>
      </c>
      <c r="C305" s="82" t="s">
        <v>111</v>
      </c>
      <c r="D305" s="66" t="s">
        <v>210</v>
      </c>
      <c r="E305" s="82">
        <v>4</v>
      </c>
      <c r="F305" s="67">
        <v>301673855</v>
      </c>
      <c r="G305" s="66" t="s">
        <v>922</v>
      </c>
      <c r="H305" s="66" t="s">
        <v>753</v>
      </c>
      <c r="I305" s="66" t="s">
        <v>10</v>
      </c>
      <c r="J305" s="82" t="s">
        <v>45</v>
      </c>
      <c r="K305" s="67">
        <v>2800</v>
      </c>
      <c r="L305" s="82">
        <f t="shared" si="23"/>
        <v>2971</v>
      </c>
      <c r="M305" s="67">
        <v>300</v>
      </c>
      <c r="N305" s="82">
        <v>300</v>
      </c>
      <c r="O305" s="82">
        <f t="shared" si="20"/>
        <v>2500</v>
      </c>
      <c r="P305" s="82">
        <f t="shared" si="21"/>
        <v>2671</v>
      </c>
      <c r="Q305" s="67">
        <v>2500</v>
      </c>
      <c r="R305" s="82">
        <v>2671</v>
      </c>
      <c r="S305" s="67"/>
      <c r="T305" s="82"/>
      <c r="U305" s="67"/>
      <c r="V305" s="82"/>
      <c r="W305" s="82"/>
      <c r="X305" s="82"/>
      <c r="Y305" s="19">
        <v>8</v>
      </c>
      <c r="Z305" s="82">
        <v>8</v>
      </c>
      <c r="AA305" s="69">
        <v>44166</v>
      </c>
      <c r="AB305" s="74">
        <v>44168</v>
      </c>
      <c r="AC305" s="75" t="s">
        <v>1899</v>
      </c>
      <c r="AD305" s="70" t="s">
        <v>33</v>
      </c>
    </row>
    <row r="306" spans="1:30" s="76" customFormat="1" ht="37.5">
      <c r="A306" s="82">
        <f>+SUBTOTAL(3,$B$7:B306)</f>
        <v>300</v>
      </c>
      <c r="B306" s="82" t="s">
        <v>444</v>
      </c>
      <c r="C306" s="82" t="s">
        <v>111</v>
      </c>
      <c r="D306" s="66" t="s">
        <v>210</v>
      </c>
      <c r="E306" s="82">
        <v>3</v>
      </c>
      <c r="F306" s="67">
        <v>305133574</v>
      </c>
      <c r="G306" s="66" t="s">
        <v>923</v>
      </c>
      <c r="H306" s="66" t="s">
        <v>753</v>
      </c>
      <c r="I306" s="66" t="s">
        <v>10</v>
      </c>
      <c r="J306" s="82" t="s">
        <v>45</v>
      </c>
      <c r="K306" s="67">
        <v>1250</v>
      </c>
      <c r="L306" s="82">
        <f t="shared" si="23"/>
        <v>0</v>
      </c>
      <c r="M306" s="67">
        <v>250</v>
      </c>
      <c r="N306" s="82"/>
      <c r="O306" s="82">
        <f t="shared" si="20"/>
        <v>1000</v>
      </c>
      <c r="P306" s="82">
        <f t="shared" si="21"/>
        <v>0</v>
      </c>
      <c r="Q306" s="67">
        <v>1000</v>
      </c>
      <c r="R306" s="82"/>
      <c r="S306" s="67"/>
      <c r="T306" s="82"/>
      <c r="U306" s="67"/>
      <c r="V306" s="82"/>
      <c r="W306" s="82"/>
      <c r="X306" s="82"/>
      <c r="Y306" s="19">
        <v>4</v>
      </c>
      <c r="Z306" s="82"/>
      <c r="AA306" s="69">
        <v>44531</v>
      </c>
      <c r="AB306" s="74"/>
      <c r="AC306" s="75"/>
      <c r="AD306" s="70" t="s">
        <v>33</v>
      </c>
    </row>
    <row r="307" spans="1:30" s="76" customFormat="1" ht="37.5">
      <c r="A307" s="82">
        <f>+SUBTOTAL(3,$B$7:B307)</f>
        <v>301</v>
      </c>
      <c r="B307" s="82" t="s">
        <v>444</v>
      </c>
      <c r="C307" s="82" t="s">
        <v>111</v>
      </c>
      <c r="D307" s="66" t="s">
        <v>210</v>
      </c>
      <c r="E307" s="82">
        <v>4</v>
      </c>
      <c r="F307" s="67" t="s">
        <v>1847</v>
      </c>
      <c r="G307" s="66" t="s">
        <v>924</v>
      </c>
      <c r="H307" s="66" t="s">
        <v>884</v>
      </c>
      <c r="I307" s="66" t="s">
        <v>10</v>
      </c>
      <c r="J307" s="82" t="s">
        <v>44</v>
      </c>
      <c r="K307" s="67">
        <v>800</v>
      </c>
      <c r="L307" s="82">
        <f t="shared" si="23"/>
        <v>600</v>
      </c>
      <c r="M307" s="67">
        <v>300</v>
      </c>
      <c r="N307" s="82">
        <v>100</v>
      </c>
      <c r="O307" s="82">
        <f t="shared" si="20"/>
        <v>500</v>
      </c>
      <c r="P307" s="82">
        <f t="shared" si="21"/>
        <v>500</v>
      </c>
      <c r="Q307" s="67">
        <v>500</v>
      </c>
      <c r="R307" s="82">
        <v>500</v>
      </c>
      <c r="S307" s="67"/>
      <c r="T307" s="82"/>
      <c r="U307" s="67"/>
      <c r="V307" s="82"/>
      <c r="W307" s="82"/>
      <c r="X307" s="82"/>
      <c r="Y307" s="19">
        <v>10</v>
      </c>
      <c r="Z307" s="82">
        <v>10</v>
      </c>
      <c r="AA307" s="69">
        <v>44166</v>
      </c>
      <c r="AB307" s="74">
        <v>44181</v>
      </c>
      <c r="AC307" s="75" t="s">
        <v>1910</v>
      </c>
      <c r="AD307" s="70" t="s">
        <v>33</v>
      </c>
    </row>
    <row r="308" spans="1:30" s="76" customFormat="1" ht="56.25">
      <c r="A308" s="82">
        <f>+SUBTOTAL(3,$B$7:B308)</f>
        <v>302</v>
      </c>
      <c r="B308" s="82" t="s">
        <v>444</v>
      </c>
      <c r="C308" s="82" t="s">
        <v>111</v>
      </c>
      <c r="D308" s="66" t="s">
        <v>210</v>
      </c>
      <c r="E308" s="82">
        <v>1</v>
      </c>
      <c r="F308" s="67">
        <v>306070029</v>
      </c>
      <c r="G308" s="66" t="s">
        <v>925</v>
      </c>
      <c r="H308" s="66" t="s">
        <v>926</v>
      </c>
      <c r="I308" s="66" t="s">
        <v>10</v>
      </c>
      <c r="J308" s="82" t="s">
        <v>30</v>
      </c>
      <c r="K308" s="67">
        <v>900</v>
      </c>
      <c r="L308" s="82">
        <f t="shared" si="23"/>
        <v>0</v>
      </c>
      <c r="M308" s="67">
        <v>900</v>
      </c>
      <c r="N308" s="82"/>
      <c r="O308" s="82">
        <f t="shared" si="20"/>
        <v>0</v>
      </c>
      <c r="P308" s="82">
        <f t="shared" si="21"/>
        <v>0</v>
      </c>
      <c r="Q308" s="67"/>
      <c r="R308" s="82"/>
      <c r="S308" s="67"/>
      <c r="T308" s="82"/>
      <c r="U308" s="67"/>
      <c r="V308" s="82"/>
      <c r="W308" s="82"/>
      <c r="X308" s="82"/>
      <c r="Y308" s="19">
        <v>15</v>
      </c>
      <c r="Z308" s="82"/>
      <c r="AA308" s="18">
        <v>44501</v>
      </c>
      <c r="AB308" s="74"/>
      <c r="AC308" s="75"/>
      <c r="AD308" s="70" t="s">
        <v>2</v>
      </c>
    </row>
    <row r="309" spans="1:30" s="76" customFormat="1" ht="37.5">
      <c r="A309" s="82">
        <f>+SUBTOTAL(3,$B$7:B309)</f>
        <v>303</v>
      </c>
      <c r="B309" s="82" t="s">
        <v>444</v>
      </c>
      <c r="C309" s="82" t="s">
        <v>111</v>
      </c>
      <c r="D309" s="66" t="s">
        <v>210</v>
      </c>
      <c r="E309" s="82">
        <v>4</v>
      </c>
      <c r="F309" s="67">
        <v>304506759</v>
      </c>
      <c r="G309" s="66" t="s">
        <v>927</v>
      </c>
      <c r="H309" s="66" t="s">
        <v>928</v>
      </c>
      <c r="I309" s="66" t="s">
        <v>6</v>
      </c>
      <c r="J309" s="82" t="s">
        <v>52</v>
      </c>
      <c r="K309" s="67">
        <v>52500</v>
      </c>
      <c r="L309" s="82">
        <f t="shared" si="23"/>
        <v>0</v>
      </c>
      <c r="M309" s="67">
        <v>17100</v>
      </c>
      <c r="N309" s="82"/>
      <c r="O309" s="82">
        <f t="shared" si="20"/>
        <v>35400</v>
      </c>
      <c r="P309" s="82">
        <f t="shared" si="21"/>
        <v>0</v>
      </c>
      <c r="Q309" s="67">
        <v>35400</v>
      </c>
      <c r="R309" s="82"/>
      <c r="S309" s="67"/>
      <c r="T309" s="82"/>
      <c r="U309" s="67"/>
      <c r="V309" s="82"/>
      <c r="W309" s="82"/>
      <c r="X309" s="82"/>
      <c r="Y309" s="19">
        <v>215</v>
      </c>
      <c r="Z309" s="82"/>
      <c r="AA309" s="69">
        <v>44896</v>
      </c>
      <c r="AB309" s="74"/>
      <c r="AC309" s="75"/>
      <c r="AD309" s="70" t="s">
        <v>2</v>
      </c>
    </row>
    <row r="310" spans="1:30" s="76" customFormat="1" ht="56.25">
      <c r="A310" s="82">
        <f>+SUBTOTAL(3,$B$7:B310)</f>
        <v>304</v>
      </c>
      <c r="B310" s="82" t="s">
        <v>444</v>
      </c>
      <c r="C310" s="82" t="s">
        <v>111</v>
      </c>
      <c r="D310" s="66" t="s">
        <v>210</v>
      </c>
      <c r="E310" s="82">
        <v>2</v>
      </c>
      <c r="F310" s="67">
        <v>303559574</v>
      </c>
      <c r="G310" s="66" t="s">
        <v>929</v>
      </c>
      <c r="H310" s="66" t="s">
        <v>930</v>
      </c>
      <c r="I310" s="66" t="s">
        <v>6</v>
      </c>
      <c r="J310" s="82" t="s">
        <v>51</v>
      </c>
      <c r="K310" s="67">
        <v>1880</v>
      </c>
      <c r="L310" s="82">
        <f t="shared" si="23"/>
        <v>0</v>
      </c>
      <c r="M310" s="67">
        <v>1880</v>
      </c>
      <c r="N310" s="82"/>
      <c r="O310" s="82">
        <f t="shared" si="20"/>
        <v>0</v>
      </c>
      <c r="P310" s="82">
        <f t="shared" si="21"/>
        <v>0</v>
      </c>
      <c r="Q310" s="67"/>
      <c r="R310" s="82"/>
      <c r="S310" s="67"/>
      <c r="T310" s="82"/>
      <c r="U310" s="67"/>
      <c r="V310" s="82"/>
      <c r="W310" s="82"/>
      <c r="X310" s="82"/>
      <c r="Y310" s="68">
        <v>30</v>
      </c>
      <c r="Z310" s="82"/>
      <c r="AA310" s="18">
        <v>44348</v>
      </c>
      <c r="AB310" s="74"/>
      <c r="AC310" s="75"/>
      <c r="AD310" s="70" t="s">
        <v>477</v>
      </c>
    </row>
    <row r="311" spans="1:30" s="76" customFormat="1" ht="56.25">
      <c r="A311" s="82">
        <f>+SUBTOTAL(3,$B$7:B311)</f>
        <v>305</v>
      </c>
      <c r="B311" s="82" t="s">
        <v>444</v>
      </c>
      <c r="C311" s="82" t="s">
        <v>111</v>
      </c>
      <c r="D311" s="66" t="s">
        <v>210</v>
      </c>
      <c r="E311" s="82">
        <v>2</v>
      </c>
      <c r="F311" s="67">
        <v>306361361</v>
      </c>
      <c r="G311" s="66" t="s">
        <v>931</v>
      </c>
      <c r="H311" s="66" t="s">
        <v>932</v>
      </c>
      <c r="I311" s="66" t="s">
        <v>6</v>
      </c>
      <c r="J311" s="82" t="s">
        <v>32</v>
      </c>
      <c r="K311" s="67">
        <v>9400</v>
      </c>
      <c r="L311" s="82">
        <f t="shared" si="23"/>
        <v>0</v>
      </c>
      <c r="M311" s="67">
        <v>9400</v>
      </c>
      <c r="N311" s="82"/>
      <c r="O311" s="82">
        <f t="shared" si="20"/>
        <v>0</v>
      </c>
      <c r="P311" s="82">
        <f t="shared" si="21"/>
        <v>0</v>
      </c>
      <c r="Q311" s="67"/>
      <c r="R311" s="82"/>
      <c r="S311" s="67"/>
      <c r="T311" s="82"/>
      <c r="U311" s="67"/>
      <c r="V311" s="82"/>
      <c r="W311" s="82"/>
      <c r="X311" s="82"/>
      <c r="Y311" s="19">
        <v>30</v>
      </c>
      <c r="Z311" s="82"/>
      <c r="AA311" s="69">
        <v>44896</v>
      </c>
      <c r="AB311" s="74"/>
      <c r="AC311" s="75"/>
      <c r="AD311" s="70" t="s">
        <v>477</v>
      </c>
    </row>
    <row r="312" spans="1:30" s="76" customFormat="1" ht="37.5">
      <c r="A312" s="82">
        <f>+SUBTOTAL(3,$B$7:B312)</f>
        <v>306</v>
      </c>
      <c r="B312" s="82" t="s">
        <v>444</v>
      </c>
      <c r="C312" s="82" t="s">
        <v>111</v>
      </c>
      <c r="D312" s="66" t="s">
        <v>210</v>
      </c>
      <c r="E312" s="82">
        <v>1</v>
      </c>
      <c r="F312" s="67">
        <v>306868283</v>
      </c>
      <c r="G312" s="66" t="s">
        <v>933</v>
      </c>
      <c r="H312" s="66" t="s">
        <v>131</v>
      </c>
      <c r="I312" s="66" t="s">
        <v>9</v>
      </c>
      <c r="J312" s="82" t="s">
        <v>37</v>
      </c>
      <c r="K312" s="67">
        <v>2500</v>
      </c>
      <c r="L312" s="82">
        <f t="shared" si="23"/>
        <v>550</v>
      </c>
      <c r="M312" s="67">
        <v>500</v>
      </c>
      <c r="N312" s="82"/>
      <c r="O312" s="82">
        <f t="shared" si="20"/>
        <v>2000</v>
      </c>
      <c r="P312" s="82">
        <f t="shared" si="21"/>
        <v>550</v>
      </c>
      <c r="Q312" s="67">
        <v>2000</v>
      </c>
      <c r="R312" s="82">
        <v>550</v>
      </c>
      <c r="S312" s="67"/>
      <c r="T312" s="82"/>
      <c r="U312" s="67"/>
      <c r="V312" s="82"/>
      <c r="W312" s="82"/>
      <c r="X312" s="82"/>
      <c r="Y312" s="19">
        <v>5</v>
      </c>
      <c r="Z312" s="82"/>
      <c r="AA312" s="69">
        <v>44348</v>
      </c>
      <c r="AB312" s="74"/>
      <c r="AC312" s="75"/>
      <c r="AD312" s="70" t="s">
        <v>1</v>
      </c>
    </row>
    <row r="313" spans="1:30" s="76" customFormat="1" ht="37.5">
      <c r="A313" s="82">
        <f>+SUBTOTAL(3,$B$7:B313)</f>
        <v>307</v>
      </c>
      <c r="B313" s="82" t="s">
        <v>444</v>
      </c>
      <c r="C313" s="82" t="s">
        <v>111</v>
      </c>
      <c r="D313" s="66" t="s">
        <v>210</v>
      </c>
      <c r="E313" s="82">
        <v>2</v>
      </c>
      <c r="F313" s="67">
        <v>304408935</v>
      </c>
      <c r="G313" s="66" t="s">
        <v>1979</v>
      </c>
      <c r="H313" s="66" t="s">
        <v>934</v>
      </c>
      <c r="I313" s="66" t="s">
        <v>9</v>
      </c>
      <c r="J313" s="82" t="s">
        <v>37</v>
      </c>
      <c r="K313" s="67">
        <v>1000</v>
      </c>
      <c r="L313" s="82">
        <f t="shared" si="23"/>
        <v>644</v>
      </c>
      <c r="M313" s="67">
        <v>200</v>
      </c>
      <c r="N313" s="82"/>
      <c r="O313" s="82">
        <f t="shared" si="20"/>
        <v>800</v>
      </c>
      <c r="P313" s="82">
        <f t="shared" si="21"/>
        <v>644</v>
      </c>
      <c r="Q313" s="67">
        <v>800</v>
      </c>
      <c r="R313" s="82">
        <v>644</v>
      </c>
      <c r="S313" s="67"/>
      <c r="T313" s="82"/>
      <c r="U313" s="67"/>
      <c r="V313" s="82"/>
      <c r="W313" s="82"/>
      <c r="X313" s="82"/>
      <c r="Y313" s="19">
        <v>6</v>
      </c>
      <c r="Z313" s="82"/>
      <c r="AA313" s="69">
        <v>44348</v>
      </c>
      <c r="AB313" s="74"/>
      <c r="AC313" s="75"/>
      <c r="AD313" s="70" t="s">
        <v>1</v>
      </c>
    </row>
    <row r="314" spans="1:30" s="76" customFormat="1" ht="37.5">
      <c r="A314" s="82">
        <f>+SUBTOTAL(3,$B$7:B314)</f>
        <v>308</v>
      </c>
      <c r="B314" s="82" t="s">
        <v>444</v>
      </c>
      <c r="C314" s="82" t="s">
        <v>111</v>
      </c>
      <c r="D314" s="66" t="s">
        <v>210</v>
      </c>
      <c r="E314" s="82">
        <v>2</v>
      </c>
      <c r="F314" s="67">
        <v>205756688</v>
      </c>
      <c r="G314" s="66" t="s">
        <v>935</v>
      </c>
      <c r="H314" s="66" t="s">
        <v>131</v>
      </c>
      <c r="I314" s="66" t="s">
        <v>9</v>
      </c>
      <c r="J314" s="82" t="s">
        <v>37</v>
      </c>
      <c r="K314" s="67">
        <v>1000</v>
      </c>
      <c r="L314" s="82">
        <f t="shared" si="23"/>
        <v>346.79999999999995</v>
      </c>
      <c r="M314" s="67">
        <v>300</v>
      </c>
      <c r="N314" s="82"/>
      <c r="O314" s="82">
        <f t="shared" si="20"/>
        <v>700</v>
      </c>
      <c r="P314" s="82">
        <f t="shared" si="21"/>
        <v>346.79999999999995</v>
      </c>
      <c r="Q314" s="67">
        <v>700</v>
      </c>
      <c r="R314" s="82"/>
      <c r="S314" s="67"/>
      <c r="T314" s="82">
        <v>34</v>
      </c>
      <c r="U314" s="67"/>
      <c r="V314" s="82"/>
      <c r="W314" s="82"/>
      <c r="X314" s="82"/>
      <c r="Y314" s="19">
        <v>5</v>
      </c>
      <c r="Z314" s="82"/>
      <c r="AA314" s="69">
        <v>44348</v>
      </c>
      <c r="AB314" s="74"/>
      <c r="AC314" s="75"/>
      <c r="AD314" s="70" t="s">
        <v>1</v>
      </c>
    </row>
    <row r="315" spans="1:30" s="76" customFormat="1" ht="37.5">
      <c r="A315" s="82">
        <f>+SUBTOTAL(3,$B$7:B315)</f>
        <v>309</v>
      </c>
      <c r="B315" s="82" t="s">
        <v>444</v>
      </c>
      <c r="C315" s="82" t="s">
        <v>111</v>
      </c>
      <c r="D315" s="66" t="s">
        <v>210</v>
      </c>
      <c r="E315" s="82">
        <v>2</v>
      </c>
      <c r="F315" s="67">
        <v>303666933</v>
      </c>
      <c r="G315" s="66" t="s">
        <v>936</v>
      </c>
      <c r="H315" s="66" t="s">
        <v>131</v>
      </c>
      <c r="I315" s="66" t="s">
        <v>9</v>
      </c>
      <c r="J315" s="82" t="s">
        <v>37</v>
      </c>
      <c r="K315" s="67">
        <v>5000</v>
      </c>
      <c r="L315" s="82">
        <f t="shared" si="23"/>
        <v>550</v>
      </c>
      <c r="M315" s="67">
        <v>1000</v>
      </c>
      <c r="N315" s="82"/>
      <c r="O315" s="82">
        <f t="shared" si="20"/>
        <v>4000</v>
      </c>
      <c r="P315" s="82">
        <f t="shared" si="21"/>
        <v>550</v>
      </c>
      <c r="Q315" s="67">
        <v>4000</v>
      </c>
      <c r="R315" s="82">
        <v>550</v>
      </c>
      <c r="S315" s="67"/>
      <c r="T315" s="82"/>
      <c r="U315" s="67"/>
      <c r="V315" s="82"/>
      <c r="W315" s="82"/>
      <c r="X315" s="82"/>
      <c r="Y315" s="19">
        <v>10</v>
      </c>
      <c r="Z315" s="82"/>
      <c r="AA315" s="69">
        <v>44470</v>
      </c>
      <c r="AB315" s="74"/>
      <c r="AC315" s="75"/>
      <c r="AD315" s="70" t="s">
        <v>1</v>
      </c>
    </row>
    <row r="316" spans="1:30" s="76" customFormat="1" ht="37.5">
      <c r="A316" s="82">
        <f>+SUBTOTAL(3,$B$7:B316)</f>
        <v>310</v>
      </c>
      <c r="B316" s="82" t="s">
        <v>444</v>
      </c>
      <c r="C316" s="82" t="s">
        <v>111</v>
      </c>
      <c r="D316" s="66" t="s">
        <v>210</v>
      </c>
      <c r="E316" s="82">
        <v>1</v>
      </c>
      <c r="F316" s="67">
        <v>306869274</v>
      </c>
      <c r="G316" s="66" t="s">
        <v>937</v>
      </c>
      <c r="H316" s="66" t="s">
        <v>131</v>
      </c>
      <c r="I316" s="66" t="s">
        <v>9</v>
      </c>
      <c r="J316" s="82" t="s">
        <v>37</v>
      </c>
      <c r="K316" s="67">
        <v>1250</v>
      </c>
      <c r="L316" s="82">
        <f t="shared" si="23"/>
        <v>150</v>
      </c>
      <c r="M316" s="67">
        <v>250</v>
      </c>
      <c r="N316" s="82"/>
      <c r="O316" s="82">
        <f t="shared" si="20"/>
        <v>1000</v>
      </c>
      <c r="P316" s="82">
        <f t="shared" si="21"/>
        <v>150</v>
      </c>
      <c r="Q316" s="67">
        <v>1000</v>
      </c>
      <c r="R316" s="82">
        <v>150</v>
      </c>
      <c r="S316" s="67"/>
      <c r="T316" s="82"/>
      <c r="U316" s="67"/>
      <c r="V316" s="82"/>
      <c r="W316" s="82"/>
      <c r="X316" s="82"/>
      <c r="Y316" s="19">
        <v>5</v>
      </c>
      <c r="Z316" s="82"/>
      <c r="AA316" s="69">
        <v>44470</v>
      </c>
      <c r="AB316" s="74"/>
      <c r="AC316" s="75"/>
      <c r="AD316" s="70" t="s">
        <v>1</v>
      </c>
    </row>
    <row r="317" spans="1:30" s="76" customFormat="1" ht="37.5">
      <c r="A317" s="82">
        <f>+SUBTOTAL(3,$B$7:B317)</f>
        <v>311</v>
      </c>
      <c r="B317" s="82" t="s">
        <v>444</v>
      </c>
      <c r="C317" s="82" t="s">
        <v>111</v>
      </c>
      <c r="D317" s="66" t="s">
        <v>210</v>
      </c>
      <c r="E317" s="82">
        <v>2</v>
      </c>
      <c r="F317" s="67">
        <v>306708236</v>
      </c>
      <c r="G317" s="66" t="s">
        <v>938</v>
      </c>
      <c r="H317" s="66" t="s">
        <v>939</v>
      </c>
      <c r="I317" s="66" t="s">
        <v>9</v>
      </c>
      <c r="J317" s="82" t="s">
        <v>37</v>
      </c>
      <c r="K317" s="67">
        <v>1200</v>
      </c>
      <c r="L317" s="82">
        <f t="shared" si="23"/>
        <v>917.99999999999989</v>
      </c>
      <c r="M317" s="67">
        <v>400</v>
      </c>
      <c r="N317" s="82"/>
      <c r="O317" s="82">
        <f t="shared" si="20"/>
        <v>800</v>
      </c>
      <c r="P317" s="82">
        <f t="shared" si="21"/>
        <v>917.99999999999989</v>
      </c>
      <c r="Q317" s="67">
        <v>800</v>
      </c>
      <c r="R317" s="82"/>
      <c r="S317" s="67"/>
      <c r="T317" s="82">
        <v>90</v>
      </c>
      <c r="U317" s="67"/>
      <c r="V317" s="82"/>
      <c r="W317" s="82"/>
      <c r="X317" s="82"/>
      <c r="Y317" s="19">
        <v>3</v>
      </c>
      <c r="Z317" s="82"/>
      <c r="AA317" s="69">
        <v>44348</v>
      </c>
      <c r="AB317" s="74"/>
      <c r="AC317" s="75"/>
      <c r="AD317" s="70" t="s">
        <v>1</v>
      </c>
    </row>
    <row r="318" spans="1:30" s="76" customFormat="1" ht="37.5">
      <c r="A318" s="82">
        <f>+SUBTOTAL(3,$B$7:B318)</f>
        <v>312</v>
      </c>
      <c r="B318" s="82" t="s">
        <v>444</v>
      </c>
      <c r="C318" s="82" t="s">
        <v>111</v>
      </c>
      <c r="D318" s="66" t="s">
        <v>210</v>
      </c>
      <c r="E318" s="82">
        <v>1</v>
      </c>
      <c r="F318" s="67">
        <v>303381027</v>
      </c>
      <c r="G318" s="66" t="s">
        <v>940</v>
      </c>
      <c r="H318" s="66" t="s">
        <v>941</v>
      </c>
      <c r="I318" s="66" t="s">
        <v>9</v>
      </c>
      <c r="J318" s="82" t="s">
        <v>37</v>
      </c>
      <c r="K318" s="67">
        <v>3600</v>
      </c>
      <c r="L318" s="82">
        <f t="shared" si="23"/>
        <v>0</v>
      </c>
      <c r="M318" s="67">
        <v>800</v>
      </c>
      <c r="N318" s="82"/>
      <c r="O318" s="82">
        <f t="shared" si="20"/>
        <v>2800</v>
      </c>
      <c r="P318" s="82">
        <f t="shared" si="21"/>
        <v>0</v>
      </c>
      <c r="Q318" s="67">
        <v>2800</v>
      </c>
      <c r="R318" s="82"/>
      <c r="S318" s="67"/>
      <c r="T318" s="82"/>
      <c r="U318" s="67"/>
      <c r="V318" s="82"/>
      <c r="W318" s="82"/>
      <c r="X318" s="82"/>
      <c r="Y318" s="19">
        <v>6</v>
      </c>
      <c r="Z318" s="82"/>
      <c r="AA318" s="69">
        <v>44440</v>
      </c>
      <c r="AB318" s="74"/>
      <c r="AC318" s="75"/>
      <c r="AD318" s="70" t="s">
        <v>1</v>
      </c>
    </row>
    <row r="319" spans="1:30" s="76" customFormat="1" ht="37.5">
      <c r="A319" s="82">
        <f>+SUBTOTAL(3,$B$7:B319)</f>
        <v>313</v>
      </c>
      <c r="B319" s="82" t="s">
        <v>444</v>
      </c>
      <c r="C319" s="82" t="s">
        <v>111</v>
      </c>
      <c r="D319" s="66" t="s">
        <v>210</v>
      </c>
      <c r="E319" s="82">
        <v>3</v>
      </c>
      <c r="F319" s="67">
        <v>305648185</v>
      </c>
      <c r="G319" s="66" t="s">
        <v>942</v>
      </c>
      <c r="H319" s="66" t="s">
        <v>941</v>
      </c>
      <c r="I319" s="66" t="s">
        <v>9</v>
      </c>
      <c r="J319" s="82" t="s">
        <v>37</v>
      </c>
      <c r="K319" s="67">
        <v>9750</v>
      </c>
      <c r="L319" s="82">
        <f t="shared" si="23"/>
        <v>3264</v>
      </c>
      <c r="M319" s="67">
        <v>250</v>
      </c>
      <c r="N319" s="82"/>
      <c r="O319" s="82">
        <f t="shared" si="20"/>
        <v>10200</v>
      </c>
      <c r="P319" s="82">
        <f t="shared" si="21"/>
        <v>3264</v>
      </c>
      <c r="Q319" s="67"/>
      <c r="R319" s="82"/>
      <c r="S319" s="67">
        <v>1000</v>
      </c>
      <c r="T319" s="82">
        <v>320</v>
      </c>
      <c r="U319" s="67"/>
      <c r="V319" s="82"/>
      <c r="W319" s="82"/>
      <c r="X319" s="82"/>
      <c r="Y319" s="19">
        <v>12</v>
      </c>
      <c r="Z319" s="82"/>
      <c r="AA319" s="69">
        <v>44531</v>
      </c>
      <c r="AB319" s="74"/>
      <c r="AC319" s="75"/>
      <c r="AD319" s="70" t="s">
        <v>1</v>
      </c>
    </row>
    <row r="320" spans="1:30" s="76" customFormat="1" ht="37.5">
      <c r="A320" s="82">
        <f>+SUBTOTAL(3,$B$7:B320)</f>
        <v>314</v>
      </c>
      <c r="B320" s="82" t="s">
        <v>444</v>
      </c>
      <c r="C320" s="82" t="s">
        <v>111</v>
      </c>
      <c r="D320" s="66" t="s">
        <v>210</v>
      </c>
      <c r="E320" s="82">
        <v>2</v>
      </c>
      <c r="F320" s="67">
        <v>303428895</v>
      </c>
      <c r="G320" s="66" t="s">
        <v>943</v>
      </c>
      <c r="H320" s="66" t="s">
        <v>941</v>
      </c>
      <c r="I320" s="66" t="s">
        <v>9</v>
      </c>
      <c r="J320" s="82" t="s">
        <v>37</v>
      </c>
      <c r="K320" s="67">
        <v>1990</v>
      </c>
      <c r="L320" s="82">
        <f t="shared" si="23"/>
        <v>0</v>
      </c>
      <c r="M320" s="67">
        <v>469</v>
      </c>
      <c r="N320" s="82"/>
      <c r="O320" s="82">
        <f t="shared" si="20"/>
        <v>1632</v>
      </c>
      <c r="P320" s="82">
        <f t="shared" si="21"/>
        <v>0</v>
      </c>
      <c r="Q320" s="67">
        <v>0</v>
      </c>
      <c r="R320" s="82"/>
      <c r="S320" s="67">
        <v>160</v>
      </c>
      <c r="T320" s="82"/>
      <c r="U320" s="67"/>
      <c r="V320" s="82"/>
      <c r="W320" s="82"/>
      <c r="X320" s="82"/>
      <c r="Y320" s="19">
        <v>4</v>
      </c>
      <c r="Z320" s="82"/>
      <c r="AA320" s="69">
        <v>44440</v>
      </c>
      <c r="AB320" s="74"/>
      <c r="AC320" s="75"/>
      <c r="AD320" s="70" t="s">
        <v>1</v>
      </c>
    </row>
    <row r="321" spans="1:30" s="76" customFormat="1" ht="37.5">
      <c r="A321" s="82">
        <f>+SUBTOTAL(3,$B$7:B321)</f>
        <v>315</v>
      </c>
      <c r="B321" s="82" t="s">
        <v>444</v>
      </c>
      <c r="C321" s="82" t="s">
        <v>111</v>
      </c>
      <c r="D321" s="66" t="s">
        <v>210</v>
      </c>
      <c r="E321" s="82">
        <v>3</v>
      </c>
      <c r="F321" s="67">
        <v>306771889</v>
      </c>
      <c r="G321" s="66" t="s">
        <v>944</v>
      </c>
      <c r="H321" s="66" t="s">
        <v>941</v>
      </c>
      <c r="I321" s="66" t="s">
        <v>9</v>
      </c>
      <c r="J321" s="82" t="s">
        <v>37</v>
      </c>
      <c r="K321" s="67">
        <v>6000</v>
      </c>
      <c r="L321" s="82">
        <f t="shared" si="23"/>
        <v>0</v>
      </c>
      <c r="M321" s="67">
        <v>1000</v>
      </c>
      <c r="N321" s="82"/>
      <c r="O321" s="82">
        <f t="shared" si="20"/>
        <v>5000</v>
      </c>
      <c r="P321" s="82">
        <f t="shared" si="21"/>
        <v>0</v>
      </c>
      <c r="Q321" s="67">
        <v>5000</v>
      </c>
      <c r="R321" s="82"/>
      <c r="S321" s="67"/>
      <c r="T321" s="82"/>
      <c r="U321" s="67"/>
      <c r="V321" s="82"/>
      <c r="W321" s="82"/>
      <c r="X321" s="82"/>
      <c r="Y321" s="19">
        <v>6</v>
      </c>
      <c r="Z321" s="82"/>
      <c r="AA321" s="69">
        <v>44378</v>
      </c>
      <c r="AB321" s="74"/>
      <c r="AC321" s="75"/>
      <c r="AD321" s="70" t="s">
        <v>1</v>
      </c>
    </row>
    <row r="322" spans="1:30" s="76" customFormat="1" ht="37.5">
      <c r="A322" s="82">
        <f>+SUBTOTAL(3,$B$7:B322)</f>
        <v>316</v>
      </c>
      <c r="B322" s="82" t="s">
        <v>444</v>
      </c>
      <c r="C322" s="82" t="s">
        <v>111</v>
      </c>
      <c r="D322" s="66" t="s">
        <v>210</v>
      </c>
      <c r="E322" s="82">
        <v>4</v>
      </c>
      <c r="F322" s="67">
        <v>204710058</v>
      </c>
      <c r="G322" s="66" t="s">
        <v>945</v>
      </c>
      <c r="H322" s="66" t="s">
        <v>941</v>
      </c>
      <c r="I322" s="66" t="s">
        <v>9</v>
      </c>
      <c r="J322" s="82" t="s">
        <v>37</v>
      </c>
      <c r="K322" s="67">
        <v>1000</v>
      </c>
      <c r="L322" s="82">
        <f t="shared" si="23"/>
        <v>0</v>
      </c>
      <c r="M322" s="67">
        <v>1000</v>
      </c>
      <c r="N322" s="82"/>
      <c r="O322" s="82">
        <f t="shared" si="20"/>
        <v>0</v>
      </c>
      <c r="P322" s="82">
        <f t="shared" si="21"/>
        <v>0</v>
      </c>
      <c r="Q322" s="67"/>
      <c r="R322" s="82"/>
      <c r="S322" s="67"/>
      <c r="T322" s="82"/>
      <c r="U322" s="67"/>
      <c r="V322" s="82"/>
      <c r="W322" s="82"/>
      <c r="X322" s="82"/>
      <c r="Y322" s="19">
        <v>4</v>
      </c>
      <c r="Z322" s="82"/>
      <c r="AA322" s="69">
        <v>44409</v>
      </c>
      <c r="AB322" s="74"/>
      <c r="AC322" s="75"/>
      <c r="AD322" s="70" t="s">
        <v>1</v>
      </c>
    </row>
    <row r="323" spans="1:30" s="76" customFormat="1" ht="37.5">
      <c r="A323" s="82">
        <f>+SUBTOTAL(3,$B$7:B323)</f>
        <v>317</v>
      </c>
      <c r="B323" s="82" t="s">
        <v>444</v>
      </c>
      <c r="C323" s="82" t="s">
        <v>111</v>
      </c>
      <c r="D323" s="66" t="s">
        <v>210</v>
      </c>
      <c r="E323" s="82">
        <v>4</v>
      </c>
      <c r="F323" s="67" t="s">
        <v>1848</v>
      </c>
      <c r="G323" s="66" t="s">
        <v>946</v>
      </c>
      <c r="H323" s="66" t="s">
        <v>947</v>
      </c>
      <c r="I323" s="66" t="s">
        <v>6</v>
      </c>
      <c r="J323" s="82" t="s">
        <v>13</v>
      </c>
      <c r="K323" s="67">
        <v>700</v>
      </c>
      <c r="L323" s="82">
        <f t="shared" si="23"/>
        <v>450</v>
      </c>
      <c r="M323" s="67">
        <v>250</v>
      </c>
      <c r="N323" s="82"/>
      <c r="O323" s="82">
        <f t="shared" si="20"/>
        <v>450</v>
      </c>
      <c r="P323" s="82">
        <f t="shared" si="21"/>
        <v>450</v>
      </c>
      <c r="Q323" s="67">
        <v>450</v>
      </c>
      <c r="R323" s="82">
        <v>450</v>
      </c>
      <c r="S323" s="67"/>
      <c r="T323" s="82"/>
      <c r="U323" s="67"/>
      <c r="V323" s="82"/>
      <c r="W323" s="82"/>
      <c r="X323" s="82"/>
      <c r="Y323" s="19">
        <v>3</v>
      </c>
      <c r="Z323" s="82"/>
      <c r="AA323" s="69">
        <v>44531</v>
      </c>
      <c r="AB323" s="74"/>
      <c r="AC323" s="75"/>
      <c r="AD323" s="70" t="s">
        <v>1</v>
      </c>
    </row>
    <row r="324" spans="1:30" s="76" customFormat="1" ht="75">
      <c r="A324" s="82">
        <f>+SUBTOTAL(3,$B$7:B324)</f>
        <v>318</v>
      </c>
      <c r="B324" s="82" t="s">
        <v>444</v>
      </c>
      <c r="C324" s="82" t="s">
        <v>111</v>
      </c>
      <c r="D324" s="66" t="s">
        <v>210</v>
      </c>
      <c r="E324" s="82">
        <v>2</v>
      </c>
      <c r="F324" s="67">
        <v>305190537</v>
      </c>
      <c r="G324" s="66" t="s">
        <v>948</v>
      </c>
      <c r="H324" s="66" t="s">
        <v>949</v>
      </c>
      <c r="I324" s="66" t="s">
        <v>9</v>
      </c>
      <c r="J324" s="82" t="s">
        <v>37</v>
      </c>
      <c r="K324" s="67">
        <v>1700</v>
      </c>
      <c r="L324" s="82">
        <f t="shared" si="23"/>
        <v>0</v>
      </c>
      <c r="M324" s="67">
        <v>1580</v>
      </c>
      <c r="N324" s="82"/>
      <c r="O324" s="82">
        <f t="shared" si="20"/>
        <v>120</v>
      </c>
      <c r="P324" s="82">
        <f t="shared" si="21"/>
        <v>0</v>
      </c>
      <c r="Q324" s="67">
        <v>120</v>
      </c>
      <c r="R324" s="82"/>
      <c r="S324" s="67"/>
      <c r="T324" s="82"/>
      <c r="U324" s="67"/>
      <c r="V324" s="82"/>
      <c r="W324" s="82"/>
      <c r="X324" s="82"/>
      <c r="Y324" s="19">
        <v>3</v>
      </c>
      <c r="Z324" s="82"/>
      <c r="AA324" s="18">
        <v>44348</v>
      </c>
      <c r="AB324" s="74"/>
      <c r="AC324" s="75"/>
      <c r="AD324" s="70" t="s">
        <v>1</v>
      </c>
    </row>
    <row r="325" spans="1:30" s="76" customFormat="1" ht="37.5">
      <c r="A325" s="82">
        <f>+SUBTOTAL(3,$B$7:B325)</f>
        <v>319</v>
      </c>
      <c r="B325" s="82" t="s">
        <v>444</v>
      </c>
      <c r="C325" s="82" t="s">
        <v>111</v>
      </c>
      <c r="D325" s="66" t="s">
        <v>210</v>
      </c>
      <c r="E325" s="82">
        <v>1</v>
      </c>
      <c r="F325" s="67">
        <v>306537007</v>
      </c>
      <c r="G325" s="66" t="s">
        <v>950</v>
      </c>
      <c r="H325" s="66" t="s">
        <v>175</v>
      </c>
      <c r="I325" s="66" t="s">
        <v>10</v>
      </c>
      <c r="J325" s="82" t="s">
        <v>30</v>
      </c>
      <c r="K325" s="67">
        <v>2500</v>
      </c>
      <c r="L325" s="82">
        <f t="shared" si="23"/>
        <v>0</v>
      </c>
      <c r="M325" s="67">
        <v>2000</v>
      </c>
      <c r="N325" s="82"/>
      <c r="O325" s="82">
        <f t="shared" si="20"/>
        <v>500</v>
      </c>
      <c r="P325" s="82">
        <f t="shared" si="21"/>
        <v>0</v>
      </c>
      <c r="Q325" s="67">
        <v>500</v>
      </c>
      <c r="R325" s="82"/>
      <c r="S325" s="67"/>
      <c r="T325" s="82"/>
      <c r="U325" s="67"/>
      <c r="V325" s="82"/>
      <c r="W325" s="82"/>
      <c r="X325" s="82"/>
      <c r="Y325" s="19">
        <v>10</v>
      </c>
      <c r="Z325" s="82"/>
      <c r="AA325" s="69">
        <v>44501</v>
      </c>
      <c r="AB325" s="74"/>
      <c r="AC325" s="75"/>
      <c r="AD325" s="70" t="s">
        <v>1</v>
      </c>
    </row>
    <row r="326" spans="1:30" s="76" customFormat="1" ht="37.5">
      <c r="A326" s="82">
        <f>+SUBTOTAL(3,$B$7:B326)</f>
        <v>320</v>
      </c>
      <c r="B326" s="82" t="s">
        <v>444</v>
      </c>
      <c r="C326" s="82" t="s">
        <v>111</v>
      </c>
      <c r="D326" s="66" t="s">
        <v>210</v>
      </c>
      <c r="E326" s="82">
        <v>2</v>
      </c>
      <c r="F326" s="67">
        <v>305190537</v>
      </c>
      <c r="G326" s="66" t="s">
        <v>948</v>
      </c>
      <c r="H326" s="66" t="s">
        <v>951</v>
      </c>
      <c r="I326" s="66" t="s">
        <v>10</v>
      </c>
      <c r="J326" s="82" t="s">
        <v>30</v>
      </c>
      <c r="K326" s="67">
        <v>2600</v>
      </c>
      <c r="L326" s="82">
        <f t="shared" si="23"/>
        <v>0</v>
      </c>
      <c r="M326" s="67">
        <v>2100</v>
      </c>
      <c r="N326" s="82"/>
      <c r="O326" s="82">
        <f t="shared" si="20"/>
        <v>500</v>
      </c>
      <c r="P326" s="82">
        <f t="shared" si="21"/>
        <v>0</v>
      </c>
      <c r="Q326" s="67">
        <v>500</v>
      </c>
      <c r="R326" s="82"/>
      <c r="S326" s="67"/>
      <c r="T326" s="82"/>
      <c r="U326" s="67"/>
      <c r="V326" s="82"/>
      <c r="W326" s="82"/>
      <c r="X326" s="82"/>
      <c r="Y326" s="19">
        <v>3</v>
      </c>
      <c r="Z326" s="82"/>
      <c r="AA326" s="69">
        <v>44440</v>
      </c>
      <c r="AB326" s="74"/>
      <c r="AC326" s="75"/>
      <c r="AD326" s="70" t="s">
        <v>1</v>
      </c>
    </row>
    <row r="327" spans="1:30" s="76" customFormat="1" ht="75">
      <c r="A327" s="82">
        <f>+SUBTOTAL(3,$B$7:B327)</f>
        <v>321</v>
      </c>
      <c r="B327" s="82" t="s">
        <v>444</v>
      </c>
      <c r="C327" s="82" t="s">
        <v>111</v>
      </c>
      <c r="D327" s="66" t="s">
        <v>210</v>
      </c>
      <c r="E327" s="82">
        <v>4</v>
      </c>
      <c r="F327" s="67">
        <v>300508687</v>
      </c>
      <c r="G327" s="66" t="s">
        <v>952</v>
      </c>
      <c r="H327" s="66" t="s">
        <v>949</v>
      </c>
      <c r="I327" s="66" t="s">
        <v>9</v>
      </c>
      <c r="J327" s="82" t="s">
        <v>37</v>
      </c>
      <c r="K327" s="67">
        <v>2600</v>
      </c>
      <c r="L327" s="82">
        <f t="shared" si="23"/>
        <v>0</v>
      </c>
      <c r="M327" s="67">
        <v>1500</v>
      </c>
      <c r="N327" s="82"/>
      <c r="O327" s="82">
        <f t="shared" ref="O327:O390" si="24">+Q327+S327*10.2</f>
        <v>1100</v>
      </c>
      <c r="P327" s="82">
        <f t="shared" ref="P327:P390" si="25">+R327+T327*10.2</f>
        <v>0</v>
      </c>
      <c r="Q327" s="67">
        <v>1100</v>
      </c>
      <c r="R327" s="82"/>
      <c r="S327" s="67"/>
      <c r="T327" s="82"/>
      <c r="U327" s="67"/>
      <c r="V327" s="82"/>
      <c r="W327" s="82"/>
      <c r="X327" s="82"/>
      <c r="Y327" s="19">
        <v>3</v>
      </c>
      <c r="Z327" s="82"/>
      <c r="AA327" s="69">
        <v>44713</v>
      </c>
      <c r="AB327" s="74"/>
      <c r="AC327" s="75"/>
      <c r="AD327" s="70" t="s">
        <v>1</v>
      </c>
    </row>
    <row r="328" spans="1:30" s="76" customFormat="1" ht="37.5">
      <c r="A328" s="82">
        <f>+SUBTOTAL(3,$B$7:B328)</f>
        <v>322</v>
      </c>
      <c r="B328" s="82" t="s">
        <v>444</v>
      </c>
      <c r="C328" s="82" t="s">
        <v>111</v>
      </c>
      <c r="D328" s="66" t="s">
        <v>210</v>
      </c>
      <c r="E328" s="82">
        <v>1</v>
      </c>
      <c r="F328" s="67" t="s">
        <v>1849</v>
      </c>
      <c r="G328" s="66" t="s">
        <v>953</v>
      </c>
      <c r="H328" s="66" t="s">
        <v>954</v>
      </c>
      <c r="I328" s="66" t="s">
        <v>10</v>
      </c>
      <c r="J328" s="82" t="s">
        <v>59</v>
      </c>
      <c r="K328" s="67">
        <v>4800</v>
      </c>
      <c r="L328" s="82">
        <f t="shared" si="23"/>
        <v>0</v>
      </c>
      <c r="M328" s="67">
        <v>3800</v>
      </c>
      <c r="N328" s="82"/>
      <c r="O328" s="82">
        <f t="shared" si="24"/>
        <v>1000</v>
      </c>
      <c r="P328" s="82">
        <f t="shared" si="25"/>
        <v>0</v>
      </c>
      <c r="Q328" s="67">
        <v>1000</v>
      </c>
      <c r="R328" s="82"/>
      <c r="S328" s="67"/>
      <c r="T328" s="82"/>
      <c r="U328" s="67"/>
      <c r="V328" s="82"/>
      <c r="W328" s="82"/>
      <c r="X328" s="82"/>
      <c r="Y328" s="19">
        <v>10</v>
      </c>
      <c r="Z328" s="82"/>
      <c r="AA328" s="69">
        <v>44440</v>
      </c>
      <c r="AB328" s="74"/>
      <c r="AC328" s="75"/>
      <c r="AD328" s="70" t="s">
        <v>1</v>
      </c>
    </row>
    <row r="329" spans="1:30" s="76" customFormat="1" ht="37.5">
      <c r="A329" s="82">
        <f>+SUBTOTAL(3,$B$7:B329)</f>
        <v>323</v>
      </c>
      <c r="B329" s="82" t="s">
        <v>444</v>
      </c>
      <c r="C329" s="82" t="s">
        <v>111</v>
      </c>
      <c r="D329" s="66" t="s">
        <v>210</v>
      </c>
      <c r="E329" s="82">
        <v>2</v>
      </c>
      <c r="F329" s="67">
        <v>305190537</v>
      </c>
      <c r="G329" s="66" t="s">
        <v>948</v>
      </c>
      <c r="H329" s="66" t="s">
        <v>955</v>
      </c>
      <c r="I329" s="66" t="s">
        <v>10</v>
      </c>
      <c r="J329" s="82" t="s">
        <v>60</v>
      </c>
      <c r="K329" s="67">
        <v>5150</v>
      </c>
      <c r="L329" s="82">
        <f t="shared" si="23"/>
        <v>0</v>
      </c>
      <c r="M329" s="67">
        <v>4600</v>
      </c>
      <c r="N329" s="82"/>
      <c r="O329" s="82">
        <f t="shared" si="24"/>
        <v>550</v>
      </c>
      <c r="P329" s="82">
        <f t="shared" si="25"/>
        <v>0</v>
      </c>
      <c r="Q329" s="67">
        <v>550</v>
      </c>
      <c r="R329" s="82"/>
      <c r="S329" s="67"/>
      <c r="T329" s="82"/>
      <c r="U329" s="67"/>
      <c r="V329" s="82"/>
      <c r="W329" s="82"/>
      <c r="X329" s="82"/>
      <c r="Y329" s="19">
        <v>10</v>
      </c>
      <c r="Z329" s="82"/>
      <c r="AA329" s="69">
        <v>44835</v>
      </c>
      <c r="AB329" s="74"/>
      <c r="AC329" s="75"/>
      <c r="AD329" s="70" t="s">
        <v>1</v>
      </c>
    </row>
    <row r="330" spans="1:30" s="76" customFormat="1" ht="75">
      <c r="A330" s="82">
        <f>+SUBTOTAL(3,$B$7:B330)</f>
        <v>324</v>
      </c>
      <c r="B330" s="82" t="s">
        <v>444</v>
      </c>
      <c r="C330" s="82" t="s">
        <v>111</v>
      </c>
      <c r="D330" s="66" t="s">
        <v>210</v>
      </c>
      <c r="E330" s="82">
        <v>4</v>
      </c>
      <c r="F330" s="67" t="s">
        <v>2094</v>
      </c>
      <c r="G330" s="66" t="s">
        <v>956</v>
      </c>
      <c r="H330" s="66" t="s">
        <v>949</v>
      </c>
      <c r="I330" s="66" t="s">
        <v>9</v>
      </c>
      <c r="J330" s="82" t="s">
        <v>37</v>
      </c>
      <c r="K330" s="67">
        <v>5400</v>
      </c>
      <c r="L330" s="82">
        <f t="shared" ref="L330:L361" si="26">+N330+R330+T330*10.2+V330*10.2</f>
        <v>0</v>
      </c>
      <c r="M330" s="67">
        <v>3200</v>
      </c>
      <c r="N330" s="82"/>
      <c r="O330" s="82">
        <f t="shared" si="24"/>
        <v>2200</v>
      </c>
      <c r="P330" s="82">
        <f t="shared" si="25"/>
        <v>0</v>
      </c>
      <c r="Q330" s="67">
        <v>2200</v>
      </c>
      <c r="R330" s="82"/>
      <c r="S330" s="67"/>
      <c r="T330" s="82"/>
      <c r="U330" s="67"/>
      <c r="V330" s="82"/>
      <c r="W330" s="82"/>
      <c r="X330" s="82"/>
      <c r="Y330" s="19">
        <v>10</v>
      </c>
      <c r="Z330" s="82"/>
      <c r="AA330" s="69">
        <v>44866</v>
      </c>
      <c r="AB330" s="74"/>
      <c r="AC330" s="75"/>
      <c r="AD330" s="70" t="s">
        <v>1</v>
      </c>
    </row>
    <row r="331" spans="1:30" s="76" customFormat="1" ht="37.5">
      <c r="A331" s="82">
        <f>+SUBTOTAL(3,$B$7:B331)</f>
        <v>325</v>
      </c>
      <c r="B331" s="82" t="s">
        <v>444</v>
      </c>
      <c r="C331" s="82" t="s">
        <v>111</v>
      </c>
      <c r="D331" s="66" t="s">
        <v>210</v>
      </c>
      <c r="E331" s="82">
        <v>4</v>
      </c>
      <c r="F331" s="67">
        <v>307506130</v>
      </c>
      <c r="G331" s="66" t="s">
        <v>957</v>
      </c>
      <c r="H331" s="66" t="s">
        <v>958</v>
      </c>
      <c r="I331" s="66" t="s">
        <v>10</v>
      </c>
      <c r="J331" s="82" t="s">
        <v>45</v>
      </c>
      <c r="K331" s="67">
        <v>9010</v>
      </c>
      <c r="L331" s="82">
        <f t="shared" si="26"/>
        <v>0</v>
      </c>
      <c r="M331" s="67">
        <v>5550</v>
      </c>
      <c r="N331" s="82"/>
      <c r="O331" s="82">
        <f t="shared" si="24"/>
        <v>3460</v>
      </c>
      <c r="P331" s="82">
        <f t="shared" si="25"/>
        <v>0</v>
      </c>
      <c r="Q331" s="67">
        <v>3460</v>
      </c>
      <c r="R331" s="82"/>
      <c r="S331" s="67"/>
      <c r="T331" s="82"/>
      <c r="U331" s="67"/>
      <c r="V331" s="82"/>
      <c r="W331" s="82"/>
      <c r="X331" s="82"/>
      <c r="Y331" s="19">
        <v>4</v>
      </c>
      <c r="Z331" s="82"/>
      <c r="AA331" s="69">
        <v>44805</v>
      </c>
      <c r="AB331" s="74"/>
      <c r="AC331" s="75"/>
      <c r="AD331" s="70" t="s">
        <v>1</v>
      </c>
    </row>
    <row r="332" spans="1:30" s="76" customFormat="1" ht="37.5">
      <c r="A332" s="82">
        <f>+SUBTOTAL(3,$B$7:B332)</f>
        <v>326</v>
      </c>
      <c r="B332" s="82" t="s">
        <v>444</v>
      </c>
      <c r="C332" s="82" t="s">
        <v>111</v>
      </c>
      <c r="D332" s="66" t="s">
        <v>210</v>
      </c>
      <c r="E332" s="82">
        <v>1</v>
      </c>
      <c r="F332" s="67">
        <v>201375216</v>
      </c>
      <c r="G332" s="66" t="s">
        <v>959</v>
      </c>
      <c r="H332" s="66" t="s">
        <v>960</v>
      </c>
      <c r="I332" s="66" t="s">
        <v>10</v>
      </c>
      <c r="J332" s="82" t="s">
        <v>66</v>
      </c>
      <c r="K332" s="67">
        <v>16450</v>
      </c>
      <c r="L332" s="82">
        <f t="shared" si="26"/>
        <v>0</v>
      </c>
      <c r="M332" s="67">
        <v>15650</v>
      </c>
      <c r="N332" s="82"/>
      <c r="O332" s="82">
        <f t="shared" si="24"/>
        <v>800</v>
      </c>
      <c r="P332" s="82">
        <f t="shared" si="25"/>
        <v>0</v>
      </c>
      <c r="Q332" s="67">
        <v>800</v>
      </c>
      <c r="R332" s="82"/>
      <c r="S332" s="67"/>
      <c r="T332" s="82"/>
      <c r="U332" s="67"/>
      <c r="V332" s="82"/>
      <c r="W332" s="82"/>
      <c r="X332" s="82"/>
      <c r="Y332" s="19">
        <v>8</v>
      </c>
      <c r="Z332" s="82"/>
      <c r="AA332" s="69">
        <v>44531</v>
      </c>
      <c r="AB332" s="74"/>
      <c r="AC332" s="75"/>
      <c r="AD332" s="70" t="s">
        <v>1</v>
      </c>
    </row>
    <row r="333" spans="1:30" s="76" customFormat="1" ht="37.5">
      <c r="A333" s="82">
        <f>+SUBTOTAL(3,$B$7:B333)</f>
        <v>327</v>
      </c>
      <c r="B333" s="82" t="s">
        <v>444</v>
      </c>
      <c r="C333" s="82" t="s">
        <v>111</v>
      </c>
      <c r="D333" s="66" t="s">
        <v>210</v>
      </c>
      <c r="E333" s="82">
        <v>3</v>
      </c>
      <c r="F333" s="67">
        <v>307190789</v>
      </c>
      <c r="G333" s="66" t="s">
        <v>1786</v>
      </c>
      <c r="H333" s="66" t="s">
        <v>961</v>
      </c>
      <c r="I333" s="66" t="s">
        <v>10</v>
      </c>
      <c r="J333" s="82" t="s">
        <v>58</v>
      </c>
      <c r="K333" s="67">
        <v>35000</v>
      </c>
      <c r="L333" s="82">
        <f t="shared" si="26"/>
        <v>0</v>
      </c>
      <c r="M333" s="67">
        <v>15000</v>
      </c>
      <c r="N333" s="82"/>
      <c r="O333" s="82">
        <f t="shared" si="24"/>
        <v>20000</v>
      </c>
      <c r="P333" s="82">
        <f t="shared" si="25"/>
        <v>0</v>
      </c>
      <c r="Q333" s="67">
        <v>20000</v>
      </c>
      <c r="R333" s="82"/>
      <c r="S333" s="67"/>
      <c r="T333" s="82"/>
      <c r="U333" s="67"/>
      <c r="V333" s="82"/>
      <c r="W333" s="82"/>
      <c r="X333" s="82"/>
      <c r="Y333" s="19">
        <v>50</v>
      </c>
      <c r="Z333" s="82"/>
      <c r="AA333" s="69">
        <v>44866</v>
      </c>
      <c r="AB333" s="74"/>
      <c r="AC333" s="75"/>
      <c r="AD333" s="70" t="s">
        <v>1</v>
      </c>
    </row>
    <row r="334" spans="1:30" s="76" customFormat="1" ht="37.5">
      <c r="A334" s="82">
        <f>+SUBTOTAL(3,$B$7:B334)</f>
        <v>328</v>
      </c>
      <c r="B334" s="82" t="s">
        <v>444</v>
      </c>
      <c r="C334" s="82" t="s">
        <v>111</v>
      </c>
      <c r="D334" s="66" t="s">
        <v>210</v>
      </c>
      <c r="E334" s="82">
        <v>2</v>
      </c>
      <c r="F334" s="67">
        <v>300839054</v>
      </c>
      <c r="G334" s="66" t="s">
        <v>962</v>
      </c>
      <c r="H334" s="66" t="s">
        <v>963</v>
      </c>
      <c r="I334" s="66" t="s">
        <v>6</v>
      </c>
      <c r="J334" s="82" t="s">
        <v>12</v>
      </c>
      <c r="K334" s="67">
        <v>21000</v>
      </c>
      <c r="L334" s="82">
        <f t="shared" si="26"/>
        <v>0</v>
      </c>
      <c r="M334" s="67">
        <v>2000</v>
      </c>
      <c r="N334" s="82"/>
      <c r="O334" s="82">
        <f t="shared" si="24"/>
        <v>0</v>
      </c>
      <c r="P334" s="82">
        <f t="shared" si="25"/>
        <v>0</v>
      </c>
      <c r="Q334" s="67"/>
      <c r="R334" s="82"/>
      <c r="S334" s="67"/>
      <c r="T334" s="82"/>
      <c r="U334" s="67">
        <v>2000</v>
      </c>
      <c r="V334" s="82"/>
      <c r="W334" s="82"/>
      <c r="X334" s="82"/>
      <c r="Y334" s="19">
        <v>20</v>
      </c>
      <c r="Z334" s="82"/>
      <c r="AA334" s="69">
        <v>44896</v>
      </c>
      <c r="AB334" s="74"/>
      <c r="AC334" s="75"/>
      <c r="AD334" s="70" t="s">
        <v>543</v>
      </c>
    </row>
    <row r="335" spans="1:30" s="76" customFormat="1" ht="37.5">
      <c r="A335" s="82">
        <f>+SUBTOTAL(3,$B$7:B335)</f>
        <v>329</v>
      </c>
      <c r="B335" s="82" t="s">
        <v>444</v>
      </c>
      <c r="C335" s="82" t="s">
        <v>111</v>
      </c>
      <c r="D335" s="66" t="s">
        <v>210</v>
      </c>
      <c r="E335" s="82">
        <v>1</v>
      </c>
      <c r="F335" s="67">
        <v>305874325</v>
      </c>
      <c r="G335" s="66" t="s">
        <v>964</v>
      </c>
      <c r="H335" s="66" t="s">
        <v>965</v>
      </c>
      <c r="I335" s="66" t="s">
        <v>6</v>
      </c>
      <c r="J335" s="82" t="s">
        <v>13</v>
      </c>
      <c r="K335" s="67">
        <v>3800</v>
      </c>
      <c r="L335" s="82">
        <f t="shared" si="26"/>
        <v>0</v>
      </c>
      <c r="M335" s="67"/>
      <c r="N335" s="82"/>
      <c r="O335" s="82">
        <f t="shared" si="24"/>
        <v>0</v>
      </c>
      <c r="P335" s="82">
        <f t="shared" si="25"/>
        <v>0</v>
      </c>
      <c r="Q335" s="67"/>
      <c r="R335" s="82"/>
      <c r="S335" s="67"/>
      <c r="T335" s="82"/>
      <c r="U335" s="67">
        <v>400</v>
      </c>
      <c r="V335" s="82"/>
      <c r="W335" s="82"/>
      <c r="X335" s="82" t="s">
        <v>1839</v>
      </c>
      <c r="Y335" s="19">
        <v>25</v>
      </c>
      <c r="Z335" s="82"/>
      <c r="AA335" s="69">
        <v>44621</v>
      </c>
      <c r="AB335" s="74"/>
      <c r="AC335" s="75"/>
      <c r="AD335" s="70" t="s">
        <v>543</v>
      </c>
    </row>
    <row r="336" spans="1:30" s="76" customFormat="1" ht="56.25">
      <c r="A336" s="82">
        <f>+SUBTOTAL(3,$B$7:B336)</f>
        <v>330</v>
      </c>
      <c r="B336" s="82" t="s">
        <v>444</v>
      </c>
      <c r="C336" s="82" t="s">
        <v>111</v>
      </c>
      <c r="D336" s="66" t="s">
        <v>210</v>
      </c>
      <c r="E336" s="82">
        <v>1</v>
      </c>
      <c r="F336" s="67">
        <v>305805060</v>
      </c>
      <c r="G336" s="66" t="s">
        <v>966</v>
      </c>
      <c r="H336" s="66" t="s">
        <v>967</v>
      </c>
      <c r="I336" s="66" t="s">
        <v>6</v>
      </c>
      <c r="J336" s="82" t="s">
        <v>55</v>
      </c>
      <c r="K336" s="67">
        <v>49250</v>
      </c>
      <c r="L336" s="82">
        <f t="shared" si="26"/>
        <v>0</v>
      </c>
      <c r="M336" s="67">
        <v>23750</v>
      </c>
      <c r="N336" s="82"/>
      <c r="O336" s="82">
        <f t="shared" si="24"/>
        <v>0</v>
      </c>
      <c r="P336" s="82">
        <f t="shared" si="25"/>
        <v>0</v>
      </c>
      <c r="Q336" s="67"/>
      <c r="R336" s="82"/>
      <c r="S336" s="67">
        <v>0</v>
      </c>
      <c r="T336" s="82"/>
      <c r="U336" s="67">
        <v>2500</v>
      </c>
      <c r="V336" s="82"/>
      <c r="W336" s="82"/>
      <c r="X336" s="82" t="s">
        <v>1803</v>
      </c>
      <c r="Y336" s="19">
        <v>80</v>
      </c>
      <c r="Z336" s="82"/>
      <c r="AA336" s="69">
        <v>44348</v>
      </c>
      <c r="AB336" s="74"/>
      <c r="AC336" s="75"/>
      <c r="AD336" s="70" t="s">
        <v>543</v>
      </c>
    </row>
    <row r="337" spans="1:30" s="76" customFormat="1" ht="37.5">
      <c r="A337" s="82">
        <f>+SUBTOTAL(3,$B$7:B337)</f>
        <v>331</v>
      </c>
      <c r="B337" s="82" t="s">
        <v>444</v>
      </c>
      <c r="C337" s="82" t="s">
        <v>111</v>
      </c>
      <c r="D337" s="66" t="s">
        <v>210</v>
      </c>
      <c r="E337" s="82">
        <v>3</v>
      </c>
      <c r="F337" s="67">
        <v>200486410</v>
      </c>
      <c r="G337" s="66" t="s">
        <v>968</v>
      </c>
      <c r="H337" s="66" t="s">
        <v>969</v>
      </c>
      <c r="I337" s="66" t="s">
        <v>10</v>
      </c>
      <c r="J337" s="82" t="s">
        <v>30</v>
      </c>
      <c r="K337" s="67">
        <v>6760</v>
      </c>
      <c r="L337" s="82">
        <f t="shared" si="26"/>
        <v>0</v>
      </c>
      <c r="M337" s="67">
        <v>3660</v>
      </c>
      <c r="N337" s="82"/>
      <c r="O337" s="82">
        <f t="shared" si="24"/>
        <v>3100</v>
      </c>
      <c r="P337" s="82">
        <f t="shared" si="25"/>
        <v>0</v>
      </c>
      <c r="Q337" s="67">
        <v>3100</v>
      </c>
      <c r="R337" s="82"/>
      <c r="S337" s="67"/>
      <c r="T337" s="82"/>
      <c r="U337" s="67"/>
      <c r="V337" s="82"/>
      <c r="W337" s="82"/>
      <c r="X337" s="82"/>
      <c r="Y337" s="19">
        <v>25</v>
      </c>
      <c r="Z337" s="82"/>
      <c r="AA337" s="69">
        <v>44531</v>
      </c>
      <c r="AB337" s="74"/>
      <c r="AC337" s="75"/>
      <c r="AD337" s="70" t="s">
        <v>543</v>
      </c>
    </row>
    <row r="338" spans="1:30" s="76" customFormat="1" ht="37.5">
      <c r="A338" s="82">
        <f>+SUBTOTAL(3,$B$7:B338)</f>
        <v>332</v>
      </c>
      <c r="B338" s="82" t="s">
        <v>444</v>
      </c>
      <c r="C338" s="82" t="s">
        <v>111</v>
      </c>
      <c r="D338" s="66" t="s">
        <v>210</v>
      </c>
      <c r="E338" s="82">
        <v>4</v>
      </c>
      <c r="F338" s="67">
        <v>306305191</v>
      </c>
      <c r="G338" s="66" t="s">
        <v>970</v>
      </c>
      <c r="H338" s="66" t="s">
        <v>971</v>
      </c>
      <c r="I338" s="66" t="s">
        <v>6</v>
      </c>
      <c r="J338" s="82" t="s">
        <v>34</v>
      </c>
      <c r="K338" s="67">
        <v>4202</v>
      </c>
      <c r="L338" s="82">
        <f t="shared" si="26"/>
        <v>2652</v>
      </c>
      <c r="M338" s="67">
        <v>1550</v>
      </c>
      <c r="N338" s="82"/>
      <c r="O338" s="82">
        <f t="shared" si="24"/>
        <v>0</v>
      </c>
      <c r="P338" s="82">
        <f t="shared" si="25"/>
        <v>2652</v>
      </c>
      <c r="Q338" s="67"/>
      <c r="R338" s="82"/>
      <c r="S338" s="67"/>
      <c r="T338" s="82">
        <v>260</v>
      </c>
      <c r="U338" s="67">
        <v>260</v>
      </c>
      <c r="V338" s="82"/>
      <c r="W338" s="82"/>
      <c r="X338" s="82"/>
      <c r="Y338" s="19">
        <v>40</v>
      </c>
      <c r="Z338" s="82"/>
      <c r="AA338" s="69">
        <v>44256</v>
      </c>
      <c r="AB338" s="74"/>
      <c r="AC338" s="75"/>
      <c r="AD338" s="70" t="s">
        <v>543</v>
      </c>
    </row>
    <row r="339" spans="1:30" s="76" customFormat="1" ht="37.5">
      <c r="A339" s="82">
        <f>+SUBTOTAL(3,$B$7:B339)</f>
        <v>333</v>
      </c>
      <c r="B339" s="82" t="s">
        <v>444</v>
      </c>
      <c r="C339" s="82" t="s">
        <v>111</v>
      </c>
      <c r="D339" s="66" t="s">
        <v>210</v>
      </c>
      <c r="E339" s="82">
        <v>2</v>
      </c>
      <c r="F339" s="67">
        <v>305943516</v>
      </c>
      <c r="G339" s="66" t="s">
        <v>1781</v>
      </c>
      <c r="H339" s="66" t="s">
        <v>972</v>
      </c>
      <c r="I339" s="66" t="s">
        <v>6</v>
      </c>
      <c r="J339" s="82" t="s">
        <v>12</v>
      </c>
      <c r="K339" s="67">
        <v>5060</v>
      </c>
      <c r="L339" s="82">
        <f t="shared" si="26"/>
        <v>2039.9999999999998</v>
      </c>
      <c r="M339" s="67">
        <v>2000</v>
      </c>
      <c r="N339" s="82"/>
      <c r="O339" s="82">
        <f t="shared" si="24"/>
        <v>3060</v>
      </c>
      <c r="P339" s="82">
        <f t="shared" si="25"/>
        <v>2039.9999999999998</v>
      </c>
      <c r="Q339" s="67"/>
      <c r="R339" s="82"/>
      <c r="S339" s="67">
        <v>300</v>
      </c>
      <c r="T339" s="82">
        <v>200</v>
      </c>
      <c r="U339" s="67"/>
      <c r="V339" s="82"/>
      <c r="W339" s="82"/>
      <c r="X339" s="82"/>
      <c r="Y339" s="19">
        <v>20</v>
      </c>
      <c r="Z339" s="82"/>
      <c r="AA339" s="18">
        <v>44256</v>
      </c>
      <c r="AB339" s="74"/>
      <c r="AC339" s="75"/>
      <c r="AD339" s="70" t="s">
        <v>543</v>
      </c>
    </row>
    <row r="340" spans="1:30" s="76" customFormat="1" ht="37.5">
      <c r="A340" s="82">
        <f>+SUBTOTAL(3,$B$7:B340)</f>
        <v>334</v>
      </c>
      <c r="B340" s="82" t="s">
        <v>444</v>
      </c>
      <c r="C340" s="82" t="s">
        <v>111</v>
      </c>
      <c r="D340" s="66" t="s">
        <v>210</v>
      </c>
      <c r="E340" s="82">
        <v>2</v>
      </c>
      <c r="F340" s="67" t="s">
        <v>1850</v>
      </c>
      <c r="G340" s="66" t="s">
        <v>973</v>
      </c>
      <c r="H340" s="66" t="s">
        <v>974</v>
      </c>
      <c r="I340" s="66" t="s">
        <v>10</v>
      </c>
      <c r="J340" s="82" t="s">
        <v>44</v>
      </c>
      <c r="K340" s="67">
        <v>5300</v>
      </c>
      <c r="L340" s="82">
        <f t="shared" si="26"/>
        <v>1300</v>
      </c>
      <c r="M340" s="67">
        <v>4000</v>
      </c>
      <c r="N340" s="82"/>
      <c r="O340" s="82">
        <f t="shared" si="24"/>
        <v>1300</v>
      </c>
      <c r="P340" s="82">
        <f t="shared" si="25"/>
        <v>1300</v>
      </c>
      <c r="Q340" s="67">
        <v>1300</v>
      </c>
      <c r="R340" s="82">
        <v>1300</v>
      </c>
      <c r="S340" s="67"/>
      <c r="T340" s="82"/>
      <c r="U340" s="67"/>
      <c r="V340" s="82"/>
      <c r="W340" s="82"/>
      <c r="X340" s="82"/>
      <c r="Y340" s="19">
        <v>15</v>
      </c>
      <c r="Z340" s="82"/>
      <c r="AA340" s="69">
        <v>44440</v>
      </c>
      <c r="AB340" s="74"/>
      <c r="AC340" s="75"/>
      <c r="AD340" s="70" t="s">
        <v>543</v>
      </c>
    </row>
    <row r="341" spans="1:30" s="76" customFormat="1" ht="37.5">
      <c r="A341" s="82">
        <f>+SUBTOTAL(3,$B$7:B341)</f>
        <v>335</v>
      </c>
      <c r="B341" s="82" t="s">
        <v>444</v>
      </c>
      <c r="C341" s="82" t="s">
        <v>111</v>
      </c>
      <c r="D341" s="66" t="s">
        <v>210</v>
      </c>
      <c r="E341" s="82">
        <v>1</v>
      </c>
      <c r="F341" s="67">
        <v>307281342</v>
      </c>
      <c r="G341" s="66" t="s">
        <v>975</v>
      </c>
      <c r="H341" s="66" t="s">
        <v>132</v>
      </c>
      <c r="I341" s="66" t="s">
        <v>9</v>
      </c>
      <c r="J341" s="82" t="s">
        <v>37</v>
      </c>
      <c r="K341" s="67">
        <v>800</v>
      </c>
      <c r="L341" s="82">
        <f t="shared" si="26"/>
        <v>0</v>
      </c>
      <c r="M341" s="67">
        <v>800</v>
      </c>
      <c r="N341" s="82"/>
      <c r="O341" s="82">
        <f t="shared" si="24"/>
        <v>0</v>
      </c>
      <c r="P341" s="82">
        <f t="shared" si="25"/>
        <v>0</v>
      </c>
      <c r="Q341" s="67"/>
      <c r="R341" s="82"/>
      <c r="S341" s="67">
        <v>0</v>
      </c>
      <c r="T341" s="82"/>
      <c r="U341" s="67"/>
      <c r="V341" s="82"/>
      <c r="W341" s="82"/>
      <c r="X341" s="82"/>
      <c r="Y341" s="19">
        <v>5</v>
      </c>
      <c r="Z341" s="82"/>
      <c r="AA341" s="69">
        <v>44440</v>
      </c>
      <c r="AB341" s="74"/>
      <c r="AC341" s="75"/>
      <c r="AD341" s="70" t="s">
        <v>543</v>
      </c>
    </row>
    <row r="342" spans="1:30" s="76" customFormat="1" ht="37.5">
      <c r="A342" s="82">
        <f>+SUBTOTAL(3,$B$7:B342)</f>
        <v>336</v>
      </c>
      <c r="B342" s="82" t="s">
        <v>444</v>
      </c>
      <c r="C342" s="82" t="s">
        <v>111</v>
      </c>
      <c r="D342" s="66" t="s">
        <v>210</v>
      </c>
      <c r="E342" s="82">
        <v>1</v>
      </c>
      <c r="F342" s="67">
        <v>305626940</v>
      </c>
      <c r="G342" s="66" t="s">
        <v>976</v>
      </c>
      <c r="H342" s="66" t="s">
        <v>977</v>
      </c>
      <c r="I342" s="66" t="s">
        <v>6</v>
      </c>
      <c r="J342" s="82" t="s">
        <v>13</v>
      </c>
      <c r="K342" s="67">
        <v>1500</v>
      </c>
      <c r="L342" s="82">
        <f t="shared" si="26"/>
        <v>500</v>
      </c>
      <c r="M342" s="67">
        <v>1000</v>
      </c>
      <c r="N342" s="82"/>
      <c r="O342" s="82">
        <f t="shared" si="24"/>
        <v>500</v>
      </c>
      <c r="P342" s="82">
        <f t="shared" si="25"/>
        <v>500</v>
      </c>
      <c r="Q342" s="67">
        <v>500</v>
      </c>
      <c r="R342" s="82">
        <v>500</v>
      </c>
      <c r="S342" s="67"/>
      <c r="T342" s="82"/>
      <c r="U342" s="67"/>
      <c r="V342" s="82"/>
      <c r="W342" s="82"/>
      <c r="X342" s="82"/>
      <c r="Y342" s="19">
        <v>12</v>
      </c>
      <c r="Z342" s="82"/>
      <c r="AA342" s="69">
        <v>44348</v>
      </c>
      <c r="AB342" s="74"/>
      <c r="AC342" s="75"/>
      <c r="AD342" s="70" t="s">
        <v>543</v>
      </c>
    </row>
    <row r="343" spans="1:30" s="76" customFormat="1" ht="37.5">
      <c r="A343" s="82">
        <f>+SUBTOTAL(3,$B$7:B343)</f>
        <v>337</v>
      </c>
      <c r="B343" s="82" t="s">
        <v>444</v>
      </c>
      <c r="C343" s="82" t="s">
        <v>111</v>
      </c>
      <c r="D343" s="66" t="s">
        <v>210</v>
      </c>
      <c r="E343" s="82">
        <v>2</v>
      </c>
      <c r="F343" s="67">
        <v>305943516</v>
      </c>
      <c r="G343" s="66" t="s">
        <v>978</v>
      </c>
      <c r="H343" s="66" t="s">
        <v>979</v>
      </c>
      <c r="I343" s="66" t="s">
        <v>6</v>
      </c>
      <c r="J343" s="82" t="s">
        <v>12</v>
      </c>
      <c r="K343" s="67">
        <v>1530</v>
      </c>
      <c r="L343" s="82">
        <f t="shared" si="26"/>
        <v>0</v>
      </c>
      <c r="M343" s="67">
        <v>500</v>
      </c>
      <c r="N343" s="82"/>
      <c r="O343" s="82">
        <f t="shared" si="24"/>
        <v>1019.9999999999999</v>
      </c>
      <c r="P343" s="82">
        <f t="shared" si="25"/>
        <v>0</v>
      </c>
      <c r="Q343" s="67"/>
      <c r="R343" s="82"/>
      <c r="S343" s="67">
        <v>100</v>
      </c>
      <c r="T343" s="82"/>
      <c r="U343" s="67"/>
      <c r="V343" s="82"/>
      <c r="W343" s="82"/>
      <c r="X343" s="82"/>
      <c r="Y343" s="19">
        <v>15</v>
      </c>
      <c r="Z343" s="82"/>
      <c r="AA343" s="69">
        <v>44531</v>
      </c>
      <c r="AB343" s="74"/>
      <c r="AC343" s="75"/>
      <c r="AD343" s="70" t="s">
        <v>543</v>
      </c>
    </row>
    <row r="344" spans="1:30" s="76" customFormat="1" ht="37.5">
      <c r="A344" s="82">
        <f>+SUBTOTAL(3,$B$7:B344)</f>
        <v>338</v>
      </c>
      <c r="B344" s="82" t="s">
        <v>444</v>
      </c>
      <c r="C344" s="82" t="s">
        <v>111</v>
      </c>
      <c r="D344" s="66" t="s">
        <v>210</v>
      </c>
      <c r="E344" s="82">
        <v>4</v>
      </c>
      <c r="F344" s="67" t="s">
        <v>1851</v>
      </c>
      <c r="G344" s="66" t="s">
        <v>980</v>
      </c>
      <c r="H344" s="66" t="s">
        <v>981</v>
      </c>
      <c r="I344" s="66" t="s">
        <v>6</v>
      </c>
      <c r="J344" s="82" t="s">
        <v>12</v>
      </c>
      <c r="K344" s="67">
        <v>3045</v>
      </c>
      <c r="L344" s="82">
        <f t="shared" si="26"/>
        <v>1000</v>
      </c>
      <c r="M344" s="67">
        <v>1500</v>
      </c>
      <c r="N344" s="82"/>
      <c r="O344" s="82">
        <f t="shared" si="24"/>
        <v>1530</v>
      </c>
      <c r="P344" s="82">
        <f t="shared" si="25"/>
        <v>1000</v>
      </c>
      <c r="Q344" s="67"/>
      <c r="R344" s="82">
        <v>1000</v>
      </c>
      <c r="S344" s="67">
        <v>150</v>
      </c>
      <c r="T344" s="82"/>
      <c r="U344" s="67"/>
      <c r="V344" s="82"/>
      <c r="W344" s="82"/>
      <c r="X344" s="82"/>
      <c r="Y344" s="19">
        <v>5</v>
      </c>
      <c r="Z344" s="82"/>
      <c r="AA344" s="69">
        <v>44531</v>
      </c>
      <c r="AB344" s="74"/>
      <c r="AC344" s="75"/>
      <c r="AD344" s="70" t="s">
        <v>543</v>
      </c>
    </row>
    <row r="345" spans="1:30" s="76" customFormat="1" ht="37.5">
      <c r="A345" s="82">
        <f>+SUBTOTAL(3,$B$7:B345)</f>
        <v>339</v>
      </c>
      <c r="B345" s="82" t="s">
        <v>444</v>
      </c>
      <c r="C345" s="82" t="s">
        <v>111</v>
      </c>
      <c r="D345" s="66" t="s">
        <v>210</v>
      </c>
      <c r="E345" s="82">
        <v>2</v>
      </c>
      <c r="F345" s="67">
        <v>300897427</v>
      </c>
      <c r="G345" s="66" t="s">
        <v>982</v>
      </c>
      <c r="H345" s="66" t="s">
        <v>983</v>
      </c>
      <c r="I345" s="66" t="s">
        <v>9</v>
      </c>
      <c r="J345" s="82" t="s">
        <v>36</v>
      </c>
      <c r="K345" s="67">
        <v>3060</v>
      </c>
      <c r="L345" s="82">
        <f t="shared" si="26"/>
        <v>0</v>
      </c>
      <c r="M345" s="67">
        <v>1000</v>
      </c>
      <c r="N345" s="82"/>
      <c r="O345" s="82">
        <f t="shared" si="24"/>
        <v>2039.9999999999998</v>
      </c>
      <c r="P345" s="82">
        <f t="shared" si="25"/>
        <v>0</v>
      </c>
      <c r="Q345" s="67"/>
      <c r="R345" s="82"/>
      <c r="S345" s="67">
        <v>200</v>
      </c>
      <c r="T345" s="82"/>
      <c r="U345" s="67"/>
      <c r="V345" s="82"/>
      <c r="W345" s="82"/>
      <c r="X345" s="82"/>
      <c r="Y345" s="19">
        <v>12</v>
      </c>
      <c r="Z345" s="82"/>
      <c r="AA345" s="69">
        <v>44896</v>
      </c>
      <c r="AB345" s="74"/>
      <c r="AC345" s="75"/>
      <c r="AD345" s="70" t="s">
        <v>543</v>
      </c>
    </row>
    <row r="346" spans="1:30" s="76" customFormat="1" ht="37.5">
      <c r="A346" s="82">
        <f>+SUBTOTAL(3,$B$7:B346)</f>
        <v>340</v>
      </c>
      <c r="B346" s="82" t="s">
        <v>444</v>
      </c>
      <c r="C346" s="82" t="s">
        <v>111</v>
      </c>
      <c r="D346" s="66" t="s">
        <v>210</v>
      </c>
      <c r="E346" s="82">
        <v>3</v>
      </c>
      <c r="F346" s="67" t="s">
        <v>1852</v>
      </c>
      <c r="G346" s="66" t="s">
        <v>984</v>
      </c>
      <c r="H346" s="66" t="s">
        <v>985</v>
      </c>
      <c r="I346" s="66" t="s">
        <v>10</v>
      </c>
      <c r="J346" s="82" t="s">
        <v>30</v>
      </c>
      <c r="K346" s="67">
        <v>4482.3</v>
      </c>
      <c r="L346" s="82">
        <f t="shared" si="26"/>
        <v>2937.6</v>
      </c>
      <c r="M346" s="67">
        <v>2000</v>
      </c>
      <c r="N346" s="82"/>
      <c r="O346" s="82">
        <f t="shared" si="24"/>
        <v>2458.1999999999998</v>
      </c>
      <c r="P346" s="82">
        <f t="shared" si="25"/>
        <v>2937.6</v>
      </c>
      <c r="Q346" s="67"/>
      <c r="R346" s="82"/>
      <c r="S346" s="67">
        <v>241</v>
      </c>
      <c r="T346" s="82">
        <v>288</v>
      </c>
      <c r="U346" s="67"/>
      <c r="V346" s="82"/>
      <c r="W346" s="82"/>
      <c r="X346" s="82"/>
      <c r="Y346" s="19">
        <v>15</v>
      </c>
      <c r="Z346" s="82"/>
      <c r="AA346" s="69">
        <v>44348</v>
      </c>
      <c r="AB346" s="74"/>
      <c r="AC346" s="75"/>
      <c r="AD346" s="70" t="s">
        <v>543</v>
      </c>
    </row>
    <row r="347" spans="1:30" s="76" customFormat="1" ht="37.5">
      <c r="A347" s="82">
        <f>+SUBTOTAL(3,$B$7:B347)</f>
        <v>341</v>
      </c>
      <c r="B347" s="82" t="s">
        <v>444</v>
      </c>
      <c r="C347" s="82" t="s">
        <v>111</v>
      </c>
      <c r="D347" s="66" t="s">
        <v>210</v>
      </c>
      <c r="E347" s="82">
        <v>2</v>
      </c>
      <c r="F347" s="67">
        <v>305943516</v>
      </c>
      <c r="G347" s="66" t="s">
        <v>978</v>
      </c>
      <c r="H347" s="66" t="s">
        <v>986</v>
      </c>
      <c r="I347" s="66" t="s">
        <v>9</v>
      </c>
      <c r="J347" s="82" t="s">
        <v>36</v>
      </c>
      <c r="K347" s="67">
        <v>5560</v>
      </c>
      <c r="L347" s="82">
        <f t="shared" si="26"/>
        <v>0</v>
      </c>
      <c r="M347" s="67">
        <v>3500</v>
      </c>
      <c r="N347" s="82"/>
      <c r="O347" s="82">
        <f t="shared" si="24"/>
        <v>2039.9999999999998</v>
      </c>
      <c r="P347" s="82">
        <f t="shared" si="25"/>
        <v>0</v>
      </c>
      <c r="Q347" s="67"/>
      <c r="R347" s="82"/>
      <c r="S347" s="67">
        <v>200</v>
      </c>
      <c r="T347" s="82"/>
      <c r="U347" s="67"/>
      <c r="V347" s="82"/>
      <c r="W347" s="82"/>
      <c r="X347" s="82"/>
      <c r="Y347" s="19">
        <v>12</v>
      </c>
      <c r="Z347" s="82"/>
      <c r="AA347" s="69">
        <v>44915</v>
      </c>
      <c r="AB347" s="74"/>
      <c r="AC347" s="75"/>
      <c r="AD347" s="70" t="s">
        <v>543</v>
      </c>
    </row>
    <row r="348" spans="1:30" s="76" customFormat="1" ht="37.5">
      <c r="A348" s="82">
        <f>+SUBTOTAL(3,$B$7:B348)</f>
        <v>342</v>
      </c>
      <c r="B348" s="82" t="s">
        <v>444</v>
      </c>
      <c r="C348" s="82" t="s">
        <v>111</v>
      </c>
      <c r="D348" s="66" t="s">
        <v>210</v>
      </c>
      <c r="E348" s="82">
        <v>1</v>
      </c>
      <c r="F348" s="67" t="s">
        <v>1853</v>
      </c>
      <c r="G348" s="66" t="s">
        <v>987</v>
      </c>
      <c r="H348" s="66" t="s">
        <v>988</v>
      </c>
      <c r="I348" s="66" t="s">
        <v>10</v>
      </c>
      <c r="J348" s="82" t="s">
        <v>44</v>
      </c>
      <c r="K348" s="67">
        <v>8000</v>
      </c>
      <c r="L348" s="82">
        <f t="shared" si="26"/>
        <v>0</v>
      </c>
      <c r="M348" s="67">
        <v>5000</v>
      </c>
      <c r="N348" s="82"/>
      <c r="O348" s="82">
        <f t="shared" si="24"/>
        <v>3000</v>
      </c>
      <c r="P348" s="82">
        <f t="shared" si="25"/>
        <v>0</v>
      </c>
      <c r="Q348" s="67">
        <v>3000</v>
      </c>
      <c r="R348" s="82"/>
      <c r="S348" s="67"/>
      <c r="T348" s="82"/>
      <c r="U348" s="67"/>
      <c r="V348" s="82"/>
      <c r="W348" s="82"/>
      <c r="X348" s="82"/>
      <c r="Y348" s="19">
        <v>20</v>
      </c>
      <c r="Z348" s="82"/>
      <c r="AA348" s="69">
        <v>44713</v>
      </c>
      <c r="AB348" s="74"/>
      <c r="AC348" s="75"/>
      <c r="AD348" s="70" t="s">
        <v>543</v>
      </c>
    </row>
    <row r="349" spans="1:30" s="76" customFormat="1" ht="37.5">
      <c r="A349" s="82">
        <f>+SUBTOTAL(3,$B$7:B349)</f>
        <v>343</v>
      </c>
      <c r="B349" s="82" t="s">
        <v>444</v>
      </c>
      <c r="C349" s="82" t="s">
        <v>111</v>
      </c>
      <c r="D349" s="66" t="s">
        <v>210</v>
      </c>
      <c r="E349" s="82">
        <v>1</v>
      </c>
      <c r="F349" s="67">
        <v>306773545</v>
      </c>
      <c r="G349" s="66" t="s">
        <v>989</v>
      </c>
      <c r="H349" s="66" t="s">
        <v>990</v>
      </c>
      <c r="I349" s="66" t="s">
        <v>6</v>
      </c>
      <c r="J349" s="82" t="s">
        <v>13</v>
      </c>
      <c r="K349" s="67">
        <v>13800</v>
      </c>
      <c r="L349" s="82">
        <f t="shared" si="26"/>
        <v>0</v>
      </c>
      <c r="M349" s="67">
        <v>3500</v>
      </c>
      <c r="N349" s="82"/>
      <c r="O349" s="82">
        <f t="shared" si="24"/>
        <v>10200</v>
      </c>
      <c r="P349" s="82">
        <f t="shared" si="25"/>
        <v>0</v>
      </c>
      <c r="Q349" s="67"/>
      <c r="R349" s="82"/>
      <c r="S349" s="67">
        <v>1000</v>
      </c>
      <c r="T349" s="82"/>
      <c r="U349" s="67"/>
      <c r="V349" s="82"/>
      <c r="W349" s="82"/>
      <c r="X349" s="82"/>
      <c r="Y349" s="19">
        <v>45</v>
      </c>
      <c r="Z349" s="82"/>
      <c r="AA349" s="69">
        <v>44713</v>
      </c>
      <c r="AB349" s="74"/>
      <c r="AC349" s="75"/>
      <c r="AD349" s="70" t="s">
        <v>543</v>
      </c>
    </row>
    <row r="350" spans="1:30" s="76" customFormat="1" ht="37.5">
      <c r="A350" s="82">
        <f>+SUBTOTAL(3,$B$7:B350)</f>
        <v>344</v>
      </c>
      <c r="B350" s="82" t="s">
        <v>444</v>
      </c>
      <c r="C350" s="82" t="s">
        <v>111</v>
      </c>
      <c r="D350" s="66" t="s">
        <v>210</v>
      </c>
      <c r="E350" s="82">
        <v>3</v>
      </c>
      <c r="F350" s="67" t="s">
        <v>1853</v>
      </c>
      <c r="G350" s="66" t="s">
        <v>987</v>
      </c>
      <c r="H350" s="66" t="s">
        <v>991</v>
      </c>
      <c r="I350" s="66" t="s">
        <v>10</v>
      </c>
      <c r="J350" s="82" t="s">
        <v>58</v>
      </c>
      <c r="K350" s="67">
        <v>36000</v>
      </c>
      <c r="L350" s="82">
        <f t="shared" si="26"/>
        <v>0</v>
      </c>
      <c r="M350" s="67">
        <v>10800</v>
      </c>
      <c r="N350" s="82"/>
      <c r="O350" s="82">
        <f t="shared" si="24"/>
        <v>25200</v>
      </c>
      <c r="P350" s="82">
        <f t="shared" si="25"/>
        <v>0</v>
      </c>
      <c r="Q350" s="67">
        <v>25200</v>
      </c>
      <c r="R350" s="82"/>
      <c r="S350" s="67"/>
      <c r="T350" s="82"/>
      <c r="U350" s="67"/>
      <c r="V350" s="82"/>
      <c r="W350" s="82"/>
      <c r="X350" s="82"/>
      <c r="Y350" s="19">
        <v>12</v>
      </c>
      <c r="Z350" s="82"/>
      <c r="AA350" s="69">
        <v>44896</v>
      </c>
      <c r="AB350" s="74"/>
      <c r="AC350" s="75"/>
      <c r="AD350" s="70" t="s">
        <v>543</v>
      </c>
    </row>
    <row r="351" spans="1:30" s="76" customFormat="1" ht="37.5">
      <c r="A351" s="82">
        <f>+SUBTOTAL(3,$B$7:B351)</f>
        <v>345</v>
      </c>
      <c r="B351" s="82" t="s">
        <v>444</v>
      </c>
      <c r="C351" s="82" t="s">
        <v>111</v>
      </c>
      <c r="D351" s="66" t="s">
        <v>210</v>
      </c>
      <c r="E351" s="82">
        <v>2</v>
      </c>
      <c r="F351" s="67">
        <v>307381265</v>
      </c>
      <c r="G351" s="66" t="s">
        <v>992</v>
      </c>
      <c r="H351" s="66" t="s">
        <v>604</v>
      </c>
      <c r="I351" s="66" t="s">
        <v>6</v>
      </c>
      <c r="J351" s="82" t="s">
        <v>13</v>
      </c>
      <c r="K351" s="67">
        <v>3000</v>
      </c>
      <c r="L351" s="82">
        <f t="shared" si="26"/>
        <v>180</v>
      </c>
      <c r="M351" s="67">
        <v>900</v>
      </c>
      <c r="N351" s="82"/>
      <c r="O351" s="82">
        <f t="shared" si="24"/>
        <v>2100</v>
      </c>
      <c r="P351" s="82">
        <f t="shared" si="25"/>
        <v>180</v>
      </c>
      <c r="Q351" s="67">
        <v>2100</v>
      </c>
      <c r="R351" s="82">
        <v>180</v>
      </c>
      <c r="S351" s="67"/>
      <c r="T351" s="82"/>
      <c r="U351" s="67"/>
      <c r="V351" s="82"/>
      <c r="W351" s="82"/>
      <c r="X351" s="82"/>
      <c r="Y351" s="19">
        <v>30</v>
      </c>
      <c r="Z351" s="82"/>
      <c r="AA351" s="69">
        <v>44256</v>
      </c>
      <c r="AB351" s="74"/>
      <c r="AC351" s="75"/>
      <c r="AD351" s="70" t="s">
        <v>445</v>
      </c>
    </row>
    <row r="352" spans="1:30" s="76" customFormat="1" ht="37.5">
      <c r="A352" s="82">
        <f>+SUBTOTAL(3,$B$7:B352)</f>
        <v>346</v>
      </c>
      <c r="B352" s="82" t="s">
        <v>444</v>
      </c>
      <c r="C352" s="82" t="s">
        <v>111</v>
      </c>
      <c r="D352" s="66" t="s">
        <v>210</v>
      </c>
      <c r="E352" s="82">
        <v>1</v>
      </c>
      <c r="F352" s="67">
        <v>306773545</v>
      </c>
      <c r="G352" s="66" t="s">
        <v>993</v>
      </c>
      <c r="H352" s="66" t="s">
        <v>994</v>
      </c>
      <c r="I352" s="66" t="s">
        <v>6</v>
      </c>
      <c r="J352" s="82" t="s">
        <v>11</v>
      </c>
      <c r="K352" s="67">
        <v>600</v>
      </c>
      <c r="L352" s="82">
        <f t="shared" si="26"/>
        <v>100</v>
      </c>
      <c r="M352" s="67">
        <v>200</v>
      </c>
      <c r="N352" s="82"/>
      <c r="O352" s="82">
        <f t="shared" si="24"/>
        <v>400</v>
      </c>
      <c r="P352" s="82">
        <f t="shared" si="25"/>
        <v>100</v>
      </c>
      <c r="Q352" s="67">
        <v>400</v>
      </c>
      <c r="R352" s="82">
        <v>100</v>
      </c>
      <c r="S352" s="67"/>
      <c r="T352" s="82"/>
      <c r="U352" s="67"/>
      <c r="V352" s="82"/>
      <c r="W352" s="82"/>
      <c r="X352" s="82"/>
      <c r="Y352" s="19">
        <v>30</v>
      </c>
      <c r="Z352" s="82"/>
      <c r="AA352" s="69">
        <v>44287</v>
      </c>
      <c r="AB352" s="74"/>
      <c r="AC352" s="75"/>
      <c r="AD352" s="70" t="s">
        <v>445</v>
      </c>
    </row>
    <row r="353" spans="1:30" s="76" customFormat="1" ht="37.5">
      <c r="A353" s="82">
        <f>+SUBTOTAL(3,$B$7:B353)</f>
        <v>347</v>
      </c>
      <c r="B353" s="82" t="s">
        <v>444</v>
      </c>
      <c r="C353" s="82" t="s">
        <v>111</v>
      </c>
      <c r="D353" s="66" t="s">
        <v>210</v>
      </c>
      <c r="E353" s="82">
        <v>2</v>
      </c>
      <c r="F353" s="67">
        <v>306073134</v>
      </c>
      <c r="G353" s="66" t="s">
        <v>995</v>
      </c>
      <c r="H353" s="66" t="s">
        <v>131</v>
      </c>
      <c r="I353" s="66" t="s">
        <v>9</v>
      </c>
      <c r="J353" s="82" t="s">
        <v>37</v>
      </c>
      <c r="K353" s="67">
        <v>2000</v>
      </c>
      <c r="L353" s="82">
        <f t="shared" si="26"/>
        <v>1000</v>
      </c>
      <c r="M353" s="67">
        <v>700</v>
      </c>
      <c r="N353" s="82"/>
      <c r="O353" s="82">
        <f t="shared" si="24"/>
        <v>1300</v>
      </c>
      <c r="P353" s="82">
        <f t="shared" si="25"/>
        <v>1000</v>
      </c>
      <c r="Q353" s="67">
        <v>1300</v>
      </c>
      <c r="R353" s="82">
        <v>1000</v>
      </c>
      <c r="S353" s="67"/>
      <c r="T353" s="82"/>
      <c r="U353" s="67"/>
      <c r="V353" s="82"/>
      <c r="W353" s="82"/>
      <c r="X353" s="82"/>
      <c r="Y353" s="19">
        <v>50</v>
      </c>
      <c r="Z353" s="82"/>
      <c r="AA353" s="69">
        <v>44256</v>
      </c>
      <c r="AB353" s="74"/>
      <c r="AC353" s="75"/>
      <c r="AD353" s="70" t="s">
        <v>445</v>
      </c>
    </row>
    <row r="354" spans="1:30" s="76" customFormat="1" ht="37.5">
      <c r="A354" s="82">
        <f>+SUBTOTAL(3,$B$7:B354)</f>
        <v>348</v>
      </c>
      <c r="B354" s="82" t="s">
        <v>444</v>
      </c>
      <c r="C354" s="82" t="s">
        <v>111</v>
      </c>
      <c r="D354" s="66" t="s">
        <v>210</v>
      </c>
      <c r="E354" s="82">
        <v>1</v>
      </c>
      <c r="F354" s="67">
        <v>306385649</v>
      </c>
      <c r="G354" s="66" t="s">
        <v>996</v>
      </c>
      <c r="H354" s="66" t="s">
        <v>604</v>
      </c>
      <c r="I354" s="66" t="s">
        <v>6</v>
      </c>
      <c r="J354" s="82" t="s">
        <v>13</v>
      </c>
      <c r="K354" s="67">
        <v>150</v>
      </c>
      <c r="L354" s="82">
        <f t="shared" si="26"/>
        <v>100</v>
      </c>
      <c r="M354" s="67">
        <v>50</v>
      </c>
      <c r="N354" s="82"/>
      <c r="O354" s="82">
        <f t="shared" si="24"/>
        <v>100</v>
      </c>
      <c r="P354" s="82">
        <f t="shared" si="25"/>
        <v>100</v>
      </c>
      <c r="Q354" s="67">
        <v>100</v>
      </c>
      <c r="R354" s="82">
        <v>100</v>
      </c>
      <c r="S354" s="67"/>
      <c r="T354" s="82"/>
      <c r="U354" s="67"/>
      <c r="V354" s="82"/>
      <c r="W354" s="82"/>
      <c r="X354" s="82"/>
      <c r="Y354" s="19">
        <v>2</v>
      </c>
      <c r="Z354" s="82"/>
      <c r="AA354" s="69">
        <v>44501</v>
      </c>
      <c r="AB354" s="74"/>
      <c r="AC354" s="75"/>
      <c r="AD354" s="70" t="s">
        <v>445</v>
      </c>
    </row>
    <row r="355" spans="1:30" s="76" customFormat="1" ht="37.5">
      <c r="A355" s="82">
        <f>+SUBTOTAL(3,$B$7:B355)</f>
        <v>349</v>
      </c>
      <c r="B355" s="82" t="s">
        <v>444</v>
      </c>
      <c r="C355" s="82" t="s">
        <v>111</v>
      </c>
      <c r="D355" s="66" t="s">
        <v>210</v>
      </c>
      <c r="E355" s="82">
        <v>4</v>
      </c>
      <c r="F355" s="67">
        <v>303326327</v>
      </c>
      <c r="G355" s="66" t="s">
        <v>997</v>
      </c>
      <c r="H355" s="66" t="s">
        <v>36</v>
      </c>
      <c r="I355" s="66" t="s">
        <v>9</v>
      </c>
      <c r="J355" s="82" t="s">
        <v>36</v>
      </c>
      <c r="K355" s="67">
        <v>5500</v>
      </c>
      <c r="L355" s="82">
        <f t="shared" si="26"/>
        <v>0</v>
      </c>
      <c r="M355" s="67">
        <v>1000</v>
      </c>
      <c r="N355" s="82"/>
      <c r="O355" s="82">
        <f t="shared" si="24"/>
        <v>4500</v>
      </c>
      <c r="P355" s="82">
        <f t="shared" si="25"/>
        <v>0</v>
      </c>
      <c r="Q355" s="67">
        <v>4500</v>
      </c>
      <c r="R355" s="82"/>
      <c r="S355" s="67"/>
      <c r="T355" s="82"/>
      <c r="U355" s="67"/>
      <c r="V355" s="82"/>
      <c r="W355" s="82"/>
      <c r="X355" s="82"/>
      <c r="Y355" s="19">
        <v>10</v>
      </c>
      <c r="Z355" s="82"/>
      <c r="AA355" s="69">
        <v>44896</v>
      </c>
      <c r="AB355" s="74"/>
      <c r="AC355" s="75"/>
      <c r="AD355" s="70" t="s">
        <v>445</v>
      </c>
    </row>
    <row r="356" spans="1:30" s="76" customFormat="1" ht="37.5">
      <c r="A356" s="82">
        <f>+SUBTOTAL(3,$B$7:B356)</f>
        <v>350</v>
      </c>
      <c r="B356" s="82" t="s">
        <v>444</v>
      </c>
      <c r="C356" s="82" t="s">
        <v>111</v>
      </c>
      <c r="D356" s="66" t="s">
        <v>210</v>
      </c>
      <c r="E356" s="82">
        <v>4</v>
      </c>
      <c r="F356" s="67">
        <v>304652135</v>
      </c>
      <c r="G356" s="66" t="s">
        <v>998</v>
      </c>
      <c r="H356" s="66" t="s">
        <v>999</v>
      </c>
      <c r="I356" s="66" t="s">
        <v>9</v>
      </c>
      <c r="J356" s="82" t="s">
        <v>41</v>
      </c>
      <c r="K356" s="67">
        <v>3500</v>
      </c>
      <c r="L356" s="82">
        <f t="shared" si="26"/>
        <v>0</v>
      </c>
      <c r="M356" s="67">
        <v>300</v>
      </c>
      <c r="N356" s="82"/>
      <c r="O356" s="82">
        <f t="shared" si="24"/>
        <v>3200</v>
      </c>
      <c r="P356" s="82">
        <f t="shared" si="25"/>
        <v>0</v>
      </c>
      <c r="Q356" s="67">
        <v>3200</v>
      </c>
      <c r="R356" s="82"/>
      <c r="S356" s="67"/>
      <c r="T356" s="82"/>
      <c r="U356" s="67"/>
      <c r="V356" s="82"/>
      <c r="W356" s="82"/>
      <c r="X356" s="82"/>
      <c r="Y356" s="19">
        <v>4</v>
      </c>
      <c r="Z356" s="82"/>
      <c r="AA356" s="69">
        <v>44531</v>
      </c>
      <c r="AB356" s="74"/>
      <c r="AC356" s="75"/>
      <c r="AD356" s="70" t="s">
        <v>445</v>
      </c>
    </row>
    <row r="357" spans="1:30" s="76" customFormat="1" ht="37.5">
      <c r="A357" s="82">
        <f>+SUBTOTAL(3,$B$7:B357)</f>
        <v>351</v>
      </c>
      <c r="B357" s="82" t="s">
        <v>444</v>
      </c>
      <c r="C357" s="82" t="s">
        <v>111</v>
      </c>
      <c r="D357" s="66" t="s">
        <v>210</v>
      </c>
      <c r="E357" s="82">
        <v>3</v>
      </c>
      <c r="F357" s="67">
        <v>200485088</v>
      </c>
      <c r="G357" s="66" t="s">
        <v>1000</v>
      </c>
      <c r="H357" s="66" t="s">
        <v>136</v>
      </c>
      <c r="I357" s="66" t="s">
        <v>9</v>
      </c>
      <c r="J357" s="82" t="s">
        <v>36</v>
      </c>
      <c r="K357" s="67">
        <v>3000</v>
      </c>
      <c r="L357" s="82">
        <f t="shared" si="26"/>
        <v>2520</v>
      </c>
      <c r="M357" s="67">
        <v>1000</v>
      </c>
      <c r="N357" s="82"/>
      <c r="O357" s="82">
        <f t="shared" si="24"/>
        <v>2000</v>
      </c>
      <c r="P357" s="82">
        <f t="shared" si="25"/>
        <v>2520</v>
      </c>
      <c r="Q357" s="67">
        <v>2000</v>
      </c>
      <c r="R357" s="82">
        <v>2520</v>
      </c>
      <c r="S357" s="67"/>
      <c r="T357" s="82"/>
      <c r="U357" s="67"/>
      <c r="V357" s="82"/>
      <c r="W357" s="82"/>
      <c r="X357" s="82"/>
      <c r="Y357" s="19">
        <v>5</v>
      </c>
      <c r="Z357" s="82"/>
      <c r="AA357" s="69">
        <v>44256</v>
      </c>
      <c r="AB357" s="74"/>
      <c r="AC357" s="75"/>
      <c r="AD357" s="70" t="s">
        <v>445</v>
      </c>
    </row>
    <row r="358" spans="1:30" s="76" customFormat="1" ht="37.5">
      <c r="A358" s="82">
        <f>+SUBTOTAL(3,$B$7:B358)</f>
        <v>352</v>
      </c>
      <c r="B358" s="82" t="s">
        <v>444</v>
      </c>
      <c r="C358" s="82" t="s">
        <v>111</v>
      </c>
      <c r="D358" s="66" t="s">
        <v>210</v>
      </c>
      <c r="E358" s="82">
        <v>2</v>
      </c>
      <c r="F358" s="67">
        <v>204931764</v>
      </c>
      <c r="G358" s="66" t="s">
        <v>1001</v>
      </c>
      <c r="H358" s="66" t="s">
        <v>36</v>
      </c>
      <c r="I358" s="66" t="s">
        <v>9</v>
      </c>
      <c r="J358" s="82" t="s">
        <v>36</v>
      </c>
      <c r="K358" s="67">
        <v>4000</v>
      </c>
      <c r="L358" s="82">
        <f t="shared" si="26"/>
        <v>0</v>
      </c>
      <c r="M358" s="67">
        <v>1000</v>
      </c>
      <c r="N358" s="82"/>
      <c r="O358" s="82">
        <f t="shared" si="24"/>
        <v>3000</v>
      </c>
      <c r="P358" s="82">
        <f t="shared" si="25"/>
        <v>0</v>
      </c>
      <c r="Q358" s="67">
        <v>3000</v>
      </c>
      <c r="R358" s="82"/>
      <c r="S358" s="67"/>
      <c r="T358" s="82"/>
      <c r="U358" s="67"/>
      <c r="V358" s="82"/>
      <c r="W358" s="82"/>
      <c r="X358" s="82"/>
      <c r="Y358" s="19">
        <v>10</v>
      </c>
      <c r="Z358" s="82"/>
      <c r="AA358" s="69">
        <v>44470</v>
      </c>
      <c r="AB358" s="74"/>
      <c r="AC358" s="75"/>
      <c r="AD358" s="70" t="s">
        <v>445</v>
      </c>
    </row>
    <row r="359" spans="1:30" s="76" customFormat="1" ht="37.5">
      <c r="A359" s="82">
        <f>+SUBTOTAL(3,$B$7:B359)</f>
        <v>353</v>
      </c>
      <c r="B359" s="82" t="s">
        <v>444</v>
      </c>
      <c r="C359" s="82" t="s">
        <v>111</v>
      </c>
      <c r="D359" s="66" t="s">
        <v>210</v>
      </c>
      <c r="E359" s="82">
        <v>1</v>
      </c>
      <c r="F359" s="67">
        <v>304506759</v>
      </c>
      <c r="G359" s="66" t="s">
        <v>1002</v>
      </c>
      <c r="H359" s="66" t="s">
        <v>36</v>
      </c>
      <c r="I359" s="66" t="s">
        <v>9</v>
      </c>
      <c r="J359" s="82" t="s">
        <v>36</v>
      </c>
      <c r="K359" s="67">
        <v>3850</v>
      </c>
      <c r="L359" s="82">
        <f t="shared" si="26"/>
        <v>0</v>
      </c>
      <c r="M359" s="67">
        <v>1000</v>
      </c>
      <c r="N359" s="82"/>
      <c r="O359" s="82">
        <f t="shared" si="24"/>
        <v>3060</v>
      </c>
      <c r="P359" s="82">
        <f t="shared" si="25"/>
        <v>0</v>
      </c>
      <c r="Q359" s="67"/>
      <c r="R359" s="82"/>
      <c r="S359" s="67">
        <v>300</v>
      </c>
      <c r="T359" s="82"/>
      <c r="U359" s="67"/>
      <c r="V359" s="82"/>
      <c r="W359" s="82"/>
      <c r="X359" s="82"/>
      <c r="Y359" s="19">
        <v>15</v>
      </c>
      <c r="Z359" s="82"/>
      <c r="AA359" s="69">
        <v>44256</v>
      </c>
      <c r="AB359" s="74"/>
      <c r="AC359" s="75"/>
      <c r="AD359" s="70" t="s">
        <v>445</v>
      </c>
    </row>
    <row r="360" spans="1:30" s="76" customFormat="1" ht="37.5">
      <c r="A360" s="82">
        <f>+SUBTOTAL(3,$B$7:B360)</f>
        <v>354</v>
      </c>
      <c r="B360" s="82" t="s">
        <v>444</v>
      </c>
      <c r="C360" s="82" t="s">
        <v>111</v>
      </c>
      <c r="D360" s="66" t="s">
        <v>210</v>
      </c>
      <c r="E360" s="82">
        <v>2</v>
      </c>
      <c r="F360" s="67">
        <v>306257933</v>
      </c>
      <c r="G360" s="66" t="s">
        <v>1003</v>
      </c>
      <c r="H360" s="66" t="s">
        <v>1004</v>
      </c>
      <c r="I360" s="66" t="s">
        <v>10</v>
      </c>
      <c r="J360" s="82" t="s">
        <v>44</v>
      </c>
      <c r="K360" s="67">
        <v>1500</v>
      </c>
      <c r="L360" s="82">
        <f t="shared" si="26"/>
        <v>1000</v>
      </c>
      <c r="M360" s="67">
        <v>500</v>
      </c>
      <c r="N360" s="82"/>
      <c r="O360" s="82">
        <f t="shared" si="24"/>
        <v>1000</v>
      </c>
      <c r="P360" s="82">
        <f t="shared" si="25"/>
        <v>1000</v>
      </c>
      <c r="Q360" s="67">
        <v>1000</v>
      </c>
      <c r="R360" s="82">
        <v>1000</v>
      </c>
      <c r="S360" s="67"/>
      <c r="T360" s="82"/>
      <c r="U360" s="67"/>
      <c r="V360" s="82"/>
      <c r="W360" s="82"/>
      <c r="X360" s="82"/>
      <c r="Y360" s="19">
        <v>12</v>
      </c>
      <c r="Z360" s="82"/>
      <c r="AA360" s="69">
        <v>44378</v>
      </c>
      <c r="AB360" s="74"/>
      <c r="AC360" s="75"/>
      <c r="AD360" s="70" t="s">
        <v>445</v>
      </c>
    </row>
    <row r="361" spans="1:30" s="76" customFormat="1" ht="37.5">
      <c r="A361" s="82">
        <f>+SUBTOTAL(3,$B$7:B361)</f>
        <v>355</v>
      </c>
      <c r="B361" s="82" t="s">
        <v>444</v>
      </c>
      <c r="C361" s="82" t="s">
        <v>111</v>
      </c>
      <c r="D361" s="66" t="s">
        <v>210</v>
      </c>
      <c r="E361" s="82">
        <v>1</v>
      </c>
      <c r="F361" s="67">
        <v>306492104</v>
      </c>
      <c r="G361" s="66" t="s">
        <v>1005</v>
      </c>
      <c r="H361" s="66" t="s">
        <v>759</v>
      </c>
      <c r="I361" s="66" t="s">
        <v>10</v>
      </c>
      <c r="J361" s="82" t="s">
        <v>60</v>
      </c>
      <c r="K361" s="67">
        <v>7500</v>
      </c>
      <c r="L361" s="82">
        <f t="shared" si="26"/>
        <v>1500</v>
      </c>
      <c r="M361" s="67">
        <v>6000</v>
      </c>
      <c r="N361" s="82"/>
      <c r="O361" s="82">
        <f t="shared" si="24"/>
        <v>1500</v>
      </c>
      <c r="P361" s="82">
        <f t="shared" si="25"/>
        <v>1500</v>
      </c>
      <c r="Q361" s="67">
        <v>1500</v>
      </c>
      <c r="R361" s="82">
        <v>1500</v>
      </c>
      <c r="S361" s="67"/>
      <c r="T361" s="82"/>
      <c r="U361" s="67"/>
      <c r="V361" s="82"/>
      <c r="W361" s="82"/>
      <c r="X361" s="82"/>
      <c r="Y361" s="19">
        <v>10</v>
      </c>
      <c r="Z361" s="82"/>
      <c r="AA361" s="69">
        <v>44256</v>
      </c>
      <c r="AB361" s="74"/>
      <c r="AC361" s="75"/>
      <c r="AD361" s="70" t="s">
        <v>445</v>
      </c>
    </row>
    <row r="362" spans="1:30" s="76" customFormat="1" ht="37.5">
      <c r="A362" s="82">
        <f>+SUBTOTAL(3,$B$7:B362)</f>
        <v>356</v>
      </c>
      <c r="B362" s="82" t="s">
        <v>444</v>
      </c>
      <c r="C362" s="82" t="s">
        <v>111</v>
      </c>
      <c r="D362" s="66" t="s">
        <v>210</v>
      </c>
      <c r="E362" s="82">
        <v>1</v>
      </c>
      <c r="F362" s="67">
        <v>201435726</v>
      </c>
      <c r="G362" s="66" t="s">
        <v>1006</v>
      </c>
      <c r="H362" s="66" t="s">
        <v>134</v>
      </c>
      <c r="I362" s="66" t="s">
        <v>9</v>
      </c>
      <c r="J362" s="82" t="s">
        <v>36</v>
      </c>
      <c r="K362" s="67">
        <v>2400</v>
      </c>
      <c r="L362" s="82">
        <f t="shared" ref="L362:L393" si="27">+N362+R362+T362*10.2+V362*10.2</f>
        <v>0</v>
      </c>
      <c r="M362" s="67">
        <v>600</v>
      </c>
      <c r="N362" s="82"/>
      <c r="O362" s="82">
        <f t="shared" si="24"/>
        <v>1800</v>
      </c>
      <c r="P362" s="82">
        <f t="shared" si="25"/>
        <v>0</v>
      </c>
      <c r="Q362" s="67">
        <v>1800</v>
      </c>
      <c r="R362" s="82"/>
      <c r="S362" s="67"/>
      <c r="T362" s="82"/>
      <c r="U362" s="67"/>
      <c r="V362" s="82"/>
      <c r="W362" s="82"/>
      <c r="X362" s="82"/>
      <c r="Y362" s="19">
        <v>8</v>
      </c>
      <c r="Z362" s="82"/>
      <c r="AA362" s="69">
        <v>44866</v>
      </c>
      <c r="AB362" s="74"/>
      <c r="AC362" s="75"/>
      <c r="AD362" s="70" t="s">
        <v>445</v>
      </c>
    </row>
    <row r="363" spans="1:30" s="76" customFormat="1" ht="37.5">
      <c r="A363" s="82">
        <f>+SUBTOTAL(3,$B$7:B363)</f>
        <v>357</v>
      </c>
      <c r="B363" s="82" t="s">
        <v>444</v>
      </c>
      <c r="C363" s="82" t="s">
        <v>111</v>
      </c>
      <c r="D363" s="66" t="s">
        <v>210</v>
      </c>
      <c r="E363" s="82">
        <v>1</v>
      </c>
      <c r="F363" s="67">
        <v>307202605</v>
      </c>
      <c r="G363" s="66" t="s">
        <v>1007</v>
      </c>
      <c r="H363" s="66" t="s">
        <v>1008</v>
      </c>
      <c r="I363" s="66" t="s">
        <v>9</v>
      </c>
      <c r="J363" s="82" t="s">
        <v>36</v>
      </c>
      <c r="K363" s="67">
        <v>3900</v>
      </c>
      <c r="L363" s="82">
        <f t="shared" si="27"/>
        <v>703.8</v>
      </c>
      <c r="M363" s="67">
        <v>2000</v>
      </c>
      <c r="N363" s="82"/>
      <c r="O363" s="82">
        <f t="shared" si="24"/>
        <v>0</v>
      </c>
      <c r="P363" s="82">
        <f t="shared" si="25"/>
        <v>703.8</v>
      </c>
      <c r="Q363" s="67"/>
      <c r="R363" s="82"/>
      <c r="S363" s="67"/>
      <c r="T363" s="82">
        <v>69</v>
      </c>
      <c r="U363" s="67">
        <v>200</v>
      </c>
      <c r="V363" s="82"/>
      <c r="W363" s="82"/>
      <c r="X363" s="82"/>
      <c r="Y363" s="19">
        <v>10</v>
      </c>
      <c r="Z363" s="82"/>
      <c r="AA363" s="18">
        <v>44348</v>
      </c>
      <c r="AB363" s="74"/>
      <c r="AC363" s="75"/>
      <c r="AD363" s="70" t="s">
        <v>445</v>
      </c>
    </row>
    <row r="364" spans="1:30" s="76" customFormat="1" ht="37.5">
      <c r="A364" s="82">
        <f>+SUBTOTAL(3,$B$7:B364)</f>
        <v>358</v>
      </c>
      <c r="B364" s="82" t="s">
        <v>444</v>
      </c>
      <c r="C364" s="82" t="s">
        <v>111</v>
      </c>
      <c r="D364" s="66" t="s">
        <v>210</v>
      </c>
      <c r="E364" s="82">
        <v>2</v>
      </c>
      <c r="F364" s="67">
        <v>201435726</v>
      </c>
      <c r="G364" s="66" t="s">
        <v>1009</v>
      </c>
      <c r="H364" s="66" t="s">
        <v>1010</v>
      </c>
      <c r="I364" s="66" t="s">
        <v>10</v>
      </c>
      <c r="J364" s="82" t="s">
        <v>30</v>
      </c>
      <c r="K364" s="67">
        <v>1500</v>
      </c>
      <c r="L364" s="82">
        <f t="shared" si="27"/>
        <v>500</v>
      </c>
      <c r="M364" s="67">
        <v>500</v>
      </c>
      <c r="N364" s="82"/>
      <c r="O364" s="82">
        <f t="shared" si="24"/>
        <v>1000</v>
      </c>
      <c r="P364" s="82">
        <f t="shared" si="25"/>
        <v>500</v>
      </c>
      <c r="Q364" s="67">
        <v>1000</v>
      </c>
      <c r="R364" s="82">
        <v>500</v>
      </c>
      <c r="S364" s="67"/>
      <c r="T364" s="82"/>
      <c r="U364" s="67"/>
      <c r="V364" s="82"/>
      <c r="W364" s="82"/>
      <c r="X364" s="82"/>
      <c r="Y364" s="19">
        <v>3</v>
      </c>
      <c r="Z364" s="82"/>
      <c r="AA364" s="69">
        <v>44348</v>
      </c>
      <c r="AB364" s="74"/>
      <c r="AC364" s="75"/>
      <c r="AD364" s="70" t="s">
        <v>445</v>
      </c>
    </row>
    <row r="365" spans="1:30" s="76" customFormat="1" ht="37.5">
      <c r="A365" s="82">
        <f>+SUBTOTAL(3,$B$7:B365)</f>
        <v>359</v>
      </c>
      <c r="B365" s="82" t="s">
        <v>444</v>
      </c>
      <c r="C365" s="82" t="s">
        <v>111</v>
      </c>
      <c r="D365" s="66" t="s">
        <v>210</v>
      </c>
      <c r="E365" s="82">
        <v>3</v>
      </c>
      <c r="F365" s="67" t="s">
        <v>1854</v>
      </c>
      <c r="G365" s="66" t="s">
        <v>1011</v>
      </c>
      <c r="H365" s="66" t="s">
        <v>1012</v>
      </c>
      <c r="I365" s="66" t="s">
        <v>10</v>
      </c>
      <c r="J365" s="82" t="s">
        <v>30</v>
      </c>
      <c r="K365" s="67">
        <v>550</v>
      </c>
      <c r="L365" s="82">
        <f t="shared" si="27"/>
        <v>350</v>
      </c>
      <c r="M365" s="67">
        <v>100</v>
      </c>
      <c r="N365" s="82"/>
      <c r="O365" s="82">
        <f t="shared" si="24"/>
        <v>450</v>
      </c>
      <c r="P365" s="82">
        <f t="shared" si="25"/>
        <v>350</v>
      </c>
      <c r="Q365" s="67">
        <v>450</v>
      </c>
      <c r="R365" s="82">
        <v>350</v>
      </c>
      <c r="S365" s="67"/>
      <c r="T365" s="82"/>
      <c r="U365" s="67"/>
      <c r="V365" s="82"/>
      <c r="W365" s="82"/>
      <c r="X365" s="82"/>
      <c r="Y365" s="19">
        <v>5</v>
      </c>
      <c r="Z365" s="82"/>
      <c r="AA365" s="69">
        <v>44348</v>
      </c>
      <c r="AB365" s="74"/>
      <c r="AC365" s="75"/>
      <c r="AD365" s="70" t="s">
        <v>445</v>
      </c>
    </row>
    <row r="366" spans="1:30" s="76" customFormat="1" ht="37.5">
      <c r="A366" s="82">
        <f>+SUBTOTAL(3,$B$7:B366)</f>
        <v>360</v>
      </c>
      <c r="B366" s="82" t="s">
        <v>444</v>
      </c>
      <c r="C366" s="82" t="s">
        <v>111</v>
      </c>
      <c r="D366" s="66" t="s">
        <v>210</v>
      </c>
      <c r="E366" s="82">
        <v>4</v>
      </c>
      <c r="F366" s="67">
        <v>307514160</v>
      </c>
      <c r="G366" s="66" t="s">
        <v>1013</v>
      </c>
      <c r="H366" s="66" t="s">
        <v>1012</v>
      </c>
      <c r="I366" s="66" t="s">
        <v>10</v>
      </c>
      <c r="J366" s="82" t="s">
        <v>30</v>
      </c>
      <c r="K366" s="67">
        <v>600</v>
      </c>
      <c r="L366" s="82">
        <f t="shared" si="27"/>
        <v>300</v>
      </c>
      <c r="M366" s="67">
        <v>100</v>
      </c>
      <c r="N366" s="82"/>
      <c r="O366" s="82">
        <f t="shared" si="24"/>
        <v>500</v>
      </c>
      <c r="P366" s="82">
        <f t="shared" si="25"/>
        <v>300</v>
      </c>
      <c r="Q366" s="67">
        <v>500</v>
      </c>
      <c r="R366" s="82">
        <v>300</v>
      </c>
      <c r="S366" s="67"/>
      <c r="T366" s="82"/>
      <c r="U366" s="67"/>
      <c r="V366" s="82"/>
      <c r="W366" s="82"/>
      <c r="X366" s="82"/>
      <c r="Y366" s="19">
        <v>4</v>
      </c>
      <c r="Z366" s="82"/>
      <c r="AA366" s="69">
        <v>44317</v>
      </c>
      <c r="AB366" s="74"/>
      <c r="AC366" s="75"/>
      <c r="AD366" s="70" t="s">
        <v>445</v>
      </c>
    </row>
    <row r="367" spans="1:30" s="76" customFormat="1" ht="37.5">
      <c r="A367" s="82">
        <f>+SUBTOTAL(3,$B$7:B367)</f>
        <v>361</v>
      </c>
      <c r="B367" s="82" t="s">
        <v>444</v>
      </c>
      <c r="C367" s="82" t="s">
        <v>111</v>
      </c>
      <c r="D367" s="66" t="s">
        <v>210</v>
      </c>
      <c r="E367" s="82">
        <v>4</v>
      </c>
      <c r="F367" s="67" t="s">
        <v>1855</v>
      </c>
      <c r="G367" s="66" t="s">
        <v>1014</v>
      </c>
      <c r="H367" s="66" t="s">
        <v>1012</v>
      </c>
      <c r="I367" s="66" t="s">
        <v>10</v>
      </c>
      <c r="J367" s="82" t="s">
        <v>30</v>
      </c>
      <c r="K367" s="67">
        <v>700</v>
      </c>
      <c r="L367" s="82">
        <f t="shared" si="27"/>
        <v>500</v>
      </c>
      <c r="M367" s="67">
        <v>200</v>
      </c>
      <c r="N367" s="82"/>
      <c r="O367" s="82">
        <f t="shared" si="24"/>
        <v>500</v>
      </c>
      <c r="P367" s="82">
        <f t="shared" si="25"/>
        <v>500</v>
      </c>
      <c r="Q367" s="67">
        <v>500</v>
      </c>
      <c r="R367" s="82">
        <v>500</v>
      </c>
      <c r="S367" s="67"/>
      <c r="T367" s="82"/>
      <c r="U367" s="67"/>
      <c r="V367" s="82"/>
      <c r="W367" s="82"/>
      <c r="X367" s="82"/>
      <c r="Y367" s="19">
        <v>3</v>
      </c>
      <c r="Z367" s="82"/>
      <c r="AA367" s="69">
        <v>44348</v>
      </c>
      <c r="AB367" s="74"/>
      <c r="AC367" s="75"/>
      <c r="AD367" s="70" t="s">
        <v>445</v>
      </c>
    </row>
    <row r="368" spans="1:30" s="76" customFormat="1" ht="37.5">
      <c r="A368" s="82">
        <f>+SUBTOTAL(3,$B$7:B368)</f>
        <v>362</v>
      </c>
      <c r="B368" s="82" t="s">
        <v>444</v>
      </c>
      <c r="C368" s="82" t="s">
        <v>111</v>
      </c>
      <c r="D368" s="66" t="s">
        <v>210</v>
      </c>
      <c r="E368" s="82">
        <v>2</v>
      </c>
      <c r="F368" s="67">
        <v>306478563</v>
      </c>
      <c r="G368" s="66" t="s">
        <v>1015</v>
      </c>
      <c r="H368" s="66" t="s">
        <v>115</v>
      </c>
      <c r="I368" s="66" t="s">
        <v>6</v>
      </c>
      <c r="J368" s="82" t="s">
        <v>11</v>
      </c>
      <c r="K368" s="67">
        <v>700</v>
      </c>
      <c r="L368" s="82">
        <f t="shared" si="27"/>
        <v>150</v>
      </c>
      <c r="M368" s="67">
        <v>300</v>
      </c>
      <c r="N368" s="82"/>
      <c r="O368" s="82">
        <f t="shared" si="24"/>
        <v>400</v>
      </c>
      <c r="P368" s="82">
        <f t="shared" si="25"/>
        <v>150</v>
      </c>
      <c r="Q368" s="67">
        <v>400</v>
      </c>
      <c r="R368" s="82">
        <v>150</v>
      </c>
      <c r="S368" s="67"/>
      <c r="T368" s="82"/>
      <c r="U368" s="67"/>
      <c r="V368" s="82"/>
      <c r="W368" s="82"/>
      <c r="X368" s="82"/>
      <c r="Y368" s="19">
        <v>12</v>
      </c>
      <c r="Z368" s="82"/>
      <c r="AA368" s="69">
        <v>44317</v>
      </c>
      <c r="AB368" s="74"/>
      <c r="AC368" s="75"/>
      <c r="AD368" s="70" t="s">
        <v>445</v>
      </c>
    </row>
    <row r="369" spans="1:30" s="76" customFormat="1" ht="37.5">
      <c r="A369" s="82">
        <f>+SUBTOTAL(3,$B$7:B369)</f>
        <v>363</v>
      </c>
      <c r="B369" s="82" t="s">
        <v>444</v>
      </c>
      <c r="C369" s="82" t="s">
        <v>111</v>
      </c>
      <c r="D369" s="66" t="s">
        <v>210</v>
      </c>
      <c r="E369" s="82">
        <v>4</v>
      </c>
      <c r="F369" s="67">
        <v>304652135</v>
      </c>
      <c r="G369" s="66" t="s">
        <v>1016</v>
      </c>
      <c r="H369" s="66" t="s">
        <v>1012</v>
      </c>
      <c r="I369" s="66" t="s">
        <v>10</v>
      </c>
      <c r="J369" s="82" t="s">
        <v>30</v>
      </c>
      <c r="K369" s="67">
        <v>800</v>
      </c>
      <c r="L369" s="82">
        <f t="shared" si="27"/>
        <v>600</v>
      </c>
      <c r="M369" s="67">
        <v>200</v>
      </c>
      <c r="N369" s="82"/>
      <c r="O369" s="82">
        <f t="shared" si="24"/>
        <v>600</v>
      </c>
      <c r="P369" s="82">
        <f t="shared" si="25"/>
        <v>600</v>
      </c>
      <c r="Q369" s="67">
        <v>600</v>
      </c>
      <c r="R369" s="82">
        <v>600</v>
      </c>
      <c r="S369" s="67"/>
      <c r="T369" s="82"/>
      <c r="U369" s="67"/>
      <c r="V369" s="82"/>
      <c r="W369" s="82"/>
      <c r="X369" s="82"/>
      <c r="Y369" s="19">
        <v>4</v>
      </c>
      <c r="Z369" s="82"/>
      <c r="AA369" s="69">
        <v>44317</v>
      </c>
      <c r="AB369" s="74"/>
      <c r="AC369" s="75"/>
      <c r="AD369" s="70" t="s">
        <v>445</v>
      </c>
    </row>
    <row r="370" spans="1:30" s="76" customFormat="1" ht="37.5">
      <c r="A370" s="82">
        <f>+SUBTOTAL(3,$B$7:B370)</f>
        <v>364</v>
      </c>
      <c r="B370" s="82" t="s">
        <v>444</v>
      </c>
      <c r="C370" s="82" t="s">
        <v>111</v>
      </c>
      <c r="D370" s="66" t="s">
        <v>210</v>
      </c>
      <c r="E370" s="82">
        <v>1</v>
      </c>
      <c r="F370" s="67">
        <v>307505924</v>
      </c>
      <c r="G370" s="66" t="s">
        <v>1017</v>
      </c>
      <c r="H370" s="66" t="s">
        <v>1012</v>
      </c>
      <c r="I370" s="66" t="s">
        <v>10</v>
      </c>
      <c r="J370" s="82" t="s">
        <v>30</v>
      </c>
      <c r="K370" s="67">
        <v>1000</v>
      </c>
      <c r="L370" s="82">
        <f t="shared" si="27"/>
        <v>400</v>
      </c>
      <c r="M370" s="67">
        <v>200</v>
      </c>
      <c r="N370" s="82"/>
      <c r="O370" s="82">
        <f t="shared" si="24"/>
        <v>800</v>
      </c>
      <c r="P370" s="82">
        <f t="shared" si="25"/>
        <v>400</v>
      </c>
      <c r="Q370" s="67">
        <v>800</v>
      </c>
      <c r="R370" s="82">
        <v>400</v>
      </c>
      <c r="S370" s="67"/>
      <c r="T370" s="82"/>
      <c r="U370" s="67"/>
      <c r="V370" s="82"/>
      <c r="W370" s="82"/>
      <c r="X370" s="82"/>
      <c r="Y370" s="19">
        <v>6</v>
      </c>
      <c r="Z370" s="82"/>
      <c r="AA370" s="69">
        <v>44348</v>
      </c>
      <c r="AB370" s="74"/>
      <c r="AC370" s="75"/>
      <c r="AD370" s="70" t="s">
        <v>445</v>
      </c>
    </row>
    <row r="371" spans="1:30" s="76" customFormat="1" ht="37.5">
      <c r="A371" s="82">
        <f>+SUBTOTAL(3,$B$7:B371)</f>
        <v>365</v>
      </c>
      <c r="B371" s="82" t="s">
        <v>444</v>
      </c>
      <c r="C371" s="82" t="s">
        <v>111</v>
      </c>
      <c r="D371" s="66" t="s">
        <v>210</v>
      </c>
      <c r="E371" s="82">
        <v>2</v>
      </c>
      <c r="F371" s="67">
        <v>307281342</v>
      </c>
      <c r="G371" s="66" t="s">
        <v>1018</v>
      </c>
      <c r="H371" s="66" t="s">
        <v>1019</v>
      </c>
      <c r="I371" s="66" t="s">
        <v>9</v>
      </c>
      <c r="J371" s="82" t="s">
        <v>36</v>
      </c>
      <c r="K371" s="67">
        <v>1100</v>
      </c>
      <c r="L371" s="82">
        <f t="shared" si="27"/>
        <v>775</v>
      </c>
      <c r="M371" s="67">
        <v>300</v>
      </c>
      <c r="N371" s="82"/>
      <c r="O371" s="82">
        <f t="shared" si="24"/>
        <v>800</v>
      </c>
      <c r="P371" s="82">
        <f t="shared" si="25"/>
        <v>775</v>
      </c>
      <c r="Q371" s="67">
        <v>800</v>
      </c>
      <c r="R371" s="82">
        <v>775</v>
      </c>
      <c r="S371" s="67"/>
      <c r="T371" s="82"/>
      <c r="U371" s="67"/>
      <c r="V371" s="82"/>
      <c r="W371" s="82"/>
      <c r="X371" s="82"/>
      <c r="Y371" s="19">
        <v>4</v>
      </c>
      <c r="Z371" s="82"/>
      <c r="AA371" s="69">
        <v>44256</v>
      </c>
      <c r="AB371" s="74"/>
      <c r="AC371" s="75"/>
      <c r="AD371" s="70" t="s">
        <v>445</v>
      </c>
    </row>
    <row r="372" spans="1:30" s="76" customFormat="1" ht="37.5">
      <c r="A372" s="82">
        <f>+SUBTOTAL(3,$B$7:B372)</f>
        <v>366</v>
      </c>
      <c r="B372" s="82" t="s">
        <v>444</v>
      </c>
      <c r="C372" s="82" t="s">
        <v>111</v>
      </c>
      <c r="D372" s="66" t="s">
        <v>210</v>
      </c>
      <c r="E372" s="82">
        <v>2</v>
      </c>
      <c r="F372" s="67">
        <v>307037107</v>
      </c>
      <c r="G372" s="66" t="s">
        <v>1020</v>
      </c>
      <c r="H372" s="66" t="s">
        <v>1012</v>
      </c>
      <c r="I372" s="66" t="s">
        <v>10</v>
      </c>
      <c r="J372" s="82" t="s">
        <v>30</v>
      </c>
      <c r="K372" s="67">
        <v>1300</v>
      </c>
      <c r="L372" s="82">
        <f t="shared" si="27"/>
        <v>1000</v>
      </c>
      <c r="M372" s="67">
        <v>300</v>
      </c>
      <c r="N372" s="82"/>
      <c r="O372" s="82">
        <f t="shared" si="24"/>
        <v>1000</v>
      </c>
      <c r="P372" s="82">
        <f t="shared" si="25"/>
        <v>1000</v>
      </c>
      <c r="Q372" s="67">
        <v>1000</v>
      </c>
      <c r="R372" s="82">
        <v>1000</v>
      </c>
      <c r="S372" s="67"/>
      <c r="T372" s="82"/>
      <c r="U372" s="67"/>
      <c r="V372" s="82"/>
      <c r="W372" s="82"/>
      <c r="X372" s="82"/>
      <c r="Y372" s="19">
        <v>6</v>
      </c>
      <c r="Z372" s="82"/>
      <c r="AA372" s="69">
        <v>44378</v>
      </c>
      <c r="AB372" s="74"/>
      <c r="AC372" s="75"/>
      <c r="AD372" s="70" t="s">
        <v>445</v>
      </c>
    </row>
    <row r="373" spans="1:30" s="76" customFormat="1" ht="37.5">
      <c r="A373" s="82">
        <f>+SUBTOTAL(3,$B$7:B373)</f>
        <v>367</v>
      </c>
      <c r="B373" s="82" t="s">
        <v>444</v>
      </c>
      <c r="C373" s="82" t="s">
        <v>111</v>
      </c>
      <c r="D373" s="66" t="s">
        <v>210</v>
      </c>
      <c r="E373" s="82">
        <v>3</v>
      </c>
      <c r="F373" s="67">
        <v>306773545</v>
      </c>
      <c r="G373" s="66" t="s">
        <v>1021</v>
      </c>
      <c r="H373" s="66" t="s">
        <v>1019</v>
      </c>
      <c r="I373" s="66" t="s">
        <v>9</v>
      </c>
      <c r="J373" s="82" t="s">
        <v>36</v>
      </c>
      <c r="K373" s="67">
        <v>1400</v>
      </c>
      <c r="L373" s="82">
        <f t="shared" si="27"/>
        <v>100</v>
      </c>
      <c r="M373" s="67">
        <v>400</v>
      </c>
      <c r="N373" s="82"/>
      <c r="O373" s="82">
        <f t="shared" si="24"/>
        <v>1000</v>
      </c>
      <c r="P373" s="82">
        <f t="shared" si="25"/>
        <v>100</v>
      </c>
      <c r="Q373" s="67">
        <v>1000</v>
      </c>
      <c r="R373" s="82">
        <v>100</v>
      </c>
      <c r="S373" s="67"/>
      <c r="T373" s="82"/>
      <c r="U373" s="67"/>
      <c r="V373" s="82"/>
      <c r="W373" s="82"/>
      <c r="X373" s="82"/>
      <c r="Y373" s="19">
        <v>7</v>
      </c>
      <c r="Z373" s="82"/>
      <c r="AA373" s="69">
        <v>44440</v>
      </c>
      <c r="AB373" s="74"/>
      <c r="AC373" s="75"/>
      <c r="AD373" s="70" t="s">
        <v>445</v>
      </c>
    </row>
    <row r="374" spans="1:30" s="76" customFormat="1" ht="37.5">
      <c r="A374" s="82">
        <f>+SUBTOTAL(3,$B$7:B374)</f>
        <v>368</v>
      </c>
      <c r="B374" s="82" t="s">
        <v>444</v>
      </c>
      <c r="C374" s="82" t="s">
        <v>111</v>
      </c>
      <c r="D374" s="66" t="s">
        <v>210</v>
      </c>
      <c r="E374" s="82">
        <v>1</v>
      </c>
      <c r="F374" s="67">
        <v>201175844</v>
      </c>
      <c r="G374" s="66" t="s">
        <v>1022</v>
      </c>
      <c r="H374" s="66" t="s">
        <v>1019</v>
      </c>
      <c r="I374" s="66" t="s">
        <v>9</v>
      </c>
      <c r="J374" s="82" t="s">
        <v>36</v>
      </c>
      <c r="K374" s="67">
        <v>1400</v>
      </c>
      <c r="L374" s="82">
        <f t="shared" si="27"/>
        <v>0</v>
      </c>
      <c r="M374" s="67">
        <v>400</v>
      </c>
      <c r="N374" s="82"/>
      <c r="O374" s="82">
        <f t="shared" si="24"/>
        <v>1000</v>
      </c>
      <c r="P374" s="82">
        <f t="shared" si="25"/>
        <v>0</v>
      </c>
      <c r="Q374" s="67">
        <v>1000</v>
      </c>
      <c r="R374" s="82"/>
      <c r="S374" s="67"/>
      <c r="T374" s="82"/>
      <c r="U374" s="67"/>
      <c r="V374" s="82"/>
      <c r="W374" s="82"/>
      <c r="X374" s="82"/>
      <c r="Y374" s="19">
        <v>5</v>
      </c>
      <c r="Z374" s="82"/>
      <c r="AA374" s="69">
        <v>44470</v>
      </c>
      <c r="AB374" s="74"/>
      <c r="AC374" s="75"/>
      <c r="AD374" s="70" t="s">
        <v>445</v>
      </c>
    </row>
    <row r="375" spans="1:30" s="76" customFormat="1" ht="56.25">
      <c r="A375" s="82">
        <f>+SUBTOTAL(3,$B$7:B375)</f>
        <v>369</v>
      </c>
      <c r="B375" s="82" t="s">
        <v>444</v>
      </c>
      <c r="C375" s="82" t="s">
        <v>111</v>
      </c>
      <c r="D375" s="66" t="s">
        <v>210</v>
      </c>
      <c r="E375" s="82">
        <v>4</v>
      </c>
      <c r="F375" s="67">
        <v>306245172</v>
      </c>
      <c r="G375" s="66" t="s">
        <v>1023</v>
      </c>
      <c r="H375" s="66" t="s">
        <v>1024</v>
      </c>
      <c r="I375" s="66" t="s">
        <v>6</v>
      </c>
      <c r="J375" s="82" t="s">
        <v>13</v>
      </c>
      <c r="K375" s="67">
        <v>1300</v>
      </c>
      <c r="L375" s="82">
        <f t="shared" si="27"/>
        <v>0</v>
      </c>
      <c r="M375" s="67">
        <v>1000</v>
      </c>
      <c r="N375" s="82"/>
      <c r="O375" s="82">
        <f t="shared" si="24"/>
        <v>300</v>
      </c>
      <c r="P375" s="82">
        <f t="shared" si="25"/>
        <v>0</v>
      </c>
      <c r="Q375" s="67">
        <v>300</v>
      </c>
      <c r="R375" s="82"/>
      <c r="S375" s="67"/>
      <c r="T375" s="82"/>
      <c r="U375" s="67"/>
      <c r="V375" s="82"/>
      <c r="W375" s="82"/>
      <c r="X375" s="82"/>
      <c r="Y375" s="19">
        <v>15</v>
      </c>
      <c r="Z375" s="82"/>
      <c r="AA375" s="18">
        <v>44531</v>
      </c>
      <c r="AB375" s="74"/>
      <c r="AC375" s="75"/>
      <c r="AD375" s="70" t="s">
        <v>84</v>
      </c>
    </row>
    <row r="376" spans="1:30" s="76" customFormat="1" ht="56.25">
      <c r="A376" s="82">
        <f>+SUBTOTAL(3,$B$7:B376)</f>
        <v>370</v>
      </c>
      <c r="B376" s="82" t="s">
        <v>444</v>
      </c>
      <c r="C376" s="82" t="s">
        <v>111</v>
      </c>
      <c r="D376" s="66" t="s">
        <v>210</v>
      </c>
      <c r="E376" s="82">
        <v>1</v>
      </c>
      <c r="F376" s="67">
        <v>306346008</v>
      </c>
      <c r="G376" s="66" t="s">
        <v>1025</v>
      </c>
      <c r="H376" s="66" t="s">
        <v>1026</v>
      </c>
      <c r="I376" s="66" t="s">
        <v>6</v>
      </c>
      <c r="J376" s="82" t="s">
        <v>43</v>
      </c>
      <c r="K376" s="67">
        <v>3000</v>
      </c>
      <c r="L376" s="82">
        <f t="shared" si="27"/>
        <v>300</v>
      </c>
      <c r="M376" s="67">
        <v>2000</v>
      </c>
      <c r="N376" s="82"/>
      <c r="O376" s="82">
        <f t="shared" si="24"/>
        <v>1000</v>
      </c>
      <c r="P376" s="82">
        <f t="shared" si="25"/>
        <v>300</v>
      </c>
      <c r="Q376" s="67">
        <v>1000</v>
      </c>
      <c r="R376" s="82">
        <v>300</v>
      </c>
      <c r="S376" s="67"/>
      <c r="T376" s="82"/>
      <c r="U376" s="67"/>
      <c r="V376" s="82"/>
      <c r="W376" s="82"/>
      <c r="X376" s="82"/>
      <c r="Y376" s="19">
        <v>60</v>
      </c>
      <c r="Z376" s="82"/>
      <c r="AA376" s="69">
        <v>44440</v>
      </c>
      <c r="AB376" s="74"/>
      <c r="AC376" s="75"/>
      <c r="AD376" s="70" t="s">
        <v>84</v>
      </c>
    </row>
    <row r="377" spans="1:30" s="76" customFormat="1" ht="37.5">
      <c r="A377" s="82">
        <f>+SUBTOTAL(3,$B$7:B377)</f>
        <v>371</v>
      </c>
      <c r="B377" s="82" t="s">
        <v>444</v>
      </c>
      <c r="C377" s="82" t="s">
        <v>111</v>
      </c>
      <c r="D377" s="66" t="s">
        <v>210</v>
      </c>
      <c r="E377" s="82">
        <v>4</v>
      </c>
      <c r="F377" s="67">
        <v>304461792</v>
      </c>
      <c r="G377" s="66" t="s">
        <v>1027</v>
      </c>
      <c r="H377" s="66" t="s">
        <v>1028</v>
      </c>
      <c r="I377" s="66" t="s">
        <v>10</v>
      </c>
      <c r="J377" s="82" t="s">
        <v>48</v>
      </c>
      <c r="K377" s="67">
        <v>9500</v>
      </c>
      <c r="L377" s="82">
        <f t="shared" si="27"/>
        <v>0</v>
      </c>
      <c r="M377" s="67">
        <v>4750</v>
      </c>
      <c r="N377" s="82"/>
      <c r="O377" s="82">
        <f t="shared" si="24"/>
        <v>5100</v>
      </c>
      <c r="P377" s="82">
        <f t="shared" si="25"/>
        <v>0</v>
      </c>
      <c r="Q377" s="67"/>
      <c r="R377" s="82"/>
      <c r="S377" s="67">
        <v>500</v>
      </c>
      <c r="T377" s="82"/>
      <c r="U377" s="67"/>
      <c r="V377" s="82"/>
      <c r="W377" s="82"/>
      <c r="X377" s="82"/>
      <c r="Y377" s="19">
        <v>12</v>
      </c>
      <c r="Z377" s="82"/>
      <c r="AA377" s="69">
        <v>44561</v>
      </c>
      <c r="AB377" s="74"/>
      <c r="AC377" s="75"/>
      <c r="AD377" s="70" t="s">
        <v>84</v>
      </c>
    </row>
    <row r="378" spans="1:30" s="76" customFormat="1" ht="37.5">
      <c r="A378" s="82">
        <f>+SUBTOTAL(3,$B$7:B378)</f>
        <v>372</v>
      </c>
      <c r="B378" s="82" t="s">
        <v>444</v>
      </c>
      <c r="C378" s="82" t="s">
        <v>111</v>
      </c>
      <c r="D378" s="66" t="s">
        <v>210</v>
      </c>
      <c r="E378" s="82">
        <v>2</v>
      </c>
      <c r="F378" s="67">
        <v>205246959</v>
      </c>
      <c r="G378" s="66" t="s">
        <v>1029</v>
      </c>
      <c r="H378" s="66" t="s">
        <v>1030</v>
      </c>
      <c r="I378" s="66" t="s">
        <v>6</v>
      </c>
      <c r="J378" s="82" t="s">
        <v>12</v>
      </c>
      <c r="K378" s="67">
        <v>4000</v>
      </c>
      <c r="L378" s="82">
        <f t="shared" si="27"/>
        <v>942.48</v>
      </c>
      <c r="M378" s="67">
        <v>2000</v>
      </c>
      <c r="N378" s="82"/>
      <c r="O378" s="82">
        <f t="shared" si="24"/>
        <v>2000</v>
      </c>
      <c r="P378" s="82">
        <f t="shared" si="25"/>
        <v>942.48</v>
      </c>
      <c r="Q378" s="67">
        <v>2000</v>
      </c>
      <c r="R378" s="82"/>
      <c r="S378" s="67"/>
      <c r="T378" s="82">
        <v>92.4</v>
      </c>
      <c r="U378" s="67"/>
      <c r="V378" s="82"/>
      <c r="W378" s="82"/>
      <c r="X378" s="82"/>
      <c r="Y378" s="19">
        <v>5</v>
      </c>
      <c r="Z378" s="82"/>
      <c r="AA378" s="69">
        <v>44621</v>
      </c>
      <c r="AB378" s="74"/>
      <c r="AC378" s="75"/>
      <c r="AD378" s="70" t="s">
        <v>84</v>
      </c>
    </row>
    <row r="379" spans="1:30" s="76" customFormat="1" ht="37.5">
      <c r="A379" s="82">
        <f>+SUBTOTAL(3,$B$7:B379)</f>
        <v>373</v>
      </c>
      <c r="B379" s="82" t="s">
        <v>444</v>
      </c>
      <c r="C379" s="82" t="s">
        <v>111</v>
      </c>
      <c r="D379" s="66" t="s">
        <v>210</v>
      </c>
      <c r="E379" s="82">
        <v>4</v>
      </c>
      <c r="F379" s="67">
        <v>304222242</v>
      </c>
      <c r="G379" s="66" t="s">
        <v>1031</v>
      </c>
      <c r="H379" s="66" t="s">
        <v>782</v>
      </c>
      <c r="I379" s="66" t="s">
        <v>9</v>
      </c>
      <c r="J379" s="82" t="s">
        <v>39</v>
      </c>
      <c r="K379" s="67">
        <v>2500</v>
      </c>
      <c r="L379" s="82">
        <f t="shared" si="27"/>
        <v>0</v>
      </c>
      <c r="M379" s="67">
        <v>1000</v>
      </c>
      <c r="N379" s="82"/>
      <c r="O379" s="82">
        <f t="shared" si="24"/>
        <v>1500</v>
      </c>
      <c r="P379" s="82">
        <f t="shared" si="25"/>
        <v>0</v>
      </c>
      <c r="Q379" s="67">
        <v>1500</v>
      </c>
      <c r="R379" s="82"/>
      <c r="S379" s="67"/>
      <c r="T379" s="82"/>
      <c r="U379" s="67"/>
      <c r="V379" s="82"/>
      <c r="W379" s="82"/>
      <c r="X379" s="82"/>
      <c r="Y379" s="19">
        <v>5</v>
      </c>
      <c r="Z379" s="82"/>
      <c r="AA379" s="69">
        <v>44440</v>
      </c>
      <c r="AB379" s="74"/>
      <c r="AC379" s="75"/>
      <c r="AD379" s="70" t="s">
        <v>84</v>
      </c>
    </row>
    <row r="380" spans="1:30" s="76" customFormat="1" ht="56.25">
      <c r="A380" s="82">
        <f>+SUBTOTAL(3,$B$7:B380)</f>
        <v>374</v>
      </c>
      <c r="B380" s="82" t="s">
        <v>444</v>
      </c>
      <c r="C380" s="82" t="s">
        <v>111</v>
      </c>
      <c r="D380" s="66" t="s">
        <v>210</v>
      </c>
      <c r="E380" s="82">
        <v>1</v>
      </c>
      <c r="F380" s="67">
        <v>302072179</v>
      </c>
      <c r="G380" s="66" t="s">
        <v>1032</v>
      </c>
      <c r="H380" s="66" t="s">
        <v>125</v>
      </c>
      <c r="I380" s="66" t="s">
        <v>10</v>
      </c>
      <c r="J380" s="82" t="s">
        <v>59</v>
      </c>
      <c r="K380" s="67">
        <v>4000</v>
      </c>
      <c r="L380" s="82">
        <f t="shared" si="27"/>
        <v>280</v>
      </c>
      <c r="M380" s="67">
        <v>3000</v>
      </c>
      <c r="N380" s="82"/>
      <c r="O380" s="82">
        <f t="shared" si="24"/>
        <v>1000</v>
      </c>
      <c r="P380" s="82">
        <f t="shared" si="25"/>
        <v>280</v>
      </c>
      <c r="Q380" s="67">
        <v>1000</v>
      </c>
      <c r="R380" s="82">
        <v>280</v>
      </c>
      <c r="S380" s="67"/>
      <c r="T380" s="82"/>
      <c r="U380" s="67"/>
      <c r="V380" s="82"/>
      <c r="W380" s="82"/>
      <c r="X380" s="82"/>
      <c r="Y380" s="19">
        <v>35</v>
      </c>
      <c r="Z380" s="82"/>
      <c r="AA380" s="69">
        <v>44348</v>
      </c>
      <c r="AB380" s="74"/>
      <c r="AC380" s="75"/>
      <c r="AD380" s="70" t="s">
        <v>84</v>
      </c>
    </row>
    <row r="381" spans="1:30" s="76" customFormat="1" ht="37.5">
      <c r="A381" s="82">
        <f>+SUBTOTAL(3,$B$7:B381)</f>
        <v>375</v>
      </c>
      <c r="B381" s="82" t="s">
        <v>444</v>
      </c>
      <c r="C381" s="82" t="s">
        <v>111</v>
      </c>
      <c r="D381" s="66" t="s">
        <v>210</v>
      </c>
      <c r="E381" s="82">
        <v>3</v>
      </c>
      <c r="F381" s="67" t="s">
        <v>1856</v>
      </c>
      <c r="G381" s="66" t="s">
        <v>1033</v>
      </c>
      <c r="H381" s="66" t="s">
        <v>1034</v>
      </c>
      <c r="I381" s="66" t="s">
        <v>6</v>
      </c>
      <c r="J381" s="82" t="s">
        <v>12</v>
      </c>
      <c r="K381" s="67">
        <v>1000</v>
      </c>
      <c r="L381" s="82">
        <f t="shared" si="27"/>
        <v>295.79999999999995</v>
      </c>
      <c r="M381" s="67">
        <v>500</v>
      </c>
      <c r="N381" s="82"/>
      <c r="O381" s="82">
        <f t="shared" si="24"/>
        <v>500</v>
      </c>
      <c r="P381" s="82">
        <f t="shared" si="25"/>
        <v>295.79999999999995</v>
      </c>
      <c r="Q381" s="67">
        <v>500</v>
      </c>
      <c r="R381" s="82"/>
      <c r="S381" s="67"/>
      <c r="T381" s="82">
        <v>29</v>
      </c>
      <c r="U381" s="67"/>
      <c r="V381" s="82"/>
      <c r="W381" s="82"/>
      <c r="X381" s="82"/>
      <c r="Y381" s="19">
        <v>12</v>
      </c>
      <c r="Z381" s="82"/>
      <c r="AA381" s="69">
        <v>44470</v>
      </c>
      <c r="AB381" s="74"/>
      <c r="AC381" s="75"/>
      <c r="AD381" s="70" t="s">
        <v>84</v>
      </c>
    </row>
    <row r="382" spans="1:30" s="76" customFormat="1" ht="37.5">
      <c r="A382" s="82">
        <f>+SUBTOTAL(3,$B$7:B382)</f>
        <v>376</v>
      </c>
      <c r="B382" s="82" t="s">
        <v>444</v>
      </c>
      <c r="C382" s="82" t="s">
        <v>111</v>
      </c>
      <c r="D382" s="66" t="s">
        <v>210</v>
      </c>
      <c r="E382" s="82">
        <v>2</v>
      </c>
      <c r="F382" s="67">
        <v>477612594</v>
      </c>
      <c r="G382" s="66" t="s">
        <v>1035</v>
      </c>
      <c r="H382" s="66" t="s">
        <v>732</v>
      </c>
      <c r="I382" s="66" t="s">
        <v>6</v>
      </c>
      <c r="J382" s="82" t="s">
        <v>12</v>
      </c>
      <c r="K382" s="67">
        <v>5000</v>
      </c>
      <c r="L382" s="82">
        <f t="shared" si="27"/>
        <v>0</v>
      </c>
      <c r="M382" s="67">
        <v>2500</v>
      </c>
      <c r="N382" s="82"/>
      <c r="O382" s="82">
        <f t="shared" si="24"/>
        <v>2500</v>
      </c>
      <c r="P382" s="82">
        <f t="shared" si="25"/>
        <v>0</v>
      </c>
      <c r="Q382" s="67">
        <v>2500</v>
      </c>
      <c r="R382" s="82"/>
      <c r="S382" s="67"/>
      <c r="T382" s="82"/>
      <c r="U382" s="67"/>
      <c r="V382" s="82"/>
      <c r="W382" s="82"/>
      <c r="X382" s="82"/>
      <c r="Y382" s="19">
        <v>20</v>
      </c>
      <c r="Z382" s="82"/>
      <c r="AA382" s="69">
        <v>44805</v>
      </c>
      <c r="AB382" s="74"/>
      <c r="AC382" s="75"/>
      <c r="AD382" s="70" t="s">
        <v>84</v>
      </c>
    </row>
    <row r="383" spans="1:30" s="76" customFormat="1" ht="37.5">
      <c r="A383" s="82">
        <f>+SUBTOTAL(3,$B$7:B383)</f>
        <v>377</v>
      </c>
      <c r="B383" s="82" t="s">
        <v>444</v>
      </c>
      <c r="C383" s="82" t="s">
        <v>111</v>
      </c>
      <c r="D383" s="66" t="s">
        <v>212</v>
      </c>
      <c r="E383" s="82">
        <v>2</v>
      </c>
      <c r="F383" s="67">
        <v>306778127</v>
      </c>
      <c r="G383" s="66" t="s">
        <v>636</v>
      </c>
      <c r="H383" s="66" t="s">
        <v>637</v>
      </c>
      <c r="I383" s="66" t="s">
        <v>9</v>
      </c>
      <c r="J383" s="82" t="s">
        <v>37</v>
      </c>
      <c r="K383" s="67">
        <v>1450</v>
      </c>
      <c r="L383" s="82">
        <f t="shared" si="27"/>
        <v>650</v>
      </c>
      <c r="M383" s="67">
        <v>450</v>
      </c>
      <c r="N383" s="82"/>
      <c r="O383" s="82">
        <f t="shared" si="24"/>
        <v>1000</v>
      </c>
      <c r="P383" s="82">
        <f t="shared" si="25"/>
        <v>650</v>
      </c>
      <c r="Q383" s="67">
        <v>1000</v>
      </c>
      <c r="R383" s="82">
        <v>650</v>
      </c>
      <c r="S383" s="67">
        <v>0</v>
      </c>
      <c r="T383" s="82"/>
      <c r="U383" s="67"/>
      <c r="V383" s="82"/>
      <c r="W383" s="82"/>
      <c r="X383" s="82"/>
      <c r="Y383" s="68">
        <v>7</v>
      </c>
      <c r="Z383" s="82"/>
      <c r="AA383" s="18">
        <v>44317</v>
      </c>
      <c r="AB383" s="74"/>
      <c r="AC383" s="75"/>
      <c r="AD383" s="70" t="s">
        <v>1</v>
      </c>
    </row>
    <row r="384" spans="1:30" s="76" customFormat="1" ht="37.5">
      <c r="A384" s="82">
        <f>+SUBTOTAL(3,$B$7:B384)</f>
        <v>378</v>
      </c>
      <c r="B384" s="82" t="s">
        <v>444</v>
      </c>
      <c r="C384" s="82" t="s">
        <v>111</v>
      </c>
      <c r="D384" s="66" t="s">
        <v>212</v>
      </c>
      <c r="E384" s="82">
        <v>3</v>
      </c>
      <c r="F384" s="67">
        <v>305073174</v>
      </c>
      <c r="G384" s="66" t="s">
        <v>664</v>
      </c>
      <c r="H384" s="66" t="s">
        <v>665</v>
      </c>
      <c r="I384" s="66" t="s">
        <v>9</v>
      </c>
      <c r="J384" s="82" t="s">
        <v>37</v>
      </c>
      <c r="K384" s="67">
        <v>1530</v>
      </c>
      <c r="L384" s="82">
        <f t="shared" si="27"/>
        <v>509.99999999999994</v>
      </c>
      <c r="M384" s="67">
        <v>500</v>
      </c>
      <c r="N384" s="82"/>
      <c r="O384" s="82">
        <f t="shared" si="24"/>
        <v>1019.9999999999999</v>
      </c>
      <c r="P384" s="82">
        <f t="shared" si="25"/>
        <v>509.99999999999994</v>
      </c>
      <c r="Q384" s="67">
        <v>0</v>
      </c>
      <c r="R384" s="82"/>
      <c r="S384" s="67">
        <v>100</v>
      </c>
      <c r="T384" s="82">
        <v>50</v>
      </c>
      <c r="U384" s="67"/>
      <c r="V384" s="82"/>
      <c r="W384" s="82"/>
      <c r="X384" s="82"/>
      <c r="Y384" s="68">
        <v>5</v>
      </c>
      <c r="Z384" s="82"/>
      <c r="AA384" s="18">
        <v>44501</v>
      </c>
      <c r="AB384" s="74"/>
      <c r="AC384" s="75"/>
      <c r="AD384" s="70" t="s">
        <v>1</v>
      </c>
    </row>
    <row r="385" spans="1:30" s="76" customFormat="1" ht="37.5">
      <c r="A385" s="82">
        <f>+SUBTOTAL(3,$B$7:B385)</f>
        <v>379</v>
      </c>
      <c r="B385" s="82" t="s">
        <v>444</v>
      </c>
      <c r="C385" s="82" t="s">
        <v>111</v>
      </c>
      <c r="D385" s="66" t="s">
        <v>212</v>
      </c>
      <c r="E385" s="82">
        <v>2</v>
      </c>
      <c r="F385" s="67" t="s">
        <v>1857</v>
      </c>
      <c r="G385" s="66" t="s">
        <v>1036</v>
      </c>
      <c r="H385" s="66" t="s">
        <v>1037</v>
      </c>
      <c r="I385" s="66" t="s">
        <v>10</v>
      </c>
      <c r="J385" s="82" t="s">
        <v>30</v>
      </c>
      <c r="K385" s="67">
        <v>3500</v>
      </c>
      <c r="L385" s="82">
        <f t="shared" si="27"/>
        <v>370</v>
      </c>
      <c r="M385" s="67">
        <v>1000</v>
      </c>
      <c r="N385" s="82"/>
      <c r="O385" s="82">
        <f t="shared" si="24"/>
        <v>2500</v>
      </c>
      <c r="P385" s="82">
        <f t="shared" si="25"/>
        <v>370</v>
      </c>
      <c r="Q385" s="67">
        <v>2500</v>
      </c>
      <c r="R385" s="82">
        <v>370</v>
      </c>
      <c r="S385" s="67"/>
      <c r="T385" s="82"/>
      <c r="U385" s="67"/>
      <c r="V385" s="82"/>
      <c r="W385" s="82"/>
      <c r="X385" s="82"/>
      <c r="Y385" s="19">
        <v>10</v>
      </c>
      <c r="Z385" s="82"/>
      <c r="AA385" s="69">
        <v>44286</v>
      </c>
      <c r="AB385" s="74"/>
      <c r="AC385" s="75"/>
      <c r="AD385" s="70" t="s">
        <v>8</v>
      </c>
    </row>
    <row r="386" spans="1:30" s="76" customFormat="1" ht="37.5">
      <c r="A386" s="82">
        <f>+SUBTOTAL(3,$B$7:B386)</f>
        <v>380</v>
      </c>
      <c r="B386" s="82" t="s">
        <v>444</v>
      </c>
      <c r="C386" s="82" t="s">
        <v>111</v>
      </c>
      <c r="D386" s="66" t="s">
        <v>212</v>
      </c>
      <c r="E386" s="82">
        <v>2</v>
      </c>
      <c r="F386" s="67">
        <v>305148056</v>
      </c>
      <c r="G386" s="66" t="s">
        <v>214</v>
      </c>
      <c r="H386" s="66" t="s">
        <v>164</v>
      </c>
      <c r="I386" s="66" t="s">
        <v>10</v>
      </c>
      <c r="J386" s="82" t="s">
        <v>45</v>
      </c>
      <c r="K386" s="67">
        <v>1000</v>
      </c>
      <c r="L386" s="82">
        <f t="shared" si="27"/>
        <v>0</v>
      </c>
      <c r="M386" s="67">
        <v>400</v>
      </c>
      <c r="N386" s="82"/>
      <c r="O386" s="82">
        <f t="shared" si="24"/>
        <v>600</v>
      </c>
      <c r="P386" s="82">
        <f t="shared" si="25"/>
        <v>0</v>
      </c>
      <c r="Q386" s="67">
        <v>600</v>
      </c>
      <c r="R386" s="82"/>
      <c r="S386" s="67">
        <v>0</v>
      </c>
      <c r="T386" s="82"/>
      <c r="U386" s="67">
        <v>0</v>
      </c>
      <c r="V386" s="82"/>
      <c r="W386" s="82"/>
      <c r="X386" s="82"/>
      <c r="Y386" s="19">
        <v>10</v>
      </c>
      <c r="Z386" s="82"/>
      <c r="AA386" s="69">
        <v>44530</v>
      </c>
      <c r="AB386" s="74"/>
      <c r="AC386" s="75"/>
      <c r="AD386" s="70" t="s">
        <v>460</v>
      </c>
    </row>
    <row r="387" spans="1:30" s="76" customFormat="1" ht="37.5">
      <c r="A387" s="82">
        <f>+SUBTOTAL(3,$B$7:B387)</f>
        <v>381</v>
      </c>
      <c r="B387" s="82" t="s">
        <v>444</v>
      </c>
      <c r="C387" s="82" t="s">
        <v>111</v>
      </c>
      <c r="D387" s="66" t="s">
        <v>212</v>
      </c>
      <c r="E387" s="82">
        <v>1</v>
      </c>
      <c r="F387" s="67">
        <v>200486600</v>
      </c>
      <c r="G387" s="66" t="s">
        <v>215</v>
      </c>
      <c r="H387" s="66" t="s">
        <v>216</v>
      </c>
      <c r="I387" s="66" t="s">
        <v>6</v>
      </c>
      <c r="J387" s="82" t="s">
        <v>12</v>
      </c>
      <c r="K387" s="67">
        <v>3000</v>
      </c>
      <c r="L387" s="82">
        <f t="shared" si="27"/>
        <v>0</v>
      </c>
      <c r="M387" s="67">
        <v>1000</v>
      </c>
      <c r="N387" s="82"/>
      <c r="O387" s="82">
        <f t="shared" si="24"/>
        <v>2000</v>
      </c>
      <c r="P387" s="82">
        <f t="shared" si="25"/>
        <v>0</v>
      </c>
      <c r="Q387" s="67">
        <v>2000</v>
      </c>
      <c r="R387" s="82"/>
      <c r="S387" s="67">
        <v>0</v>
      </c>
      <c r="T387" s="82"/>
      <c r="U387" s="67">
        <v>0</v>
      </c>
      <c r="V387" s="82"/>
      <c r="W387" s="82"/>
      <c r="X387" s="82"/>
      <c r="Y387" s="68">
        <v>5</v>
      </c>
      <c r="Z387" s="82"/>
      <c r="AA387" s="69">
        <v>44531</v>
      </c>
      <c r="AB387" s="74"/>
      <c r="AC387" s="75"/>
      <c r="AD387" s="70" t="s">
        <v>460</v>
      </c>
    </row>
    <row r="388" spans="1:30" s="76" customFormat="1" ht="37.5">
      <c r="A388" s="82">
        <f>+SUBTOTAL(3,$B$7:B388)</f>
        <v>382</v>
      </c>
      <c r="B388" s="82" t="s">
        <v>444</v>
      </c>
      <c r="C388" s="82" t="s">
        <v>111</v>
      </c>
      <c r="D388" s="66" t="s">
        <v>212</v>
      </c>
      <c r="E388" s="82">
        <v>2</v>
      </c>
      <c r="F388" s="67">
        <v>301145317</v>
      </c>
      <c r="G388" s="66" t="s">
        <v>217</v>
      </c>
      <c r="H388" s="66" t="s">
        <v>218</v>
      </c>
      <c r="I388" s="66" t="s">
        <v>10</v>
      </c>
      <c r="J388" s="82" t="s">
        <v>45</v>
      </c>
      <c r="K388" s="67">
        <v>1000</v>
      </c>
      <c r="L388" s="82">
        <f t="shared" si="27"/>
        <v>450</v>
      </c>
      <c r="M388" s="67">
        <v>200</v>
      </c>
      <c r="N388" s="82"/>
      <c r="O388" s="82">
        <f t="shared" si="24"/>
        <v>800</v>
      </c>
      <c r="P388" s="82">
        <f t="shared" si="25"/>
        <v>450</v>
      </c>
      <c r="Q388" s="67">
        <v>800</v>
      </c>
      <c r="R388" s="82">
        <v>450</v>
      </c>
      <c r="S388" s="67">
        <v>0</v>
      </c>
      <c r="T388" s="82"/>
      <c r="U388" s="67">
        <v>0</v>
      </c>
      <c r="V388" s="82"/>
      <c r="W388" s="82"/>
      <c r="X388" s="82"/>
      <c r="Y388" s="68">
        <v>3</v>
      </c>
      <c r="Z388" s="82"/>
      <c r="AA388" s="69">
        <v>44440</v>
      </c>
      <c r="AB388" s="74"/>
      <c r="AC388" s="75"/>
      <c r="AD388" s="70" t="s">
        <v>460</v>
      </c>
    </row>
    <row r="389" spans="1:30" s="76" customFormat="1" ht="37.5">
      <c r="A389" s="82">
        <f>+SUBTOTAL(3,$B$7:B389)</f>
        <v>383</v>
      </c>
      <c r="B389" s="82" t="s">
        <v>444</v>
      </c>
      <c r="C389" s="82" t="s">
        <v>111</v>
      </c>
      <c r="D389" s="66" t="s">
        <v>212</v>
      </c>
      <c r="E389" s="82">
        <v>4</v>
      </c>
      <c r="F389" s="67">
        <v>302183143</v>
      </c>
      <c r="G389" s="66" t="s">
        <v>219</v>
      </c>
      <c r="H389" s="66" t="s">
        <v>220</v>
      </c>
      <c r="I389" s="66" t="s">
        <v>6</v>
      </c>
      <c r="J389" s="82" t="s">
        <v>49</v>
      </c>
      <c r="K389" s="67">
        <v>4200</v>
      </c>
      <c r="L389" s="82">
        <f t="shared" si="27"/>
        <v>400</v>
      </c>
      <c r="M389" s="67">
        <v>1000</v>
      </c>
      <c r="N389" s="82"/>
      <c r="O389" s="82">
        <f t="shared" si="24"/>
        <v>3200</v>
      </c>
      <c r="P389" s="82">
        <f t="shared" si="25"/>
        <v>400</v>
      </c>
      <c r="Q389" s="67">
        <v>3200</v>
      </c>
      <c r="R389" s="82">
        <v>400</v>
      </c>
      <c r="S389" s="67">
        <v>0</v>
      </c>
      <c r="T389" s="82"/>
      <c r="U389" s="67">
        <v>0</v>
      </c>
      <c r="V389" s="82"/>
      <c r="W389" s="82"/>
      <c r="X389" s="82"/>
      <c r="Y389" s="68">
        <v>10</v>
      </c>
      <c r="Z389" s="82"/>
      <c r="AA389" s="69">
        <v>44348</v>
      </c>
      <c r="AB389" s="74"/>
      <c r="AC389" s="75"/>
      <c r="AD389" s="70" t="s">
        <v>460</v>
      </c>
    </row>
    <row r="390" spans="1:30" s="76" customFormat="1" ht="37.5">
      <c r="A390" s="82">
        <f>+SUBTOTAL(3,$B$7:B390)</f>
        <v>384</v>
      </c>
      <c r="B390" s="82" t="s">
        <v>444</v>
      </c>
      <c r="C390" s="82" t="s">
        <v>111</v>
      </c>
      <c r="D390" s="66" t="s">
        <v>212</v>
      </c>
      <c r="E390" s="82">
        <v>3</v>
      </c>
      <c r="F390" s="67">
        <v>306906006</v>
      </c>
      <c r="G390" s="66" t="s">
        <v>221</v>
      </c>
      <c r="H390" s="66" t="s">
        <v>136</v>
      </c>
      <c r="I390" s="66" t="s">
        <v>9</v>
      </c>
      <c r="J390" s="82" t="s">
        <v>36</v>
      </c>
      <c r="K390" s="67">
        <v>65150</v>
      </c>
      <c r="L390" s="82">
        <f t="shared" si="27"/>
        <v>0</v>
      </c>
      <c r="M390" s="67">
        <v>22100</v>
      </c>
      <c r="N390" s="82"/>
      <c r="O390" s="82">
        <f t="shared" si="24"/>
        <v>42700</v>
      </c>
      <c r="P390" s="82">
        <f t="shared" si="25"/>
        <v>0</v>
      </c>
      <c r="Q390" s="67">
        <v>7000</v>
      </c>
      <c r="R390" s="82"/>
      <c r="S390" s="67">
        <v>3500</v>
      </c>
      <c r="T390" s="82"/>
      <c r="U390" s="67"/>
      <c r="V390" s="82"/>
      <c r="W390" s="82"/>
      <c r="X390" s="82"/>
      <c r="Y390" s="68">
        <v>3</v>
      </c>
      <c r="Z390" s="82"/>
      <c r="AA390" s="69">
        <v>44531</v>
      </c>
      <c r="AB390" s="74"/>
      <c r="AC390" s="75"/>
      <c r="AD390" s="70" t="s">
        <v>445</v>
      </c>
    </row>
    <row r="391" spans="1:30" s="76" customFormat="1" ht="37.5">
      <c r="A391" s="82">
        <f>+SUBTOTAL(3,$B$7:B391)</f>
        <v>385</v>
      </c>
      <c r="B391" s="82" t="s">
        <v>444</v>
      </c>
      <c r="C391" s="82" t="s">
        <v>111</v>
      </c>
      <c r="D391" s="66" t="s">
        <v>212</v>
      </c>
      <c r="E391" s="82">
        <v>4</v>
      </c>
      <c r="F391" s="67">
        <v>307133335</v>
      </c>
      <c r="G391" s="66" t="s">
        <v>224</v>
      </c>
      <c r="H391" s="66" t="s">
        <v>225</v>
      </c>
      <c r="I391" s="65" t="s">
        <v>9</v>
      </c>
      <c r="J391" s="82" t="s">
        <v>36</v>
      </c>
      <c r="K391" s="67">
        <v>2136</v>
      </c>
      <c r="L391" s="82">
        <f t="shared" si="27"/>
        <v>3020</v>
      </c>
      <c r="M391" s="67">
        <v>500</v>
      </c>
      <c r="N391" s="82">
        <v>500</v>
      </c>
      <c r="O391" s="82">
        <f t="shared" ref="O391:O454" si="28">+Q391+S391*10.2</f>
        <v>1636</v>
      </c>
      <c r="P391" s="82">
        <f t="shared" ref="P391:P454" si="29">+R391+T391*10.2</f>
        <v>2520</v>
      </c>
      <c r="Q391" s="67">
        <v>1636</v>
      </c>
      <c r="R391" s="82">
        <v>2520</v>
      </c>
      <c r="S391" s="67">
        <v>0</v>
      </c>
      <c r="T391" s="82"/>
      <c r="U391" s="67">
        <v>0</v>
      </c>
      <c r="V391" s="82"/>
      <c r="W391" s="82"/>
      <c r="X391" s="82"/>
      <c r="Y391" s="68">
        <v>4</v>
      </c>
      <c r="Z391" s="82">
        <v>3</v>
      </c>
      <c r="AA391" s="69">
        <v>44531</v>
      </c>
      <c r="AB391" s="74">
        <v>44165</v>
      </c>
      <c r="AC391" s="75" t="s">
        <v>2022</v>
      </c>
      <c r="AD391" s="70" t="s">
        <v>445</v>
      </c>
    </row>
    <row r="392" spans="1:30" s="76" customFormat="1" ht="37.5">
      <c r="A392" s="82">
        <f>+SUBTOTAL(3,$B$7:B392)</f>
        <v>386</v>
      </c>
      <c r="B392" s="82" t="s">
        <v>444</v>
      </c>
      <c r="C392" s="82" t="s">
        <v>111</v>
      </c>
      <c r="D392" s="66" t="s">
        <v>212</v>
      </c>
      <c r="E392" s="82">
        <v>2</v>
      </c>
      <c r="F392" s="67">
        <v>302582271</v>
      </c>
      <c r="G392" s="66" t="s">
        <v>1038</v>
      </c>
      <c r="H392" s="66" t="s">
        <v>137</v>
      </c>
      <c r="I392" s="66" t="s">
        <v>9</v>
      </c>
      <c r="J392" s="82" t="s">
        <v>36</v>
      </c>
      <c r="K392" s="67">
        <v>900</v>
      </c>
      <c r="L392" s="82">
        <f t="shared" si="27"/>
        <v>400</v>
      </c>
      <c r="M392" s="67">
        <v>500</v>
      </c>
      <c r="N392" s="82"/>
      <c r="O392" s="82">
        <f t="shared" si="28"/>
        <v>400</v>
      </c>
      <c r="P392" s="82">
        <f t="shared" si="29"/>
        <v>400</v>
      </c>
      <c r="Q392" s="67">
        <v>400</v>
      </c>
      <c r="R392" s="82">
        <v>400</v>
      </c>
      <c r="S392" s="67">
        <v>0</v>
      </c>
      <c r="T392" s="82"/>
      <c r="U392" s="67">
        <v>0</v>
      </c>
      <c r="V392" s="82"/>
      <c r="W392" s="82"/>
      <c r="X392" s="82"/>
      <c r="Y392" s="68">
        <v>8</v>
      </c>
      <c r="Z392" s="82"/>
      <c r="AA392" s="69">
        <v>44499</v>
      </c>
      <c r="AB392" s="74"/>
      <c r="AC392" s="75"/>
      <c r="AD392" s="70" t="s">
        <v>445</v>
      </c>
    </row>
    <row r="393" spans="1:30" s="76" customFormat="1" ht="37.5">
      <c r="A393" s="82">
        <f>+SUBTOTAL(3,$B$7:B393)</f>
        <v>387</v>
      </c>
      <c r="B393" s="82" t="s">
        <v>444</v>
      </c>
      <c r="C393" s="82" t="s">
        <v>111</v>
      </c>
      <c r="D393" s="66" t="s">
        <v>212</v>
      </c>
      <c r="E393" s="82">
        <v>1</v>
      </c>
      <c r="F393" s="67">
        <v>302085178</v>
      </c>
      <c r="G393" s="66" t="s">
        <v>1039</v>
      </c>
      <c r="H393" s="66" t="s">
        <v>1040</v>
      </c>
      <c r="I393" s="66" t="s">
        <v>6</v>
      </c>
      <c r="J393" s="82" t="s">
        <v>13</v>
      </c>
      <c r="K393" s="67">
        <v>1150</v>
      </c>
      <c r="L393" s="82">
        <f t="shared" si="27"/>
        <v>0</v>
      </c>
      <c r="M393" s="67" t="s">
        <v>1041</v>
      </c>
      <c r="N393" s="82"/>
      <c r="O393" s="82">
        <f t="shared" si="28"/>
        <v>800</v>
      </c>
      <c r="P393" s="82">
        <f t="shared" si="29"/>
        <v>0</v>
      </c>
      <c r="Q393" s="67" t="s">
        <v>1042</v>
      </c>
      <c r="R393" s="82"/>
      <c r="S393" s="67">
        <v>0</v>
      </c>
      <c r="T393" s="82"/>
      <c r="U393" s="67">
        <v>0</v>
      </c>
      <c r="V393" s="82"/>
      <c r="W393" s="82"/>
      <c r="X393" s="82"/>
      <c r="Y393" s="68">
        <v>5</v>
      </c>
      <c r="Z393" s="82"/>
      <c r="AA393" s="69">
        <v>44285</v>
      </c>
      <c r="AB393" s="74"/>
      <c r="AC393" s="75"/>
      <c r="AD393" s="70" t="s">
        <v>2</v>
      </c>
    </row>
    <row r="394" spans="1:30" s="76" customFormat="1" ht="56.25">
      <c r="A394" s="82">
        <f>+SUBTOTAL(3,$B$7:B394)</f>
        <v>388</v>
      </c>
      <c r="B394" s="82" t="s">
        <v>444</v>
      </c>
      <c r="C394" s="82" t="s">
        <v>111</v>
      </c>
      <c r="D394" s="66" t="s">
        <v>212</v>
      </c>
      <c r="E394" s="82">
        <v>1</v>
      </c>
      <c r="F394" s="67" t="s">
        <v>1858</v>
      </c>
      <c r="G394" s="66" t="s">
        <v>1043</v>
      </c>
      <c r="H394" s="66" t="s">
        <v>1044</v>
      </c>
      <c r="I394" s="66" t="s">
        <v>6</v>
      </c>
      <c r="J394" s="82" t="s">
        <v>13</v>
      </c>
      <c r="K394" s="67">
        <v>350</v>
      </c>
      <c r="L394" s="82">
        <f t="shared" ref="L394:L408" si="30">+N394+R394+T394*10.2+V394*10.2</f>
        <v>197</v>
      </c>
      <c r="M394" s="67" t="s">
        <v>1045</v>
      </c>
      <c r="N394" s="82"/>
      <c r="O394" s="82">
        <f t="shared" si="28"/>
        <v>200</v>
      </c>
      <c r="P394" s="82">
        <f t="shared" si="29"/>
        <v>197</v>
      </c>
      <c r="Q394" s="67" t="s">
        <v>1046</v>
      </c>
      <c r="R394" s="82">
        <v>197</v>
      </c>
      <c r="S394" s="67">
        <v>0</v>
      </c>
      <c r="T394" s="82"/>
      <c r="U394" s="67">
        <v>0</v>
      </c>
      <c r="V394" s="82"/>
      <c r="W394" s="82"/>
      <c r="X394" s="82"/>
      <c r="Y394" s="68">
        <v>5</v>
      </c>
      <c r="Z394" s="82"/>
      <c r="AA394" s="69">
        <v>44285</v>
      </c>
      <c r="AB394" s="74"/>
      <c r="AC394" s="75"/>
      <c r="AD394" s="70" t="s">
        <v>543</v>
      </c>
    </row>
    <row r="395" spans="1:30" s="76" customFormat="1" ht="37.5">
      <c r="A395" s="82">
        <f>+SUBTOTAL(3,$B$7:B395)</f>
        <v>389</v>
      </c>
      <c r="B395" s="82" t="s">
        <v>444</v>
      </c>
      <c r="C395" s="82" t="s">
        <v>111</v>
      </c>
      <c r="D395" s="66" t="s">
        <v>212</v>
      </c>
      <c r="E395" s="82">
        <v>2</v>
      </c>
      <c r="F395" s="67">
        <v>203654570</v>
      </c>
      <c r="G395" s="66" t="s">
        <v>1047</v>
      </c>
      <c r="H395" s="66" t="s">
        <v>1048</v>
      </c>
      <c r="I395" s="66" t="s">
        <v>10</v>
      </c>
      <c r="J395" s="82" t="s">
        <v>30</v>
      </c>
      <c r="K395" s="67">
        <v>5000</v>
      </c>
      <c r="L395" s="82">
        <f t="shared" si="30"/>
        <v>2065.5</v>
      </c>
      <c r="M395" s="67" t="s">
        <v>223</v>
      </c>
      <c r="N395" s="82"/>
      <c r="O395" s="82">
        <f t="shared" si="28"/>
        <v>3500</v>
      </c>
      <c r="P395" s="82">
        <f t="shared" si="29"/>
        <v>2065.5</v>
      </c>
      <c r="Q395" s="67" t="s">
        <v>222</v>
      </c>
      <c r="R395" s="82">
        <v>2065.5</v>
      </c>
      <c r="S395" s="67">
        <v>0</v>
      </c>
      <c r="T395" s="82"/>
      <c r="U395" s="67">
        <v>0</v>
      </c>
      <c r="V395" s="82"/>
      <c r="W395" s="82"/>
      <c r="X395" s="82"/>
      <c r="Y395" s="68">
        <v>7</v>
      </c>
      <c r="Z395" s="82"/>
      <c r="AA395" s="69">
        <v>44256</v>
      </c>
      <c r="AB395" s="74"/>
      <c r="AC395" s="75"/>
      <c r="AD395" s="70" t="s">
        <v>460</v>
      </c>
    </row>
    <row r="396" spans="1:30" s="76" customFormat="1" ht="37.5">
      <c r="A396" s="82">
        <f>+SUBTOTAL(3,$B$7:B396)</f>
        <v>390</v>
      </c>
      <c r="B396" s="82" t="s">
        <v>444</v>
      </c>
      <c r="C396" s="82" t="s">
        <v>111</v>
      </c>
      <c r="D396" s="66" t="s">
        <v>212</v>
      </c>
      <c r="E396" s="82">
        <v>3</v>
      </c>
      <c r="F396" s="67" t="s">
        <v>1859</v>
      </c>
      <c r="G396" s="66" t="s">
        <v>1049</v>
      </c>
      <c r="H396" s="66" t="s">
        <v>1050</v>
      </c>
      <c r="I396" s="66" t="s">
        <v>9</v>
      </c>
      <c r="J396" s="82" t="s">
        <v>36</v>
      </c>
      <c r="K396" s="67">
        <v>3500</v>
      </c>
      <c r="L396" s="82">
        <f t="shared" si="30"/>
        <v>1500</v>
      </c>
      <c r="M396" s="67">
        <v>1500</v>
      </c>
      <c r="N396" s="82"/>
      <c r="O396" s="82">
        <f t="shared" si="28"/>
        <v>2000</v>
      </c>
      <c r="P396" s="82">
        <f t="shared" si="29"/>
        <v>1500</v>
      </c>
      <c r="Q396" s="67">
        <v>2000</v>
      </c>
      <c r="R396" s="82">
        <v>1500</v>
      </c>
      <c r="S396" s="67"/>
      <c r="T396" s="82"/>
      <c r="U396" s="67"/>
      <c r="V396" s="82"/>
      <c r="W396" s="82"/>
      <c r="X396" s="82"/>
      <c r="Y396" s="68">
        <v>4</v>
      </c>
      <c r="Z396" s="82"/>
      <c r="AA396" s="69">
        <v>44531</v>
      </c>
      <c r="AB396" s="74"/>
      <c r="AC396" s="75"/>
      <c r="AD396" s="70" t="s">
        <v>445</v>
      </c>
    </row>
    <row r="397" spans="1:30" s="76" customFormat="1" ht="37.5">
      <c r="A397" s="82">
        <f>+SUBTOTAL(3,$B$7:B397)</f>
        <v>391</v>
      </c>
      <c r="B397" s="82" t="s">
        <v>444</v>
      </c>
      <c r="C397" s="82" t="s">
        <v>111</v>
      </c>
      <c r="D397" s="66" t="s">
        <v>212</v>
      </c>
      <c r="E397" s="82">
        <v>3</v>
      </c>
      <c r="F397" s="67" t="s">
        <v>1860</v>
      </c>
      <c r="G397" s="66" t="s">
        <v>1051</v>
      </c>
      <c r="H397" s="66" t="s">
        <v>1052</v>
      </c>
      <c r="I397" s="66" t="s">
        <v>9</v>
      </c>
      <c r="J397" s="82" t="s">
        <v>36</v>
      </c>
      <c r="K397" s="67">
        <v>2319</v>
      </c>
      <c r="L397" s="82">
        <f t="shared" si="30"/>
        <v>1505</v>
      </c>
      <c r="M397" s="67">
        <v>684</v>
      </c>
      <c r="N397" s="82"/>
      <c r="O397" s="82">
        <f t="shared" si="28"/>
        <v>1635</v>
      </c>
      <c r="P397" s="82">
        <f t="shared" si="29"/>
        <v>1505</v>
      </c>
      <c r="Q397" s="67">
        <v>1635</v>
      </c>
      <c r="R397" s="82">
        <v>1505</v>
      </c>
      <c r="S397" s="67"/>
      <c r="T397" s="82"/>
      <c r="U397" s="67"/>
      <c r="V397" s="82"/>
      <c r="W397" s="82"/>
      <c r="X397" s="82"/>
      <c r="Y397" s="68">
        <v>5</v>
      </c>
      <c r="Z397" s="82"/>
      <c r="AA397" s="69">
        <v>44440</v>
      </c>
      <c r="AB397" s="74"/>
      <c r="AC397" s="75"/>
      <c r="AD397" s="70" t="s">
        <v>445</v>
      </c>
    </row>
    <row r="398" spans="1:30" s="76" customFormat="1" ht="37.5">
      <c r="A398" s="82">
        <f>+SUBTOTAL(3,$B$7:B398)</f>
        <v>392</v>
      </c>
      <c r="B398" s="82" t="s">
        <v>444</v>
      </c>
      <c r="C398" s="82" t="s">
        <v>111</v>
      </c>
      <c r="D398" s="66" t="s">
        <v>212</v>
      </c>
      <c r="E398" s="82">
        <v>3</v>
      </c>
      <c r="F398" s="67">
        <v>307231554</v>
      </c>
      <c r="G398" s="66" t="s">
        <v>1053</v>
      </c>
      <c r="H398" s="66" t="s">
        <v>1054</v>
      </c>
      <c r="I398" s="66" t="s">
        <v>9</v>
      </c>
      <c r="J398" s="82" t="s">
        <v>39</v>
      </c>
      <c r="K398" s="67">
        <v>1350</v>
      </c>
      <c r="L398" s="82">
        <f t="shared" si="30"/>
        <v>1350</v>
      </c>
      <c r="M398" s="67" t="s">
        <v>1042</v>
      </c>
      <c r="N398" s="82">
        <v>800</v>
      </c>
      <c r="O398" s="82">
        <f t="shared" si="28"/>
        <v>500</v>
      </c>
      <c r="P398" s="82">
        <f t="shared" si="29"/>
        <v>550</v>
      </c>
      <c r="Q398" s="67">
        <v>500</v>
      </c>
      <c r="R398" s="82">
        <v>550</v>
      </c>
      <c r="S398" s="67" t="s">
        <v>213</v>
      </c>
      <c r="T398" s="82"/>
      <c r="U398" s="67" t="s">
        <v>213</v>
      </c>
      <c r="V398" s="82"/>
      <c r="W398" s="82"/>
      <c r="X398" s="82"/>
      <c r="Y398" s="68">
        <v>6</v>
      </c>
      <c r="Z398" s="82">
        <v>6</v>
      </c>
      <c r="AA398" s="69">
        <v>44520</v>
      </c>
      <c r="AB398" s="74">
        <v>44236</v>
      </c>
      <c r="AC398" s="75" t="s">
        <v>2084</v>
      </c>
      <c r="AD398" s="70" t="s">
        <v>543</v>
      </c>
    </row>
    <row r="399" spans="1:30" s="76" customFormat="1" ht="37.5">
      <c r="A399" s="82">
        <f>+SUBTOTAL(3,$B$7:B399)</f>
        <v>393</v>
      </c>
      <c r="B399" s="82" t="s">
        <v>444</v>
      </c>
      <c r="C399" s="82" t="s">
        <v>111</v>
      </c>
      <c r="D399" s="66" t="s">
        <v>212</v>
      </c>
      <c r="E399" s="82">
        <v>3</v>
      </c>
      <c r="F399" s="67">
        <v>304608623</v>
      </c>
      <c r="G399" s="66" t="s">
        <v>1055</v>
      </c>
      <c r="H399" s="66" t="s">
        <v>1056</v>
      </c>
      <c r="I399" s="66" t="s">
        <v>9</v>
      </c>
      <c r="J399" s="82" t="s">
        <v>37</v>
      </c>
      <c r="K399" s="67">
        <v>3000</v>
      </c>
      <c r="L399" s="82">
        <f t="shared" si="30"/>
        <v>1000</v>
      </c>
      <c r="M399" s="67">
        <v>1000</v>
      </c>
      <c r="N399" s="82"/>
      <c r="O399" s="82">
        <f t="shared" si="28"/>
        <v>2000</v>
      </c>
      <c r="P399" s="82">
        <f t="shared" si="29"/>
        <v>1000</v>
      </c>
      <c r="Q399" s="67">
        <v>2000</v>
      </c>
      <c r="R399" s="82">
        <v>1000</v>
      </c>
      <c r="S399" s="67"/>
      <c r="T399" s="82"/>
      <c r="U399" s="67"/>
      <c r="V399" s="82"/>
      <c r="W399" s="82"/>
      <c r="X399" s="82"/>
      <c r="Y399" s="68">
        <v>3</v>
      </c>
      <c r="Z399" s="82"/>
      <c r="AA399" s="69">
        <v>44520</v>
      </c>
      <c r="AB399" s="74"/>
      <c r="AC399" s="75"/>
      <c r="AD399" s="70" t="s">
        <v>1</v>
      </c>
    </row>
    <row r="400" spans="1:30" s="76" customFormat="1" ht="37.5">
      <c r="A400" s="82">
        <f>+SUBTOTAL(3,$B$7:B400)</f>
        <v>394</v>
      </c>
      <c r="B400" s="82" t="s">
        <v>444</v>
      </c>
      <c r="C400" s="82" t="s">
        <v>111</v>
      </c>
      <c r="D400" s="66" t="s">
        <v>212</v>
      </c>
      <c r="E400" s="82">
        <v>3</v>
      </c>
      <c r="F400" s="67">
        <v>306744762</v>
      </c>
      <c r="G400" s="66" t="s">
        <v>1057</v>
      </c>
      <c r="H400" s="66" t="s">
        <v>1056</v>
      </c>
      <c r="I400" s="66" t="s">
        <v>9</v>
      </c>
      <c r="J400" s="82" t="s">
        <v>37</v>
      </c>
      <c r="K400" s="67">
        <v>1800</v>
      </c>
      <c r="L400" s="82">
        <f t="shared" si="30"/>
        <v>600</v>
      </c>
      <c r="M400" s="67">
        <v>700</v>
      </c>
      <c r="N400" s="82"/>
      <c r="O400" s="82">
        <f t="shared" si="28"/>
        <v>1100</v>
      </c>
      <c r="P400" s="82">
        <f t="shared" si="29"/>
        <v>600</v>
      </c>
      <c r="Q400" s="67">
        <v>1100</v>
      </c>
      <c r="R400" s="82">
        <v>600</v>
      </c>
      <c r="S400" s="67"/>
      <c r="T400" s="82"/>
      <c r="U400" s="67"/>
      <c r="V400" s="82"/>
      <c r="W400" s="82"/>
      <c r="X400" s="82"/>
      <c r="Y400" s="68">
        <v>10</v>
      </c>
      <c r="Z400" s="82"/>
      <c r="AA400" s="69">
        <v>44501</v>
      </c>
      <c r="AB400" s="74"/>
      <c r="AC400" s="75"/>
      <c r="AD400" s="70" t="s">
        <v>1</v>
      </c>
    </row>
    <row r="401" spans="1:30" s="76" customFormat="1" ht="37.5">
      <c r="A401" s="82">
        <f>+SUBTOTAL(3,$B$7:B401)</f>
        <v>395</v>
      </c>
      <c r="B401" s="82" t="s">
        <v>444</v>
      </c>
      <c r="C401" s="82" t="s">
        <v>111</v>
      </c>
      <c r="D401" s="66" t="s">
        <v>212</v>
      </c>
      <c r="E401" s="82">
        <v>2</v>
      </c>
      <c r="F401" s="67" t="s">
        <v>1861</v>
      </c>
      <c r="G401" s="66" t="s">
        <v>1058</v>
      </c>
      <c r="H401" s="66" t="s">
        <v>1059</v>
      </c>
      <c r="I401" s="66" t="s">
        <v>6</v>
      </c>
      <c r="J401" s="82" t="s">
        <v>12</v>
      </c>
      <c r="K401" s="67">
        <v>800</v>
      </c>
      <c r="L401" s="82">
        <f t="shared" si="30"/>
        <v>400</v>
      </c>
      <c r="M401" s="67" t="s">
        <v>1060</v>
      </c>
      <c r="N401" s="82"/>
      <c r="O401" s="82">
        <f t="shared" si="28"/>
        <v>700</v>
      </c>
      <c r="P401" s="82">
        <f t="shared" si="29"/>
        <v>400</v>
      </c>
      <c r="Q401" s="67" t="s">
        <v>1061</v>
      </c>
      <c r="R401" s="82">
        <v>400</v>
      </c>
      <c r="S401" s="67"/>
      <c r="T401" s="82"/>
      <c r="U401" s="67"/>
      <c r="V401" s="82"/>
      <c r="W401" s="82"/>
      <c r="X401" s="82"/>
      <c r="Y401" s="68" t="s">
        <v>156</v>
      </c>
      <c r="Z401" s="82"/>
      <c r="AA401" s="69">
        <v>44378</v>
      </c>
      <c r="AB401" s="74"/>
      <c r="AC401" s="75"/>
      <c r="AD401" s="70" t="s">
        <v>460</v>
      </c>
    </row>
    <row r="402" spans="1:30" s="76" customFormat="1" ht="37.5">
      <c r="A402" s="82">
        <f>+SUBTOTAL(3,$B$7:B402)</f>
        <v>396</v>
      </c>
      <c r="B402" s="82" t="s">
        <v>444</v>
      </c>
      <c r="C402" s="82" t="s">
        <v>111</v>
      </c>
      <c r="D402" s="66" t="s">
        <v>212</v>
      </c>
      <c r="E402" s="82">
        <v>2</v>
      </c>
      <c r="F402" s="67" t="s">
        <v>1862</v>
      </c>
      <c r="G402" s="66" t="s">
        <v>1062</v>
      </c>
      <c r="H402" s="66" t="s">
        <v>1048</v>
      </c>
      <c r="I402" s="66" t="s">
        <v>10</v>
      </c>
      <c r="J402" s="82" t="s">
        <v>30</v>
      </c>
      <c r="K402" s="67">
        <v>5000</v>
      </c>
      <c r="L402" s="82">
        <f t="shared" si="30"/>
        <v>4590</v>
      </c>
      <c r="M402" s="67" t="s">
        <v>194</v>
      </c>
      <c r="N402" s="82"/>
      <c r="O402" s="82">
        <f t="shared" si="28"/>
        <v>4000</v>
      </c>
      <c r="P402" s="82">
        <f t="shared" si="29"/>
        <v>4590</v>
      </c>
      <c r="Q402" s="67" t="s">
        <v>1063</v>
      </c>
      <c r="R402" s="82"/>
      <c r="S402" s="67"/>
      <c r="T402" s="82">
        <v>450</v>
      </c>
      <c r="U402" s="67"/>
      <c r="V402" s="82"/>
      <c r="W402" s="82"/>
      <c r="X402" s="82"/>
      <c r="Y402" s="68" t="s">
        <v>1064</v>
      </c>
      <c r="Z402" s="82"/>
      <c r="AA402" s="69">
        <v>44440</v>
      </c>
      <c r="AB402" s="74"/>
      <c r="AC402" s="75"/>
      <c r="AD402" s="70" t="s">
        <v>460</v>
      </c>
    </row>
    <row r="403" spans="1:30" s="76" customFormat="1" ht="37.5">
      <c r="A403" s="82">
        <f>+SUBTOTAL(3,$B$7:B403)</f>
        <v>397</v>
      </c>
      <c r="B403" s="82" t="s">
        <v>444</v>
      </c>
      <c r="C403" s="82" t="s">
        <v>111</v>
      </c>
      <c r="D403" s="66" t="s">
        <v>212</v>
      </c>
      <c r="E403" s="82">
        <v>3</v>
      </c>
      <c r="F403" s="67" t="s">
        <v>1863</v>
      </c>
      <c r="G403" s="66" t="s">
        <v>1065</v>
      </c>
      <c r="H403" s="66" t="s">
        <v>164</v>
      </c>
      <c r="I403" s="66" t="s">
        <v>10</v>
      </c>
      <c r="J403" s="82" t="s">
        <v>45</v>
      </c>
      <c r="K403" s="67">
        <v>800</v>
      </c>
      <c r="L403" s="82">
        <f t="shared" si="30"/>
        <v>0</v>
      </c>
      <c r="M403" s="67" t="s">
        <v>1060</v>
      </c>
      <c r="N403" s="82"/>
      <c r="O403" s="82">
        <f t="shared" si="28"/>
        <v>700</v>
      </c>
      <c r="P403" s="82">
        <f t="shared" si="29"/>
        <v>0</v>
      </c>
      <c r="Q403" s="67" t="s">
        <v>1061</v>
      </c>
      <c r="R403" s="82"/>
      <c r="S403" s="67"/>
      <c r="T403" s="82"/>
      <c r="U403" s="67"/>
      <c r="V403" s="82"/>
      <c r="W403" s="82"/>
      <c r="X403" s="82"/>
      <c r="Y403" s="68" t="s">
        <v>1066</v>
      </c>
      <c r="Z403" s="82"/>
      <c r="AA403" s="18">
        <v>44378</v>
      </c>
      <c r="AB403" s="74"/>
      <c r="AC403" s="75"/>
      <c r="AD403" s="70" t="s">
        <v>460</v>
      </c>
    </row>
    <row r="404" spans="1:30" s="76" customFormat="1" ht="37.5">
      <c r="A404" s="82">
        <f>+SUBTOTAL(3,$B$7:B404)</f>
        <v>398</v>
      </c>
      <c r="B404" s="82" t="s">
        <v>444</v>
      </c>
      <c r="C404" s="82" t="s">
        <v>111</v>
      </c>
      <c r="D404" s="66" t="s">
        <v>212</v>
      </c>
      <c r="E404" s="82">
        <v>2</v>
      </c>
      <c r="F404" s="67" t="s">
        <v>1864</v>
      </c>
      <c r="G404" s="66" t="s">
        <v>1067</v>
      </c>
      <c r="H404" s="66" t="s">
        <v>164</v>
      </c>
      <c r="I404" s="66" t="s">
        <v>10</v>
      </c>
      <c r="J404" s="82" t="s">
        <v>45</v>
      </c>
      <c r="K404" s="67">
        <v>500</v>
      </c>
      <c r="L404" s="82">
        <f t="shared" si="30"/>
        <v>0</v>
      </c>
      <c r="M404" s="67" t="s">
        <v>1046</v>
      </c>
      <c r="N404" s="82"/>
      <c r="O404" s="82">
        <f t="shared" si="28"/>
        <v>300</v>
      </c>
      <c r="P404" s="82">
        <f t="shared" si="29"/>
        <v>0</v>
      </c>
      <c r="Q404" s="67" t="s">
        <v>1068</v>
      </c>
      <c r="R404" s="82"/>
      <c r="S404" s="67"/>
      <c r="T404" s="82"/>
      <c r="U404" s="67"/>
      <c r="V404" s="82"/>
      <c r="W404" s="82"/>
      <c r="X404" s="82"/>
      <c r="Y404" s="68" t="s">
        <v>1066</v>
      </c>
      <c r="Z404" s="82"/>
      <c r="AA404" s="69">
        <v>44378</v>
      </c>
      <c r="AB404" s="74"/>
      <c r="AC404" s="75"/>
      <c r="AD404" s="70" t="s">
        <v>460</v>
      </c>
    </row>
    <row r="405" spans="1:30" s="76" customFormat="1" ht="37.5">
      <c r="A405" s="82">
        <f>+SUBTOTAL(3,$B$7:B405)</f>
        <v>399</v>
      </c>
      <c r="B405" s="82" t="s">
        <v>444</v>
      </c>
      <c r="C405" s="82" t="s">
        <v>111</v>
      </c>
      <c r="D405" s="66" t="s">
        <v>212</v>
      </c>
      <c r="E405" s="82">
        <v>4</v>
      </c>
      <c r="F405" s="67" t="s">
        <v>1865</v>
      </c>
      <c r="G405" s="66" t="s">
        <v>1069</v>
      </c>
      <c r="H405" s="66" t="s">
        <v>1070</v>
      </c>
      <c r="I405" s="66" t="s">
        <v>10</v>
      </c>
      <c r="J405" s="82" t="s">
        <v>30</v>
      </c>
      <c r="K405" s="67">
        <v>500</v>
      </c>
      <c r="L405" s="82">
        <f t="shared" si="30"/>
        <v>0</v>
      </c>
      <c r="M405" s="67" t="s">
        <v>1046</v>
      </c>
      <c r="N405" s="82"/>
      <c r="O405" s="82">
        <f t="shared" si="28"/>
        <v>300</v>
      </c>
      <c r="P405" s="82">
        <f t="shared" si="29"/>
        <v>0</v>
      </c>
      <c r="Q405" s="67" t="s">
        <v>1068</v>
      </c>
      <c r="R405" s="82"/>
      <c r="S405" s="67"/>
      <c r="T405" s="82"/>
      <c r="U405" s="67"/>
      <c r="V405" s="82"/>
      <c r="W405" s="82"/>
      <c r="X405" s="82"/>
      <c r="Y405" s="68" t="s">
        <v>1071</v>
      </c>
      <c r="Z405" s="82"/>
      <c r="AA405" s="69">
        <v>44440</v>
      </c>
      <c r="AB405" s="74"/>
      <c r="AC405" s="75"/>
      <c r="AD405" s="70" t="s">
        <v>460</v>
      </c>
    </row>
    <row r="406" spans="1:30" s="76" customFormat="1" ht="37.5">
      <c r="A406" s="82">
        <f>+SUBTOTAL(3,$B$7:B406)</f>
        <v>400</v>
      </c>
      <c r="B406" s="82" t="s">
        <v>444</v>
      </c>
      <c r="C406" s="82" t="s">
        <v>111</v>
      </c>
      <c r="D406" s="66" t="s">
        <v>212</v>
      </c>
      <c r="E406" s="82">
        <v>1</v>
      </c>
      <c r="F406" s="67">
        <v>304933734</v>
      </c>
      <c r="G406" s="66" t="s">
        <v>1072</v>
      </c>
      <c r="H406" s="66" t="s">
        <v>1073</v>
      </c>
      <c r="I406" s="66" t="s">
        <v>10</v>
      </c>
      <c r="J406" s="82" t="s">
        <v>60</v>
      </c>
      <c r="K406" s="67">
        <v>1100</v>
      </c>
      <c r="L406" s="82">
        <f t="shared" si="30"/>
        <v>1100</v>
      </c>
      <c r="M406" s="67" t="s">
        <v>600</v>
      </c>
      <c r="N406" s="82">
        <v>850</v>
      </c>
      <c r="O406" s="82">
        <f t="shared" si="28"/>
        <v>600</v>
      </c>
      <c r="P406" s="82">
        <f t="shared" si="29"/>
        <v>250</v>
      </c>
      <c r="Q406" s="67" t="s">
        <v>1074</v>
      </c>
      <c r="R406" s="82">
        <v>250</v>
      </c>
      <c r="S406" s="67"/>
      <c r="T406" s="82"/>
      <c r="U406" s="67"/>
      <c r="V406" s="82"/>
      <c r="W406" s="82"/>
      <c r="X406" s="82"/>
      <c r="Y406" s="68" t="s">
        <v>1075</v>
      </c>
      <c r="Z406" s="82">
        <v>15</v>
      </c>
      <c r="AA406" s="18">
        <v>44166</v>
      </c>
      <c r="AB406" s="74">
        <v>44152</v>
      </c>
      <c r="AC406" s="75" t="s">
        <v>1866</v>
      </c>
      <c r="AD406" s="70" t="s">
        <v>453</v>
      </c>
    </row>
    <row r="407" spans="1:30" s="76" customFormat="1" ht="37.5">
      <c r="A407" s="82">
        <f>+SUBTOTAL(3,$B$7:B407)</f>
        <v>401</v>
      </c>
      <c r="B407" s="82" t="s">
        <v>444</v>
      </c>
      <c r="C407" s="82" t="s">
        <v>111</v>
      </c>
      <c r="D407" s="66" t="s">
        <v>212</v>
      </c>
      <c r="E407" s="82">
        <v>2</v>
      </c>
      <c r="F407" s="67" t="s">
        <v>1867</v>
      </c>
      <c r="G407" s="66" t="s">
        <v>1076</v>
      </c>
      <c r="H407" s="66" t="s">
        <v>1077</v>
      </c>
      <c r="I407" s="66" t="s">
        <v>10</v>
      </c>
      <c r="J407" s="82" t="s">
        <v>44</v>
      </c>
      <c r="K407" s="67">
        <v>370</v>
      </c>
      <c r="L407" s="82">
        <f t="shared" si="30"/>
        <v>441</v>
      </c>
      <c r="M407" s="67" t="s">
        <v>1078</v>
      </c>
      <c r="N407" s="82">
        <v>107</v>
      </c>
      <c r="O407" s="82">
        <f t="shared" si="28"/>
        <v>263</v>
      </c>
      <c r="P407" s="82">
        <f t="shared" si="29"/>
        <v>334</v>
      </c>
      <c r="Q407" s="67" t="s">
        <v>1079</v>
      </c>
      <c r="R407" s="82">
        <v>334</v>
      </c>
      <c r="S407" s="67"/>
      <c r="T407" s="82"/>
      <c r="U407" s="67"/>
      <c r="V407" s="82"/>
      <c r="W407" s="82"/>
      <c r="X407" s="82"/>
      <c r="Y407" s="68" t="s">
        <v>157</v>
      </c>
      <c r="Z407" s="82">
        <v>3</v>
      </c>
      <c r="AA407" s="18">
        <v>44166</v>
      </c>
      <c r="AB407" s="74">
        <v>44165</v>
      </c>
      <c r="AC407" s="75" t="s">
        <v>2021</v>
      </c>
      <c r="AD407" s="70" t="s">
        <v>2</v>
      </c>
    </row>
    <row r="408" spans="1:30" s="76" customFormat="1" ht="37.5">
      <c r="A408" s="82">
        <f>+SUBTOTAL(3,$B$7:B408)</f>
        <v>402</v>
      </c>
      <c r="B408" s="82" t="s">
        <v>444</v>
      </c>
      <c r="C408" s="82" t="s">
        <v>111</v>
      </c>
      <c r="D408" s="66" t="s">
        <v>212</v>
      </c>
      <c r="E408" s="82">
        <v>1</v>
      </c>
      <c r="F408" s="67">
        <v>306183797</v>
      </c>
      <c r="G408" s="66" t="s">
        <v>1080</v>
      </c>
      <c r="H408" s="66" t="s">
        <v>1974</v>
      </c>
      <c r="I408" s="66" t="s">
        <v>6</v>
      </c>
      <c r="J408" s="82" t="s">
        <v>13</v>
      </c>
      <c r="K408" s="67">
        <v>323</v>
      </c>
      <c r="L408" s="82">
        <f t="shared" si="30"/>
        <v>950</v>
      </c>
      <c r="M408" s="67">
        <v>100</v>
      </c>
      <c r="N408" s="82">
        <v>727</v>
      </c>
      <c r="O408" s="82">
        <f t="shared" si="28"/>
        <v>223</v>
      </c>
      <c r="P408" s="82">
        <f t="shared" si="29"/>
        <v>223</v>
      </c>
      <c r="Q408" s="67">
        <v>223</v>
      </c>
      <c r="R408" s="82">
        <v>223</v>
      </c>
      <c r="S408" s="67"/>
      <c r="T408" s="82"/>
      <c r="U408" s="67"/>
      <c r="V408" s="82"/>
      <c r="W408" s="82"/>
      <c r="X408" s="82"/>
      <c r="Y408" s="68">
        <v>6</v>
      </c>
      <c r="Z408" s="82">
        <v>8</v>
      </c>
      <c r="AA408" s="69">
        <v>44470</v>
      </c>
      <c r="AB408" s="74">
        <v>44124</v>
      </c>
      <c r="AC408" s="75" t="s">
        <v>1868</v>
      </c>
      <c r="AD408" s="70" t="s">
        <v>445</v>
      </c>
    </row>
    <row r="409" spans="1:30" s="76" customFormat="1" ht="37.5">
      <c r="A409" s="82">
        <f>+SUBTOTAL(3,$B$7:B409)</f>
        <v>403</v>
      </c>
      <c r="B409" s="82" t="s">
        <v>444</v>
      </c>
      <c r="C409" s="82" t="s">
        <v>111</v>
      </c>
      <c r="D409" s="66" t="s">
        <v>212</v>
      </c>
      <c r="E409" s="82">
        <v>1</v>
      </c>
      <c r="F409" s="67">
        <v>306774608</v>
      </c>
      <c r="G409" s="66" t="s">
        <v>1081</v>
      </c>
      <c r="H409" s="66" t="s">
        <v>442</v>
      </c>
      <c r="I409" s="66" t="s">
        <v>6</v>
      </c>
      <c r="J409" s="82" t="s">
        <v>13</v>
      </c>
      <c r="K409" s="67">
        <v>869.5</v>
      </c>
      <c r="L409" s="82">
        <v>1397</v>
      </c>
      <c r="M409" s="67">
        <v>200</v>
      </c>
      <c r="N409" s="82">
        <v>663</v>
      </c>
      <c r="O409" s="82">
        <f t="shared" si="28"/>
        <v>663</v>
      </c>
      <c r="P409" s="82">
        <f t="shared" si="29"/>
        <v>663</v>
      </c>
      <c r="Q409" s="67">
        <v>0</v>
      </c>
      <c r="R409" s="82"/>
      <c r="S409" s="67">
        <v>65</v>
      </c>
      <c r="T409" s="82">
        <v>65</v>
      </c>
      <c r="U409" s="67"/>
      <c r="V409" s="82"/>
      <c r="W409" s="82"/>
      <c r="X409" s="82"/>
      <c r="Y409" s="68">
        <v>8</v>
      </c>
      <c r="Z409" s="82">
        <v>4</v>
      </c>
      <c r="AA409" s="69">
        <v>44166</v>
      </c>
      <c r="AB409" s="74">
        <v>44109</v>
      </c>
      <c r="AC409" s="75" t="s">
        <v>1869</v>
      </c>
      <c r="AD409" s="70" t="s">
        <v>445</v>
      </c>
    </row>
    <row r="410" spans="1:30" s="76" customFormat="1" ht="37.5">
      <c r="A410" s="82">
        <f>+SUBTOTAL(3,$B$7:B410)</f>
        <v>404</v>
      </c>
      <c r="B410" s="95" t="s">
        <v>2100</v>
      </c>
      <c r="C410" s="82" t="s">
        <v>111</v>
      </c>
      <c r="D410" s="66" t="s">
        <v>212</v>
      </c>
      <c r="E410" s="82">
        <v>3</v>
      </c>
      <c r="F410" s="67" t="s">
        <v>1870</v>
      </c>
      <c r="G410" s="66" t="s">
        <v>1082</v>
      </c>
      <c r="H410" s="66" t="s">
        <v>1083</v>
      </c>
      <c r="I410" s="66" t="s">
        <v>6</v>
      </c>
      <c r="J410" s="82" t="s">
        <v>12</v>
      </c>
      <c r="K410" s="67">
        <v>35750</v>
      </c>
      <c r="L410" s="82">
        <f t="shared" ref="L410:L441" si="31">+N410+R410+T410*10.2+V410*10.2</f>
        <v>0</v>
      </c>
      <c r="M410" s="67">
        <v>10000</v>
      </c>
      <c r="N410" s="82"/>
      <c r="O410" s="82">
        <f t="shared" si="28"/>
        <v>25500</v>
      </c>
      <c r="P410" s="82">
        <f t="shared" si="29"/>
        <v>0</v>
      </c>
      <c r="Q410" s="67"/>
      <c r="R410" s="82"/>
      <c r="S410" s="67">
        <v>2500</v>
      </c>
      <c r="T410" s="82"/>
      <c r="U410" s="67"/>
      <c r="V410" s="82"/>
      <c r="W410" s="82"/>
      <c r="X410" s="82"/>
      <c r="Y410" s="68">
        <v>80</v>
      </c>
      <c r="Z410" s="82"/>
      <c r="AA410" s="69">
        <v>44896</v>
      </c>
      <c r="AB410" s="74"/>
      <c r="AC410" s="75"/>
      <c r="AD410" s="70" t="s">
        <v>543</v>
      </c>
    </row>
    <row r="411" spans="1:30" s="76" customFormat="1" ht="37.5">
      <c r="A411" s="82">
        <f>+SUBTOTAL(3,$B$7:B411)</f>
        <v>405</v>
      </c>
      <c r="B411" s="95" t="s">
        <v>2100</v>
      </c>
      <c r="C411" s="82" t="s">
        <v>111</v>
      </c>
      <c r="D411" s="66" t="s">
        <v>212</v>
      </c>
      <c r="E411" s="82">
        <v>3</v>
      </c>
      <c r="F411" s="67" t="s">
        <v>1871</v>
      </c>
      <c r="G411" s="66" t="s">
        <v>1084</v>
      </c>
      <c r="H411" s="66" t="s">
        <v>1085</v>
      </c>
      <c r="I411" s="66" t="s">
        <v>6</v>
      </c>
      <c r="J411" s="82" t="s">
        <v>12</v>
      </c>
      <c r="K411" s="67">
        <v>15360</v>
      </c>
      <c r="L411" s="82">
        <f t="shared" si="31"/>
        <v>0</v>
      </c>
      <c r="M411" s="67">
        <v>3000</v>
      </c>
      <c r="N411" s="82"/>
      <c r="O411" s="82">
        <f t="shared" si="28"/>
        <v>7139.9999999999991</v>
      </c>
      <c r="P411" s="82">
        <f t="shared" si="29"/>
        <v>0</v>
      </c>
      <c r="Q411" s="67"/>
      <c r="R411" s="82"/>
      <c r="S411" s="67">
        <v>700</v>
      </c>
      <c r="T411" s="82"/>
      <c r="U411" s="67">
        <v>500</v>
      </c>
      <c r="V411" s="82"/>
      <c r="W411" s="82"/>
      <c r="X411" s="82"/>
      <c r="Y411" s="68">
        <v>30</v>
      </c>
      <c r="Z411" s="82"/>
      <c r="AA411" s="69">
        <v>44621</v>
      </c>
      <c r="AB411" s="74"/>
      <c r="AC411" s="75"/>
      <c r="AD411" s="70" t="s">
        <v>543</v>
      </c>
    </row>
    <row r="412" spans="1:30" s="76" customFormat="1" ht="37.5">
      <c r="A412" s="82">
        <f>+SUBTOTAL(3,$B$7:B412)</f>
        <v>406</v>
      </c>
      <c r="B412" s="82" t="s">
        <v>444</v>
      </c>
      <c r="C412" s="82" t="s">
        <v>111</v>
      </c>
      <c r="D412" s="66" t="s">
        <v>212</v>
      </c>
      <c r="E412" s="82">
        <v>3</v>
      </c>
      <c r="F412" s="67" t="s">
        <v>1872</v>
      </c>
      <c r="G412" s="66" t="s">
        <v>1086</v>
      </c>
      <c r="H412" s="66" t="s">
        <v>1087</v>
      </c>
      <c r="I412" s="66" t="s">
        <v>6</v>
      </c>
      <c r="J412" s="82" t="s">
        <v>13</v>
      </c>
      <c r="K412" s="67">
        <v>32450</v>
      </c>
      <c r="L412" s="82">
        <f t="shared" si="31"/>
        <v>21220</v>
      </c>
      <c r="M412" s="67">
        <v>7000</v>
      </c>
      <c r="N412" s="82"/>
      <c r="O412" s="82">
        <f t="shared" si="28"/>
        <v>25300</v>
      </c>
      <c r="P412" s="82">
        <f t="shared" si="29"/>
        <v>21220</v>
      </c>
      <c r="Q412" s="67">
        <v>10000</v>
      </c>
      <c r="R412" s="82">
        <v>10000</v>
      </c>
      <c r="S412" s="67">
        <v>1500</v>
      </c>
      <c r="T412" s="82">
        <v>1100</v>
      </c>
      <c r="U412" s="67"/>
      <c r="V412" s="82"/>
      <c r="W412" s="82"/>
      <c r="X412" s="82"/>
      <c r="Y412" s="68">
        <v>15</v>
      </c>
      <c r="Z412" s="82"/>
      <c r="AA412" s="18">
        <v>44357</v>
      </c>
      <c r="AB412" s="74"/>
      <c r="AC412" s="75"/>
      <c r="AD412" s="70" t="s">
        <v>453</v>
      </c>
    </row>
    <row r="413" spans="1:30" s="76" customFormat="1" ht="37.5">
      <c r="A413" s="82">
        <f>+SUBTOTAL(3,$B$7:B413)</f>
        <v>407</v>
      </c>
      <c r="B413" s="82" t="s">
        <v>444</v>
      </c>
      <c r="C413" s="82" t="s">
        <v>111</v>
      </c>
      <c r="D413" s="66" t="s">
        <v>212</v>
      </c>
      <c r="E413" s="82">
        <v>3</v>
      </c>
      <c r="F413" s="67" t="s">
        <v>1874</v>
      </c>
      <c r="G413" s="66" t="s">
        <v>1088</v>
      </c>
      <c r="H413" s="66" t="s">
        <v>1089</v>
      </c>
      <c r="I413" s="66" t="s">
        <v>9</v>
      </c>
      <c r="J413" s="82" t="s">
        <v>37</v>
      </c>
      <c r="K413" s="67">
        <v>1500</v>
      </c>
      <c r="L413" s="82">
        <f t="shared" si="31"/>
        <v>1500</v>
      </c>
      <c r="M413" s="67">
        <v>500</v>
      </c>
      <c r="N413" s="82">
        <v>1100</v>
      </c>
      <c r="O413" s="82">
        <f t="shared" si="28"/>
        <v>1000</v>
      </c>
      <c r="P413" s="82">
        <f t="shared" si="29"/>
        <v>400</v>
      </c>
      <c r="Q413" s="67">
        <v>1000</v>
      </c>
      <c r="R413" s="82">
        <v>400</v>
      </c>
      <c r="S413" s="67"/>
      <c r="T413" s="82"/>
      <c r="U413" s="67"/>
      <c r="V413" s="82"/>
      <c r="W413" s="82"/>
      <c r="X413" s="82"/>
      <c r="Y413" s="68">
        <v>2</v>
      </c>
      <c r="Z413" s="82">
        <v>2</v>
      </c>
      <c r="AA413" s="69">
        <v>44185</v>
      </c>
      <c r="AB413" s="74">
        <v>44121</v>
      </c>
      <c r="AC413" s="75" t="s">
        <v>1873</v>
      </c>
      <c r="AD413" s="70" t="s">
        <v>453</v>
      </c>
    </row>
    <row r="414" spans="1:30" s="76" customFormat="1" ht="37.5">
      <c r="A414" s="82">
        <f>+SUBTOTAL(3,$B$7:B414)</f>
        <v>408</v>
      </c>
      <c r="B414" s="82" t="s">
        <v>444</v>
      </c>
      <c r="C414" s="82" t="s">
        <v>111</v>
      </c>
      <c r="D414" s="66" t="s">
        <v>212</v>
      </c>
      <c r="E414" s="82">
        <v>1</v>
      </c>
      <c r="F414" s="67" t="s">
        <v>1875</v>
      </c>
      <c r="G414" s="66" t="s">
        <v>1090</v>
      </c>
      <c r="H414" s="66" t="s">
        <v>274</v>
      </c>
      <c r="I414" s="66" t="s">
        <v>9</v>
      </c>
      <c r="J414" s="82" t="s">
        <v>37</v>
      </c>
      <c r="K414" s="67">
        <v>2150</v>
      </c>
      <c r="L414" s="82">
        <f t="shared" si="31"/>
        <v>1085</v>
      </c>
      <c r="M414" s="67">
        <v>650</v>
      </c>
      <c r="N414" s="82"/>
      <c r="O414" s="82">
        <f t="shared" si="28"/>
        <v>1500</v>
      </c>
      <c r="P414" s="82">
        <f t="shared" si="29"/>
        <v>1085</v>
      </c>
      <c r="Q414" s="67">
        <v>1500</v>
      </c>
      <c r="R414" s="82">
        <v>1085</v>
      </c>
      <c r="S414" s="67"/>
      <c r="T414" s="82"/>
      <c r="U414" s="67"/>
      <c r="V414" s="82"/>
      <c r="W414" s="82"/>
      <c r="X414" s="82"/>
      <c r="Y414" s="68">
        <v>15</v>
      </c>
      <c r="Z414" s="82"/>
      <c r="AA414" s="69">
        <v>44287</v>
      </c>
      <c r="AB414" s="74"/>
      <c r="AC414" s="75"/>
      <c r="AD414" s="70" t="s">
        <v>1</v>
      </c>
    </row>
    <row r="415" spans="1:30" s="76" customFormat="1" ht="37.5">
      <c r="A415" s="82">
        <f>+SUBTOTAL(3,$B$7:B415)</f>
        <v>409</v>
      </c>
      <c r="B415" s="82" t="s">
        <v>444</v>
      </c>
      <c r="C415" s="82" t="s">
        <v>111</v>
      </c>
      <c r="D415" s="66" t="s">
        <v>212</v>
      </c>
      <c r="E415" s="82">
        <v>1</v>
      </c>
      <c r="F415" s="67" t="s">
        <v>1876</v>
      </c>
      <c r="G415" s="66" t="s">
        <v>1091</v>
      </c>
      <c r="H415" s="66" t="s">
        <v>274</v>
      </c>
      <c r="I415" s="66" t="s">
        <v>9</v>
      </c>
      <c r="J415" s="82" t="s">
        <v>37</v>
      </c>
      <c r="K415" s="67">
        <v>1450</v>
      </c>
      <c r="L415" s="82">
        <f t="shared" si="31"/>
        <v>770</v>
      </c>
      <c r="M415" s="67">
        <v>450</v>
      </c>
      <c r="N415" s="82"/>
      <c r="O415" s="82">
        <f t="shared" si="28"/>
        <v>1000</v>
      </c>
      <c r="P415" s="82">
        <f t="shared" si="29"/>
        <v>770</v>
      </c>
      <c r="Q415" s="67">
        <v>1000</v>
      </c>
      <c r="R415" s="82">
        <v>770</v>
      </c>
      <c r="S415" s="67"/>
      <c r="T415" s="82"/>
      <c r="U415" s="67"/>
      <c r="V415" s="82"/>
      <c r="W415" s="82"/>
      <c r="X415" s="82"/>
      <c r="Y415" s="68">
        <v>10</v>
      </c>
      <c r="Z415" s="82"/>
      <c r="AA415" s="69">
        <v>44287</v>
      </c>
      <c r="AB415" s="74"/>
      <c r="AC415" s="75"/>
      <c r="AD415" s="70" t="s">
        <v>1</v>
      </c>
    </row>
    <row r="416" spans="1:30" s="76" customFormat="1" ht="37.5">
      <c r="A416" s="82">
        <f>+SUBTOTAL(3,$B$7:B416)</f>
        <v>410</v>
      </c>
      <c r="B416" s="82" t="s">
        <v>444</v>
      </c>
      <c r="C416" s="82" t="s">
        <v>111</v>
      </c>
      <c r="D416" s="66" t="s">
        <v>212</v>
      </c>
      <c r="E416" s="82">
        <v>1</v>
      </c>
      <c r="F416" s="67" t="s">
        <v>1877</v>
      </c>
      <c r="G416" s="66" t="s">
        <v>1092</v>
      </c>
      <c r="H416" s="66" t="s">
        <v>274</v>
      </c>
      <c r="I416" s="66" t="s">
        <v>9</v>
      </c>
      <c r="J416" s="82" t="s">
        <v>37</v>
      </c>
      <c r="K416" s="67">
        <v>1450</v>
      </c>
      <c r="L416" s="82">
        <f t="shared" si="31"/>
        <v>550</v>
      </c>
      <c r="M416" s="67">
        <v>450</v>
      </c>
      <c r="N416" s="82"/>
      <c r="O416" s="82">
        <f t="shared" si="28"/>
        <v>1000</v>
      </c>
      <c r="P416" s="82">
        <f t="shared" si="29"/>
        <v>550</v>
      </c>
      <c r="Q416" s="67">
        <v>1000</v>
      </c>
      <c r="R416" s="82">
        <v>550</v>
      </c>
      <c r="S416" s="67"/>
      <c r="T416" s="82"/>
      <c r="U416" s="67"/>
      <c r="V416" s="82"/>
      <c r="W416" s="82"/>
      <c r="X416" s="82"/>
      <c r="Y416" s="68">
        <v>10</v>
      </c>
      <c r="Z416" s="82"/>
      <c r="AA416" s="69">
        <v>44287</v>
      </c>
      <c r="AB416" s="74"/>
      <c r="AC416" s="75"/>
      <c r="AD416" s="70" t="s">
        <v>1</v>
      </c>
    </row>
    <row r="417" spans="1:30" s="76" customFormat="1" ht="37.5">
      <c r="A417" s="82">
        <f>+SUBTOTAL(3,$B$7:B417)</f>
        <v>411</v>
      </c>
      <c r="B417" s="82" t="s">
        <v>444</v>
      </c>
      <c r="C417" s="82" t="s">
        <v>111</v>
      </c>
      <c r="D417" s="66" t="s">
        <v>212</v>
      </c>
      <c r="E417" s="82">
        <v>1</v>
      </c>
      <c r="F417" s="67" t="s">
        <v>1878</v>
      </c>
      <c r="G417" s="66" t="s">
        <v>1093</v>
      </c>
      <c r="H417" s="66" t="s">
        <v>274</v>
      </c>
      <c r="I417" s="66" t="s">
        <v>9</v>
      </c>
      <c r="J417" s="82" t="s">
        <v>37</v>
      </c>
      <c r="K417" s="67">
        <v>1450</v>
      </c>
      <c r="L417" s="82">
        <f t="shared" si="31"/>
        <v>150</v>
      </c>
      <c r="M417" s="67">
        <v>450</v>
      </c>
      <c r="N417" s="82"/>
      <c r="O417" s="82">
        <f t="shared" si="28"/>
        <v>1000</v>
      </c>
      <c r="P417" s="82">
        <f t="shared" si="29"/>
        <v>150</v>
      </c>
      <c r="Q417" s="67">
        <v>1000</v>
      </c>
      <c r="R417" s="82">
        <v>150</v>
      </c>
      <c r="S417" s="67"/>
      <c r="T417" s="82"/>
      <c r="U417" s="67"/>
      <c r="V417" s="82"/>
      <c r="W417" s="82"/>
      <c r="X417" s="82"/>
      <c r="Y417" s="68">
        <v>10</v>
      </c>
      <c r="Z417" s="82"/>
      <c r="AA417" s="18">
        <v>44287</v>
      </c>
      <c r="AB417" s="74"/>
      <c r="AC417" s="75"/>
      <c r="AD417" s="70" t="s">
        <v>1</v>
      </c>
    </row>
    <row r="418" spans="1:30" s="76" customFormat="1" ht="37.5">
      <c r="A418" s="82">
        <f>+SUBTOTAL(3,$B$7:B418)</f>
        <v>412</v>
      </c>
      <c r="B418" s="82" t="s">
        <v>444</v>
      </c>
      <c r="C418" s="82" t="s">
        <v>111</v>
      </c>
      <c r="D418" s="66" t="s">
        <v>212</v>
      </c>
      <c r="E418" s="82">
        <v>1</v>
      </c>
      <c r="F418" s="67" t="s">
        <v>1879</v>
      </c>
      <c r="G418" s="66" t="s">
        <v>1094</v>
      </c>
      <c r="H418" s="66" t="s">
        <v>274</v>
      </c>
      <c r="I418" s="66" t="s">
        <v>9</v>
      </c>
      <c r="J418" s="82" t="s">
        <v>37</v>
      </c>
      <c r="K418" s="67">
        <v>1450</v>
      </c>
      <c r="L418" s="82">
        <f t="shared" si="31"/>
        <v>917.99999999999989</v>
      </c>
      <c r="M418" s="67">
        <v>450</v>
      </c>
      <c r="N418" s="82"/>
      <c r="O418" s="82">
        <f t="shared" si="28"/>
        <v>1000</v>
      </c>
      <c r="P418" s="82">
        <f t="shared" si="29"/>
        <v>917.99999999999989</v>
      </c>
      <c r="Q418" s="67">
        <v>1000</v>
      </c>
      <c r="R418" s="82"/>
      <c r="S418" s="67"/>
      <c r="T418" s="82">
        <v>90</v>
      </c>
      <c r="U418" s="67"/>
      <c r="V418" s="82"/>
      <c r="W418" s="82"/>
      <c r="X418" s="82"/>
      <c r="Y418" s="68">
        <v>10</v>
      </c>
      <c r="Z418" s="82"/>
      <c r="AA418" s="18">
        <v>44287</v>
      </c>
      <c r="AB418" s="74"/>
      <c r="AC418" s="75"/>
      <c r="AD418" s="70" t="s">
        <v>1</v>
      </c>
    </row>
    <row r="419" spans="1:30" s="76" customFormat="1" ht="37.5">
      <c r="A419" s="82">
        <f>+SUBTOTAL(3,$B$7:B419)</f>
        <v>413</v>
      </c>
      <c r="B419" s="82" t="s">
        <v>444</v>
      </c>
      <c r="C419" s="82" t="s">
        <v>111</v>
      </c>
      <c r="D419" s="66" t="s">
        <v>212</v>
      </c>
      <c r="E419" s="82">
        <v>1</v>
      </c>
      <c r="F419" s="67" t="s">
        <v>1880</v>
      </c>
      <c r="G419" s="66" t="s">
        <v>1095</v>
      </c>
      <c r="H419" s="66" t="s">
        <v>274</v>
      </c>
      <c r="I419" s="66" t="s">
        <v>9</v>
      </c>
      <c r="J419" s="82" t="s">
        <v>37</v>
      </c>
      <c r="K419" s="67">
        <v>1450</v>
      </c>
      <c r="L419" s="82">
        <f t="shared" si="31"/>
        <v>570</v>
      </c>
      <c r="M419" s="67">
        <v>450</v>
      </c>
      <c r="N419" s="82"/>
      <c r="O419" s="82">
        <f t="shared" si="28"/>
        <v>1000</v>
      </c>
      <c r="P419" s="82">
        <f t="shared" si="29"/>
        <v>570</v>
      </c>
      <c r="Q419" s="67">
        <v>1000</v>
      </c>
      <c r="R419" s="82">
        <v>570</v>
      </c>
      <c r="S419" s="67"/>
      <c r="T419" s="82"/>
      <c r="U419" s="67"/>
      <c r="V419" s="82"/>
      <c r="W419" s="82"/>
      <c r="X419" s="82"/>
      <c r="Y419" s="68">
        <v>10</v>
      </c>
      <c r="Z419" s="82"/>
      <c r="AA419" s="18">
        <v>44287</v>
      </c>
      <c r="AB419" s="74"/>
      <c r="AC419" s="75"/>
      <c r="AD419" s="70" t="s">
        <v>1</v>
      </c>
    </row>
    <row r="420" spans="1:30" s="76" customFormat="1" ht="37.5">
      <c r="A420" s="82">
        <f>+SUBTOTAL(3,$B$7:B420)</f>
        <v>414</v>
      </c>
      <c r="B420" s="82" t="s">
        <v>444</v>
      </c>
      <c r="C420" s="82" t="s">
        <v>111</v>
      </c>
      <c r="D420" s="66" t="s">
        <v>212</v>
      </c>
      <c r="E420" s="82">
        <v>1</v>
      </c>
      <c r="F420" s="67" t="s">
        <v>1881</v>
      </c>
      <c r="G420" s="66" t="s">
        <v>1096</v>
      </c>
      <c r="H420" s="66" t="s">
        <v>274</v>
      </c>
      <c r="I420" s="66" t="s">
        <v>9</v>
      </c>
      <c r="J420" s="82" t="s">
        <v>37</v>
      </c>
      <c r="K420" s="67">
        <v>2900</v>
      </c>
      <c r="L420" s="82">
        <f t="shared" si="31"/>
        <v>1000</v>
      </c>
      <c r="M420" s="67">
        <v>900</v>
      </c>
      <c r="N420" s="82"/>
      <c r="O420" s="82">
        <f t="shared" si="28"/>
        <v>2000</v>
      </c>
      <c r="P420" s="82">
        <f t="shared" si="29"/>
        <v>1000</v>
      </c>
      <c r="Q420" s="67">
        <v>2000</v>
      </c>
      <c r="R420" s="82">
        <v>1000</v>
      </c>
      <c r="S420" s="67"/>
      <c r="T420" s="82"/>
      <c r="U420" s="67"/>
      <c r="V420" s="82"/>
      <c r="W420" s="82"/>
      <c r="X420" s="82"/>
      <c r="Y420" s="68">
        <v>20</v>
      </c>
      <c r="Z420" s="82"/>
      <c r="AA420" s="18">
        <v>44287</v>
      </c>
      <c r="AB420" s="74"/>
      <c r="AC420" s="75"/>
      <c r="AD420" s="70" t="s">
        <v>1</v>
      </c>
    </row>
    <row r="421" spans="1:30" s="76" customFormat="1" ht="37.5">
      <c r="A421" s="82">
        <f>+SUBTOTAL(3,$B$7:B421)</f>
        <v>415</v>
      </c>
      <c r="B421" s="82" t="s">
        <v>444</v>
      </c>
      <c r="C421" s="82" t="s">
        <v>111</v>
      </c>
      <c r="D421" s="66" t="s">
        <v>212</v>
      </c>
      <c r="E421" s="82">
        <v>1</v>
      </c>
      <c r="F421" s="67" t="s">
        <v>1882</v>
      </c>
      <c r="G421" s="66" t="s">
        <v>1097</v>
      </c>
      <c r="H421" s="66" t="s">
        <v>274</v>
      </c>
      <c r="I421" s="66" t="s">
        <v>9</v>
      </c>
      <c r="J421" s="82" t="s">
        <v>37</v>
      </c>
      <c r="K421" s="67">
        <v>1450</v>
      </c>
      <c r="L421" s="82">
        <f t="shared" si="31"/>
        <v>816</v>
      </c>
      <c r="M421" s="67" t="s">
        <v>1098</v>
      </c>
      <c r="N421" s="82"/>
      <c r="O421" s="82">
        <f t="shared" si="28"/>
        <v>1000</v>
      </c>
      <c r="P421" s="82">
        <f t="shared" si="29"/>
        <v>816</v>
      </c>
      <c r="Q421" s="67" t="s">
        <v>194</v>
      </c>
      <c r="R421" s="82"/>
      <c r="S421" s="67"/>
      <c r="T421" s="82">
        <v>80</v>
      </c>
      <c r="U421" s="67"/>
      <c r="V421" s="82"/>
      <c r="W421" s="82"/>
      <c r="X421" s="82"/>
      <c r="Y421" s="68" t="s">
        <v>1071</v>
      </c>
      <c r="Z421" s="82"/>
      <c r="AA421" s="18">
        <v>44348</v>
      </c>
      <c r="AB421" s="74"/>
      <c r="AC421" s="75"/>
      <c r="AD421" s="70" t="s">
        <v>1</v>
      </c>
    </row>
    <row r="422" spans="1:30" s="76" customFormat="1" ht="37.5">
      <c r="A422" s="82">
        <f>+SUBTOTAL(3,$B$7:B422)</f>
        <v>416</v>
      </c>
      <c r="B422" s="82" t="s">
        <v>444</v>
      </c>
      <c r="C422" s="82" t="s">
        <v>111</v>
      </c>
      <c r="D422" s="66" t="s">
        <v>212</v>
      </c>
      <c r="E422" s="82">
        <v>1</v>
      </c>
      <c r="F422" s="67" t="s">
        <v>1883</v>
      </c>
      <c r="G422" s="66" t="s">
        <v>1099</v>
      </c>
      <c r="H422" s="66" t="s">
        <v>274</v>
      </c>
      <c r="I422" s="66" t="s">
        <v>9</v>
      </c>
      <c r="J422" s="82" t="s">
        <v>37</v>
      </c>
      <c r="K422" s="67">
        <v>1450</v>
      </c>
      <c r="L422" s="82">
        <f t="shared" si="31"/>
        <v>979.19999999999993</v>
      </c>
      <c r="M422" s="67" t="s">
        <v>1098</v>
      </c>
      <c r="N422" s="82"/>
      <c r="O422" s="82">
        <f t="shared" si="28"/>
        <v>1000</v>
      </c>
      <c r="P422" s="82">
        <f t="shared" si="29"/>
        <v>979.19999999999993</v>
      </c>
      <c r="Q422" s="67" t="s">
        <v>194</v>
      </c>
      <c r="R422" s="82"/>
      <c r="S422" s="67"/>
      <c r="T422" s="82">
        <v>96</v>
      </c>
      <c r="U422" s="67"/>
      <c r="V422" s="82"/>
      <c r="W422" s="82"/>
      <c r="X422" s="82"/>
      <c r="Y422" s="68" t="s">
        <v>1071</v>
      </c>
      <c r="Z422" s="82"/>
      <c r="AA422" s="18">
        <v>44348</v>
      </c>
      <c r="AB422" s="74"/>
      <c r="AC422" s="75"/>
      <c r="AD422" s="70" t="s">
        <v>1</v>
      </c>
    </row>
    <row r="423" spans="1:30" s="76" customFormat="1" ht="37.5">
      <c r="A423" s="82">
        <f>+SUBTOTAL(3,$B$7:B423)</f>
        <v>417</v>
      </c>
      <c r="B423" s="82" t="s">
        <v>444</v>
      </c>
      <c r="C423" s="82" t="s">
        <v>111</v>
      </c>
      <c r="D423" s="66" t="s">
        <v>212</v>
      </c>
      <c r="E423" s="82">
        <v>1</v>
      </c>
      <c r="F423" s="67" t="s">
        <v>1884</v>
      </c>
      <c r="G423" s="66" t="s">
        <v>1100</v>
      </c>
      <c r="H423" s="66" t="s">
        <v>274</v>
      </c>
      <c r="I423" s="66" t="s">
        <v>9</v>
      </c>
      <c r="J423" s="82" t="s">
        <v>37</v>
      </c>
      <c r="K423" s="67">
        <v>1450</v>
      </c>
      <c r="L423" s="82">
        <f t="shared" si="31"/>
        <v>0</v>
      </c>
      <c r="M423" s="67" t="s">
        <v>1098</v>
      </c>
      <c r="N423" s="82"/>
      <c r="O423" s="82">
        <f t="shared" si="28"/>
        <v>1000</v>
      </c>
      <c r="P423" s="82">
        <f t="shared" si="29"/>
        <v>0</v>
      </c>
      <c r="Q423" s="67" t="s">
        <v>194</v>
      </c>
      <c r="R423" s="82"/>
      <c r="S423" s="67"/>
      <c r="T423" s="82"/>
      <c r="U423" s="67"/>
      <c r="V423" s="82"/>
      <c r="W423" s="82"/>
      <c r="X423" s="82"/>
      <c r="Y423" s="68" t="s">
        <v>1071</v>
      </c>
      <c r="Z423" s="82"/>
      <c r="AA423" s="18">
        <v>44348</v>
      </c>
      <c r="AB423" s="74"/>
      <c r="AC423" s="75"/>
      <c r="AD423" s="70" t="s">
        <v>1</v>
      </c>
    </row>
    <row r="424" spans="1:30" s="76" customFormat="1" ht="56.25">
      <c r="A424" s="82">
        <f>+SUBTOTAL(3,$B$7:B424)</f>
        <v>418</v>
      </c>
      <c r="B424" s="82" t="s">
        <v>444</v>
      </c>
      <c r="C424" s="82" t="s">
        <v>111</v>
      </c>
      <c r="D424" s="66" t="s">
        <v>212</v>
      </c>
      <c r="E424" s="82">
        <v>1</v>
      </c>
      <c r="F424" s="67" t="s">
        <v>1885</v>
      </c>
      <c r="G424" s="66" t="s">
        <v>1101</v>
      </c>
      <c r="H424" s="66" t="s">
        <v>274</v>
      </c>
      <c r="I424" s="66" t="s">
        <v>9</v>
      </c>
      <c r="J424" s="82" t="s">
        <v>37</v>
      </c>
      <c r="K424" s="67">
        <v>1450</v>
      </c>
      <c r="L424" s="82">
        <f t="shared" si="31"/>
        <v>0</v>
      </c>
      <c r="M424" s="67" t="s">
        <v>1098</v>
      </c>
      <c r="N424" s="82"/>
      <c r="O424" s="82">
        <f t="shared" si="28"/>
        <v>1000</v>
      </c>
      <c r="P424" s="82">
        <f t="shared" si="29"/>
        <v>0</v>
      </c>
      <c r="Q424" s="67" t="s">
        <v>194</v>
      </c>
      <c r="R424" s="82"/>
      <c r="S424" s="67"/>
      <c r="T424" s="82"/>
      <c r="U424" s="67"/>
      <c r="V424" s="82"/>
      <c r="W424" s="82"/>
      <c r="X424" s="82"/>
      <c r="Y424" s="68" t="s">
        <v>1071</v>
      </c>
      <c r="Z424" s="82"/>
      <c r="AA424" s="18">
        <v>44348</v>
      </c>
      <c r="AB424" s="74"/>
      <c r="AC424" s="75"/>
      <c r="AD424" s="70" t="s">
        <v>1</v>
      </c>
    </row>
    <row r="425" spans="1:30" s="76" customFormat="1" ht="37.5">
      <c r="A425" s="82">
        <f>+SUBTOTAL(3,$B$7:B425)</f>
        <v>419</v>
      </c>
      <c r="B425" s="82" t="s">
        <v>444</v>
      </c>
      <c r="C425" s="82" t="s">
        <v>111</v>
      </c>
      <c r="D425" s="66" t="s">
        <v>212</v>
      </c>
      <c r="E425" s="82">
        <v>1</v>
      </c>
      <c r="F425" s="67" t="s">
        <v>1882</v>
      </c>
      <c r="G425" s="66" t="s">
        <v>1102</v>
      </c>
      <c r="H425" s="66" t="s">
        <v>274</v>
      </c>
      <c r="I425" s="66" t="s">
        <v>9</v>
      </c>
      <c r="J425" s="82" t="s">
        <v>37</v>
      </c>
      <c r="K425" s="67">
        <v>1450</v>
      </c>
      <c r="L425" s="82">
        <f t="shared" si="31"/>
        <v>96</v>
      </c>
      <c r="M425" s="67" t="s">
        <v>1098</v>
      </c>
      <c r="N425" s="82"/>
      <c r="O425" s="82">
        <f t="shared" si="28"/>
        <v>1000</v>
      </c>
      <c r="P425" s="82">
        <f t="shared" si="29"/>
        <v>96</v>
      </c>
      <c r="Q425" s="67" t="s">
        <v>194</v>
      </c>
      <c r="R425" s="82">
        <v>96</v>
      </c>
      <c r="S425" s="67"/>
      <c r="T425" s="82"/>
      <c r="U425" s="67"/>
      <c r="V425" s="82"/>
      <c r="W425" s="82"/>
      <c r="X425" s="82"/>
      <c r="Y425" s="68" t="s">
        <v>1071</v>
      </c>
      <c r="Z425" s="82"/>
      <c r="AA425" s="18">
        <v>44348</v>
      </c>
      <c r="AB425" s="74"/>
      <c r="AC425" s="75"/>
      <c r="AD425" s="70" t="s">
        <v>1</v>
      </c>
    </row>
    <row r="426" spans="1:30" s="76" customFormat="1" ht="37.5">
      <c r="A426" s="82">
        <f>+SUBTOTAL(3,$B$7:B426)</f>
        <v>420</v>
      </c>
      <c r="B426" s="82" t="s">
        <v>444</v>
      </c>
      <c r="C426" s="82" t="s">
        <v>111</v>
      </c>
      <c r="D426" s="66" t="s">
        <v>212</v>
      </c>
      <c r="E426" s="82">
        <v>1</v>
      </c>
      <c r="F426" s="67" t="s">
        <v>1886</v>
      </c>
      <c r="G426" s="66" t="s">
        <v>1103</v>
      </c>
      <c r="H426" s="66" t="s">
        <v>274</v>
      </c>
      <c r="I426" s="66" t="s">
        <v>9</v>
      </c>
      <c r="J426" s="82" t="s">
        <v>37</v>
      </c>
      <c r="K426" s="67">
        <v>1450</v>
      </c>
      <c r="L426" s="82">
        <f t="shared" si="31"/>
        <v>770</v>
      </c>
      <c r="M426" s="67" t="s">
        <v>1098</v>
      </c>
      <c r="N426" s="82"/>
      <c r="O426" s="82">
        <f t="shared" si="28"/>
        <v>1000</v>
      </c>
      <c r="P426" s="82">
        <f t="shared" si="29"/>
        <v>770</v>
      </c>
      <c r="Q426" s="67" t="s">
        <v>194</v>
      </c>
      <c r="R426" s="82">
        <v>770</v>
      </c>
      <c r="S426" s="67"/>
      <c r="T426" s="82"/>
      <c r="U426" s="67"/>
      <c r="V426" s="82"/>
      <c r="W426" s="82"/>
      <c r="X426" s="82"/>
      <c r="Y426" s="68" t="s">
        <v>1071</v>
      </c>
      <c r="Z426" s="82"/>
      <c r="AA426" s="18">
        <v>44348</v>
      </c>
      <c r="AB426" s="74"/>
      <c r="AC426" s="75"/>
      <c r="AD426" s="70" t="s">
        <v>1</v>
      </c>
    </row>
    <row r="427" spans="1:30" s="76" customFormat="1" ht="37.5">
      <c r="A427" s="82">
        <f>+SUBTOTAL(3,$B$7:B427)</f>
        <v>421</v>
      </c>
      <c r="B427" s="82" t="s">
        <v>444</v>
      </c>
      <c r="C427" s="82" t="s">
        <v>111</v>
      </c>
      <c r="D427" s="66" t="s">
        <v>212</v>
      </c>
      <c r="E427" s="82">
        <v>1</v>
      </c>
      <c r="F427" s="67" t="s">
        <v>1887</v>
      </c>
      <c r="G427" s="66" t="s">
        <v>1104</v>
      </c>
      <c r="H427" s="66" t="s">
        <v>274</v>
      </c>
      <c r="I427" s="66" t="s">
        <v>9</v>
      </c>
      <c r="J427" s="82" t="s">
        <v>37</v>
      </c>
      <c r="K427" s="67">
        <v>1450</v>
      </c>
      <c r="L427" s="82">
        <f t="shared" si="31"/>
        <v>917.99999999999989</v>
      </c>
      <c r="M427" s="67" t="s">
        <v>1098</v>
      </c>
      <c r="N427" s="82"/>
      <c r="O427" s="82">
        <f t="shared" si="28"/>
        <v>1000</v>
      </c>
      <c r="P427" s="82">
        <f t="shared" si="29"/>
        <v>917.99999999999989</v>
      </c>
      <c r="Q427" s="67" t="s">
        <v>194</v>
      </c>
      <c r="R427" s="82"/>
      <c r="S427" s="67"/>
      <c r="T427" s="82">
        <v>90</v>
      </c>
      <c r="U427" s="67"/>
      <c r="V427" s="82"/>
      <c r="W427" s="82"/>
      <c r="X427" s="82"/>
      <c r="Y427" s="68" t="s">
        <v>1071</v>
      </c>
      <c r="Z427" s="82"/>
      <c r="AA427" s="18">
        <v>44348</v>
      </c>
      <c r="AB427" s="74"/>
      <c r="AC427" s="75"/>
      <c r="AD427" s="70" t="s">
        <v>1</v>
      </c>
    </row>
    <row r="428" spans="1:30" s="76" customFormat="1" ht="56.25">
      <c r="A428" s="82">
        <f>+SUBTOTAL(3,$B$7:B428)</f>
        <v>422</v>
      </c>
      <c r="B428" s="82" t="s">
        <v>444</v>
      </c>
      <c r="C428" s="82" t="s">
        <v>111</v>
      </c>
      <c r="D428" s="66" t="s">
        <v>212</v>
      </c>
      <c r="E428" s="82">
        <v>2</v>
      </c>
      <c r="F428" s="67" t="s">
        <v>1851</v>
      </c>
      <c r="G428" s="66" t="s">
        <v>1105</v>
      </c>
      <c r="H428" s="66" t="s">
        <v>1106</v>
      </c>
      <c r="I428" s="66" t="s">
        <v>9</v>
      </c>
      <c r="J428" s="82" t="s">
        <v>39</v>
      </c>
      <c r="K428" s="67">
        <v>4000</v>
      </c>
      <c r="L428" s="82">
        <f t="shared" si="31"/>
        <v>4000</v>
      </c>
      <c r="M428" s="67">
        <v>3000</v>
      </c>
      <c r="N428" s="82">
        <v>3000</v>
      </c>
      <c r="O428" s="82">
        <f t="shared" si="28"/>
        <v>1000</v>
      </c>
      <c r="P428" s="82">
        <f t="shared" si="29"/>
        <v>1000</v>
      </c>
      <c r="Q428" s="67">
        <v>1000</v>
      </c>
      <c r="R428" s="82">
        <v>1000</v>
      </c>
      <c r="S428" s="67"/>
      <c r="T428" s="82"/>
      <c r="U428" s="67"/>
      <c r="V428" s="82"/>
      <c r="W428" s="82"/>
      <c r="X428" s="82"/>
      <c r="Y428" s="68">
        <v>12</v>
      </c>
      <c r="Z428" s="82">
        <v>12</v>
      </c>
      <c r="AA428" s="18">
        <v>44256</v>
      </c>
      <c r="AB428" s="74">
        <v>44235</v>
      </c>
      <c r="AC428" s="75" t="s">
        <v>2103</v>
      </c>
      <c r="AD428" s="70" t="s">
        <v>543</v>
      </c>
    </row>
    <row r="429" spans="1:30" s="76" customFormat="1" ht="37.5">
      <c r="A429" s="82">
        <f>+SUBTOTAL(3,$B$7:B429)</f>
        <v>423</v>
      </c>
      <c r="B429" s="82" t="s">
        <v>444</v>
      </c>
      <c r="C429" s="82" t="s">
        <v>111</v>
      </c>
      <c r="D429" s="66" t="s">
        <v>212</v>
      </c>
      <c r="E429" s="82">
        <v>1</v>
      </c>
      <c r="F429" s="67" t="s">
        <v>1888</v>
      </c>
      <c r="G429" s="66" t="s">
        <v>1107</v>
      </c>
      <c r="H429" s="66" t="s">
        <v>1108</v>
      </c>
      <c r="I429" s="66" t="s">
        <v>10</v>
      </c>
      <c r="J429" s="82" t="s">
        <v>58</v>
      </c>
      <c r="K429" s="67">
        <v>16000</v>
      </c>
      <c r="L429" s="82">
        <f t="shared" si="31"/>
        <v>16000</v>
      </c>
      <c r="M429" s="67">
        <v>7000</v>
      </c>
      <c r="N429" s="82">
        <v>12600</v>
      </c>
      <c r="O429" s="82">
        <f t="shared" si="28"/>
        <v>9000</v>
      </c>
      <c r="P429" s="82">
        <f t="shared" si="29"/>
        <v>3400</v>
      </c>
      <c r="Q429" s="67">
        <v>9000</v>
      </c>
      <c r="R429" s="82">
        <v>3400</v>
      </c>
      <c r="S429" s="67"/>
      <c r="T429" s="82"/>
      <c r="U429" s="67"/>
      <c r="V429" s="82"/>
      <c r="W429" s="82"/>
      <c r="X429" s="82"/>
      <c r="Y429" s="68">
        <v>24</v>
      </c>
      <c r="Z429" s="82">
        <v>24</v>
      </c>
      <c r="AA429" s="18">
        <v>44256</v>
      </c>
      <c r="AB429" s="74">
        <v>44236</v>
      </c>
      <c r="AC429" s="75" t="s">
        <v>2003</v>
      </c>
      <c r="AD429" s="70" t="s">
        <v>543</v>
      </c>
    </row>
    <row r="430" spans="1:30" s="76" customFormat="1" ht="37.5">
      <c r="A430" s="82">
        <f>+SUBTOTAL(3,$B$7:B430)</f>
        <v>424</v>
      </c>
      <c r="B430" s="82" t="s">
        <v>444</v>
      </c>
      <c r="C430" s="82" t="s">
        <v>111</v>
      </c>
      <c r="D430" s="66" t="s">
        <v>212</v>
      </c>
      <c r="E430" s="82">
        <v>1</v>
      </c>
      <c r="F430" s="67" t="s">
        <v>1889</v>
      </c>
      <c r="G430" s="66" t="s">
        <v>1109</v>
      </c>
      <c r="H430" s="66" t="s">
        <v>141</v>
      </c>
      <c r="I430" s="66" t="s">
        <v>9</v>
      </c>
      <c r="J430" s="82" t="s">
        <v>40</v>
      </c>
      <c r="K430" s="67">
        <v>850</v>
      </c>
      <c r="L430" s="82">
        <f t="shared" si="31"/>
        <v>90</v>
      </c>
      <c r="M430" s="67">
        <v>500</v>
      </c>
      <c r="N430" s="82"/>
      <c r="O430" s="82">
        <f t="shared" si="28"/>
        <v>350</v>
      </c>
      <c r="P430" s="82">
        <f t="shared" si="29"/>
        <v>90</v>
      </c>
      <c r="Q430" s="67">
        <v>350</v>
      </c>
      <c r="R430" s="82">
        <v>90</v>
      </c>
      <c r="S430" s="67"/>
      <c r="T430" s="82"/>
      <c r="U430" s="67"/>
      <c r="V430" s="82"/>
      <c r="W430" s="82"/>
      <c r="X430" s="82"/>
      <c r="Y430" s="68">
        <v>3</v>
      </c>
      <c r="Z430" s="82"/>
      <c r="AA430" s="69">
        <v>44317</v>
      </c>
      <c r="AB430" s="74"/>
      <c r="AC430" s="75"/>
      <c r="AD430" s="70" t="s">
        <v>3</v>
      </c>
    </row>
    <row r="431" spans="1:30" s="76" customFormat="1" ht="37.5">
      <c r="A431" s="82">
        <f>+SUBTOTAL(3,$B$7:B431)</f>
        <v>425</v>
      </c>
      <c r="B431" s="82" t="s">
        <v>444</v>
      </c>
      <c r="C431" s="82" t="s">
        <v>111</v>
      </c>
      <c r="D431" s="66" t="s">
        <v>212</v>
      </c>
      <c r="E431" s="82">
        <v>2</v>
      </c>
      <c r="F431" s="67" t="s">
        <v>1890</v>
      </c>
      <c r="G431" s="66" t="s">
        <v>1110</v>
      </c>
      <c r="H431" s="66" t="s">
        <v>131</v>
      </c>
      <c r="I431" s="66" t="s">
        <v>9</v>
      </c>
      <c r="J431" s="82" t="s">
        <v>37</v>
      </c>
      <c r="K431" s="67">
        <v>500</v>
      </c>
      <c r="L431" s="82">
        <f t="shared" si="31"/>
        <v>200</v>
      </c>
      <c r="M431" s="67">
        <v>300</v>
      </c>
      <c r="N431" s="82"/>
      <c r="O431" s="82">
        <f t="shared" si="28"/>
        <v>200</v>
      </c>
      <c r="P431" s="82">
        <f t="shared" si="29"/>
        <v>200</v>
      </c>
      <c r="Q431" s="67">
        <v>200</v>
      </c>
      <c r="R431" s="82">
        <v>200</v>
      </c>
      <c r="S431" s="67"/>
      <c r="T431" s="82"/>
      <c r="U431" s="67"/>
      <c r="V431" s="82"/>
      <c r="W431" s="82"/>
      <c r="X431" s="82"/>
      <c r="Y431" s="68">
        <v>5</v>
      </c>
      <c r="Z431" s="82"/>
      <c r="AA431" s="69">
        <v>44499</v>
      </c>
      <c r="AB431" s="74"/>
      <c r="AC431" s="75"/>
      <c r="AD431" s="70" t="s">
        <v>7</v>
      </c>
    </row>
    <row r="432" spans="1:30" s="76" customFormat="1" ht="37.5">
      <c r="A432" s="82">
        <f>+SUBTOTAL(3,$B$7:B432)</f>
        <v>426</v>
      </c>
      <c r="B432" s="82" t="s">
        <v>444</v>
      </c>
      <c r="C432" s="82" t="s">
        <v>111</v>
      </c>
      <c r="D432" s="66" t="s">
        <v>212</v>
      </c>
      <c r="E432" s="82">
        <v>1</v>
      </c>
      <c r="F432" s="67">
        <v>200487124</v>
      </c>
      <c r="G432" s="66" t="s">
        <v>1111</v>
      </c>
      <c r="H432" s="66" t="s">
        <v>1112</v>
      </c>
      <c r="I432" s="66" t="s">
        <v>10</v>
      </c>
      <c r="J432" s="82" t="s">
        <v>59</v>
      </c>
      <c r="K432" s="67">
        <v>2500</v>
      </c>
      <c r="L432" s="82">
        <f t="shared" si="31"/>
        <v>0</v>
      </c>
      <c r="M432" s="67">
        <v>300</v>
      </c>
      <c r="N432" s="82"/>
      <c r="O432" s="82">
        <f t="shared" si="28"/>
        <v>2200</v>
      </c>
      <c r="P432" s="82">
        <f t="shared" si="29"/>
        <v>0</v>
      </c>
      <c r="Q432" s="67">
        <v>2200</v>
      </c>
      <c r="R432" s="82"/>
      <c r="S432" s="67">
        <v>0</v>
      </c>
      <c r="T432" s="82"/>
      <c r="U432" s="67">
        <v>0</v>
      </c>
      <c r="V432" s="82"/>
      <c r="W432" s="82"/>
      <c r="X432" s="82"/>
      <c r="Y432" s="68">
        <v>10</v>
      </c>
      <c r="Z432" s="82"/>
      <c r="AA432" s="69">
        <v>44531</v>
      </c>
      <c r="AB432" s="74"/>
      <c r="AC432" s="75"/>
      <c r="AD432" s="70" t="s">
        <v>7</v>
      </c>
    </row>
    <row r="433" spans="1:30" s="76" customFormat="1" ht="37.5">
      <c r="A433" s="82">
        <f>+SUBTOTAL(3,$B$7:B433)</f>
        <v>427</v>
      </c>
      <c r="B433" s="82" t="s">
        <v>444</v>
      </c>
      <c r="C433" s="82" t="s">
        <v>111</v>
      </c>
      <c r="D433" s="66" t="s">
        <v>212</v>
      </c>
      <c r="E433" s="82">
        <v>1</v>
      </c>
      <c r="F433" s="67">
        <v>307185184</v>
      </c>
      <c r="G433" s="66" t="s">
        <v>1113</v>
      </c>
      <c r="H433" s="66" t="s">
        <v>161</v>
      </c>
      <c r="I433" s="66" t="s">
        <v>10</v>
      </c>
      <c r="J433" s="82" t="s">
        <v>66</v>
      </c>
      <c r="K433" s="67">
        <v>1100</v>
      </c>
      <c r="L433" s="82">
        <f t="shared" si="31"/>
        <v>800</v>
      </c>
      <c r="M433" s="67">
        <v>300</v>
      </c>
      <c r="N433" s="82"/>
      <c r="O433" s="82">
        <f t="shared" si="28"/>
        <v>800</v>
      </c>
      <c r="P433" s="82">
        <f t="shared" si="29"/>
        <v>800</v>
      </c>
      <c r="Q433" s="67">
        <v>800</v>
      </c>
      <c r="R433" s="82">
        <v>800</v>
      </c>
      <c r="S433" s="67"/>
      <c r="T433" s="82"/>
      <c r="U433" s="67"/>
      <c r="V433" s="82"/>
      <c r="W433" s="82"/>
      <c r="X433" s="82"/>
      <c r="Y433" s="68">
        <v>10</v>
      </c>
      <c r="Z433" s="82"/>
      <c r="AA433" s="18">
        <v>44520</v>
      </c>
      <c r="AB433" s="74"/>
      <c r="AC433" s="75"/>
      <c r="AD433" s="70" t="s">
        <v>7</v>
      </c>
    </row>
    <row r="434" spans="1:30" s="76" customFormat="1" ht="37.5">
      <c r="A434" s="82">
        <f>+SUBTOTAL(3,$B$7:B434)</f>
        <v>428</v>
      </c>
      <c r="B434" s="82" t="s">
        <v>444</v>
      </c>
      <c r="C434" s="82" t="s">
        <v>111</v>
      </c>
      <c r="D434" s="66" t="s">
        <v>212</v>
      </c>
      <c r="E434" s="82">
        <v>3</v>
      </c>
      <c r="F434" s="67">
        <v>306898072</v>
      </c>
      <c r="G434" s="66" t="s">
        <v>1114</v>
      </c>
      <c r="H434" s="66" t="s">
        <v>36</v>
      </c>
      <c r="I434" s="66" t="s">
        <v>9</v>
      </c>
      <c r="J434" s="82" t="s">
        <v>36</v>
      </c>
      <c r="K434" s="67">
        <v>520</v>
      </c>
      <c r="L434" s="82">
        <f t="shared" si="31"/>
        <v>520</v>
      </c>
      <c r="M434" s="67" t="s">
        <v>1115</v>
      </c>
      <c r="N434" s="82">
        <v>120</v>
      </c>
      <c r="O434" s="82">
        <f t="shared" si="28"/>
        <v>400</v>
      </c>
      <c r="P434" s="82">
        <f t="shared" si="29"/>
        <v>400</v>
      </c>
      <c r="Q434" s="67" t="s">
        <v>226</v>
      </c>
      <c r="R434" s="82">
        <v>400</v>
      </c>
      <c r="S434" s="67"/>
      <c r="T434" s="82"/>
      <c r="U434" s="67"/>
      <c r="V434" s="82"/>
      <c r="W434" s="82"/>
      <c r="X434" s="82"/>
      <c r="Y434" s="68" t="s">
        <v>157</v>
      </c>
      <c r="Z434" s="82">
        <v>3</v>
      </c>
      <c r="AA434" s="69">
        <v>44166</v>
      </c>
      <c r="AB434" s="74">
        <v>44165</v>
      </c>
      <c r="AC434" s="75" t="s">
        <v>2001</v>
      </c>
      <c r="AD434" s="70" t="s">
        <v>7</v>
      </c>
    </row>
    <row r="435" spans="1:30" s="76" customFormat="1" ht="37.5">
      <c r="A435" s="82">
        <f>+SUBTOTAL(3,$B$7:B435)</f>
        <v>429</v>
      </c>
      <c r="B435" s="82" t="s">
        <v>444</v>
      </c>
      <c r="C435" s="82" t="s">
        <v>111</v>
      </c>
      <c r="D435" s="66" t="s">
        <v>227</v>
      </c>
      <c r="E435" s="82">
        <v>1</v>
      </c>
      <c r="F435" s="67">
        <v>201465436</v>
      </c>
      <c r="G435" s="66" t="s">
        <v>230</v>
      </c>
      <c r="H435" s="66" t="s">
        <v>136</v>
      </c>
      <c r="I435" s="66" t="s">
        <v>9</v>
      </c>
      <c r="J435" s="82" t="s">
        <v>36</v>
      </c>
      <c r="K435" s="67">
        <v>24780</v>
      </c>
      <c r="L435" s="82">
        <f t="shared" si="31"/>
        <v>0</v>
      </c>
      <c r="M435" s="67">
        <v>10080</v>
      </c>
      <c r="N435" s="82"/>
      <c r="O435" s="82">
        <f t="shared" si="28"/>
        <v>14700</v>
      </c>
      <c r="P435" s="82">
        <f t="shared" si="29"/>
        <v>0</v>
      </c>
      <c r="Q435" s="67">
        <v>14700</v>
      </c>
      <c r="R435" s="82"/>
      <c r="S435" s="67">
        <v>0</v>
      </c>
      <c r="T435" s="82"/>
      <c r="U435" s="67">
        <v>0</v>
      </c>
      <c r="V435" s="82"/>
      <c r="W435" s="82"/>
      <c r="X435" s="82"/>
      <c r="Y435" s="68">
        <v>25</v>
      </c>
      <c r="Z435" s="82"/>
      <c r="AA435" s="69">
        <v>44560</v>
      </c>
      <c r="AB435" s="74"/>
      <c r="AC435" s="75"/>
      <c r="AD435" s="70" t="s">
        <v>445</v>
      </c>
    </row>
    <row r="436" spans="1:30" s="76" customFormat="1" ht="37.5">
      <c r="A436" s="82">
        <f>+SUBTOTAL(3,$B$7:B436)</f>
        <v>430</v>
      </c>
      <c r="B436" s="82" t="s">
        <v>444</v>
      </c>
      <c r="C436" s="82" t="s">
        <v>111</v>
      </c>
      <c r="D436" s="66" t="s">
        <v>227</v>
      </c>
      <c r="E436" s="82">
        <v>1</v>
      </c>
      <c r="F436" s="67">
        <v>201465436</v>
      </c>
      <c r="G436" s="66" t="s">
        <v>231</v>
      </c>
      <c r="H436" s="66" t="s">
        <v>136</v>
      </c>
      <c r="I436" s="66" t="s">
        <v>9</v>
      </c>
      <c r="J436" s="82" t="s">
        <v>36</v>
      </c>
      <c r="K436" s="67">
        <v>34860</v>
      </c>
      <c r="L436" s="82">
        <f t="shared" si="31"/>
        <v>0</v>
      </c>
      <c r="M436" s="67">
        <v>13860</v>
      </c>
      <c r="N436" s="82"/>
      <c r="O436" s="82">
        <f t="shared" si="28"/>
        <v>21000</v>
      </c>
      <c r="P436" s="82">
        <f t="shared" si="29"/>
        <v>0</v>
      </c>
      <c r="Q436" s="67">
        <v>21000</v>
      </c>
      <c r="R436" s="82"/>
      <c r="S436" s="67">
        <v>0</v>
      </c>
      <c r="T436" s="82"/>
      <c r="U436" s="67">
        <v>0</v>
      </c>
      <c r="V436" s="82"/>
      <c r="W436" s="82"/>
      <c r="X436" s="82"/>
      <c r="Y436" s="68">
        <v>70</v>
      </c>
      <c r="Z436" s="82"/>
      <c r="AA436" s="69">
        <v>44834</v>
      </c>
      <c r="AB436" s="74"/>
      <c r="AC436" s="75"/>
      <c r="AD436" s="70" t="s">
        <v>445</v>
      </c>
    </row>
    <row r="437" spans="1:30" s="76" customFormat="1" ht="37.5">
      <c r="A437" s="82">
        <f>+SUBTOTAL(3,$B$7:B437)</f>
        <v>431</v>
      </c>
      <c r="B437" s="82" t="s">
        <v>444</v>
      </c>
      <c r="C437" s="82" t="s">
        <v>111</v>
      </c>
      <c r="D437" s="66" t="s">
        <v>227</v>
      </c>
      <c r="E437" s="82">
        <v>3</v>
      </c>
      <c r="F437" s="67">
        <v>305388914</v>
      </c>
      <c r="G437" s="66" t="s">
        <v>232</v>
      </c>
      <c r="H437" s="66" t="s">
        <v>233</v>
      </c>
      <c r="I437" s="66" t="s">
        <v>10</v>
      </c>
      <c r="J437" s="82" t="s">
        <v>44</v>
      </c>
      <c r="K437" s="67">
        <v>2150</v>
      </c>
      <c r="L437" s="82">
        <f t="shared" si="31"/>
        <v>0</v>
      </c>
      <c r="M437" s="67">
        <v>950</v>
      </c>
      <c r="N437" s="82"/>
      <c r="O437" s="82">
        <f t="shared" si="28"/>
        <v>1200</v>
      </c>
      <c r="P437" s="82">
        <f t="shared" si="29"/>
        <v>0</v>
      </c>
      <c r="Q437" s="67">
        <v>1200</v>
      </c>
      <c r="R437" s="82"/>
      <c r="S437" s="67">
        <v>0</v>
      </c>
      <c r="T437" s="82"/>
      <c r="U437" s="67">
        <v>0</v>
      </c>
      <c r="V437" s="82"/>
      <c r="W437" s="82"/>
      <c r="X437" s="82"/>
      <c r="Y437" s="68">
        <v>4</v>
      </c>
      <c r="Z437" s="82"/>
      <c r="AA437" s="18">
        <v>44440</v>
      </c>
      <c r="AB437" s="74"/>
      <c r="AC437" s="75"/>
      <c r="AD437" s="70" t="s">
        <v>460</v>
      </c>
    </row>
    <row r="438" spans="1:30" s="76" customFormat="1" ht="75">
      <c r="A438" s="82">
        <f>+SUBTOTAL(3,$B$7:B438)</f>
        <v>432</v>
      </c>
      <c r="B438" s="82" t="s">
        <v>444</v>
      </c>
      <c r="C438" s="82" t="s">
        <v>111</v>
      </c>
      <c r="D438" s="66" t="s">
        <v>227</v>
      </c>
      <c r="E438" s="82">
        <v>2</v>
      </c>
      <c r="F438" s="67">
        <v>305008474</v>
      </c>
      <c r="G438" s="66" t="s">
        <v>234</v>
      </c>
      <c r="H438" s="66" t="s">
        <v>235</v>
      </c>
      <c r="I438" s="66" t="s">
        <v>10</v>
      </c>
      <c r="J438" s="82" t="s">
        <v>30</v>
      </c>
      <c r="K438" s="67">
        <v>1000</v>
      </c>
      <c r="L438" s="82">
        <f t="shared" si="31"/>
        <v>0</v>
      </c>
      <c r="M438" s="67">
        <v>1000</v>
      </c>
      <c r="N438" s="82"/>
      <c r="O438" s="82">
        <f t="shared" si="28"/>
        <v>0</v>
      </c>
      <c r="P438" s="82">
        <f t="shared" si="29"/>
        <v>0</v>
      </c>
      <c r="Q438" s="67"/>
      <c r="R438" s="82"/>
      <c r="S438" s="67"/>
      <c r="T438" s="82"/>
      <c r="U438" s="67">
        <v>0</v>
      </c>
      <c r="V438" s="82"/>
      <c r="W438" s="82"/>
      <c r="X438" s="82"/>
      <c r="Y438" s="68">
        <v>5</v>
      </c>
      <c r="Z438" s="82"/>
      <c r="AA438" s="69">
        <v>44256</v>
      </c>
      <c r="AB438" s="74"/>
      <c r="AC438" s="75"/>
      <c r="AD438" s="70" t="s">
        <v>453</v>
      </c>
    </row>
    <row r="439" spans="1:30" s="76" customFormat="1" ht="37.5">
      <c r="A439" s="82">
        <f>+SUBTOTAL(3,$B$7:B439)</f>
        <v>433</v>
      </c>
      <c r="B439" s="82" t="s">
        <v>444</v>
      </c>
      <c r="C439" s="82" t="s">
        <v>111</v>
      </c>
      <c r="D439" s="66" t="s">
        <v>227</v>
      </c>
      <c r="E439" s="82">
        <v>1</v>
      </c>
      <c r="F439" s="67">
        <v>306009741</v>
      </c>
      <c r="G439" s="66" t="s">
        <v>240</v>
      </c>
      <c r="H439" s="66" t="s">
        <v>236</v>
      </c>
      <c r="I439" s="66" t="s">
        <v>6</v>
      </c>
      <c r="J439" s="82" t="s">
        <v>12</v>
      </c>
      <c r="K439" s="67">
        <v>1200</v>
      </c>
      <c r="L439" s="82">
        <f t="shared" si="31"/>
        <v>0</v>
      </c>
      <c r="M439" s="67">
        <v>1200</v>
      </c>
      <c r="N439" s="82"/>
      <c r="O439" s="82">
        <f t="shared" si="28"/>
        <v>0</v>
      </c>
      <c r="P439" s="82">
        <f t="shared" si="29"/>
        <v>0</v>
      </c>
      <c r="Q439" s="67"/>
      <c r="R439" s="82"/>
      <c r="S439" s="67"/>
      <c r="T439" s="82"/>
      <c r="U439" s="67">
        <v>0</v>
      </c>
      <c r="V439" s="82"/>
      <c r="W439" s="82"/>
      <c r="X439" s="82"/>
      <c r="Y439" s="68">
        <v>6</v>
      </c>
      <c r="Z439" s="82"/>
      <c r="AA439" s="69">
        <v>44256</v>
      </c>
      <c r="AB439" s="74"/>
      <c r="AC439" s="75"/>
      <c r="AD439" s="70" t="s">
        <v>445</v>
      </c>
    </row>
    <row r="440" spans="1:30" s="76" customFormat="1" ht="37.5">
      <c r="A440" s="82">
        <f>+SUBTOTAL(3,$B$7:B440)</f>
        <v>434</v>
      </c>
      <c r="B440" s="82" t="s">
        <v>444</v>
      </c>
      <c r="C440" s="82" t="s">
        <v>111</v>
      </c>
      <c r="D440" s="66" t="s">
        <v>227</v>
      </c>
      <c r="E440" s="82">
        <v>4</v>
      </c>
      <c r="F440" s="67">
        <v>306733769</v>
      </c>
      <c r="G440" s="66" t="s">
        <v>1116</v>
      </c>
      <c r="H440" s="66" t="s">
        <v>1117</v>
      </c>
      <c r="I440" s="66" t="s">
        <v>10</v>
      </c>
      <c r="J440" s="82" t="s">
        <v>30</v>
      </c>
      <c r="K440" s="67">
        <v>500</v>
      </c>
      <c r="L440" s="82">
        <f t="shared" si="31"/>
        <v>0</v>
      </c>
      <c r="M440" s="67">
        <v>500</v>
      </c>
      <c r="N440" s="82"/>
      <c r="O440" s="82">
        <f t="shared" si="28"/>
        <v>0</v>
      </c>
      <c r="P440" s="82">
        <f t="shared" si="29"/>
        <v>0</v>
      </c>
      <c r="Q440" s="67"/>
      <c r="R440" s="82"/>
      <c r="S440" s="67"/>
      <c r="T440" s="82"/>
      <c r="U440" s="67"/>
      <c r="V440" s="82"/>
      <c r="W440" s="82"/>
      <c r="X440" s="82"/>
      <c r="Y440" s="68">
        <v>5</v>
      </c>
      <c r="Z440" s="82"/>
      <c r="AA440" s="69">
        <v>44256</v>
      </c>
      <c r="AB440" s="74"/>
      <c r="AC440" s="75"/>
      <c r="AD440" s="70" t="s">
        <v>445</v>
      </c>
    </row>
    <row r="441" spans="1:30" s="76" customFormat="1" ht="37.5">
      <c r="A441" s="82">
        <f>+SUBTOTAL(3,$B$7:B441)</f>
        <v>435</v>
      </c>
      <c r="B441" s="82" t="s">
        <v>444</v>
      </c>
      <c r="C441" s="82" t="s">
        <v>111</v>
      </c>
      <c r="D441" s="66" t="s">
        <v>227</v>
      </c>
      <c r="E441" s="82">
        <v>2</v>
      </c>
      <c r="F441" s="67">
        <v>303405196</v>
      </c>
      <c r="G441" s="66" t="s">
        <v>1118</v>
      </c>
      <c r="H441" s="66" t="s">
        <v>1119</v>
      </c>
      <c r="I441" s="66" t="s">
        <v>9</v>
      </c>
      <c r="J441" s="82" t="s">
        <v>36</v>
      </c>
      <c r="K441" s="67">
        <v>9400</v>
      </c>
      <c r="L441" s="82">
        <f t="shared" si="31"/>
        <v>0</v>
      </c>
      <c r="M441" s="67">
        <v>2200</v>
      </c>
      <c r="N441" s="82"/>
      <c r="O441" s="82">
        <f t="shared" si="28"/>
        <v>7200</v>
      </c>
      <c r="P441" s="82">
        <f t="shared" si="29"/>
        <v>0</v>
      </c>
      <c r="Q441" s="67">
        <v>7200</v>
      </c>
      <c r="R441" s="82"/>
      <c r="S441" s="67"/>
      <c r="T441" s="82"/>
      <c r="U441" s="67"/>
      <c r="V441" s="82"/>
      <c r="W441" s="82"/>
      <c r="X441" s="82"/>
      <c r="Y441" s="68">
        <v>20</v>
      </c>
      <c r="Z441" s="82"/>
      <c r="AA441" s="18">
        <v>44531</v>
      </c>
      <c r="AB441" s="74"/>
      <c r="AC441" s="75"/>
      <c r="AD441" s="70" t="s">
        <v>445</v>
      </c>
    </row>
    <row r="442" spans="1:30" s="76" customFormat="1" ht="37.5">
      <c r="A442" s="82">
        <f>+SUBTOTAL(3,$B$7:B442)</f>
        <v>436</v>
      </c>
      <c r="B442" s="82" t="s">
        <v>444</v>
      </c>
      <c r="C442" s="82" t="s">
        <v>111</v>
      </c>
      <c r="D442" s="66" t="s">
        <v>227</v>
      </c>
      <c r="E442" s="82">
        <v>1</v>
      </c>
      <c r="F442" s="67">
        <v>205964912</v>
      </c>
      <c r="G442" s="66" t="s">
        <v>1120</v>
      </c>
      <c r="H442" s="66" t="s">
        <v>1119</v>
      </c>
      <c r="I442" s="66" t="s">
        <v>9</v>
      </c>
      <c r="J442" s="82" t="s">
        <v>36</v>
      </c>
      <c r="K442" s="67">
        <v>6444</v>
      </c>
      <c r="L442" s="82">
        <f t="shared" ref="L442:L466" si="32">+N442+R442+T442*10.2+V442*10.2</f>
        <v>2343</v>
      </c>
      <c r="M442" s="67">
        <v>1500</v>
      </c>
      <c r="N442" s="82"/>
      <c r="O442" s="82">
        <f t="shared" si="28"/>
        <v>4896</v>
      </c>
      <c r="P442" s="82">
        <f t="shared" si="29"/>
        <v>2343</v>
      </c>
      <c r="Q442" s="67"/>
      <c r="R442" s="82">
        <v>2343</v>
      </c>
      <c r="S442" s="67">
        <v>480</v>
      </c>
      <c r="T442" s="82"/>
      <c r="U442" s="67"/>
      <c r="V442" s="82"/>
      <c r="W442" s="82"/>
      <c r="X442" s="82"/>
      <c r="Y442" s="68">
        <v>15</v>
      </c>
      <c r="Z442" s="82"/>
      <c r="AA442" s="18">
        <v>44531</v>
      </c>
      <c r="AB442" s="74"/>
      <c r="AC442" s="75"/>
      <c r="AD442" s="70" t="s">
        <v>445</v>
      </c>
    </row>
    <row r="443" spans="1:30" s="76" customFormat="1" ht="37.5">
      <c r="A443" s="82">
        <f>+SUBTOTAL(3,$B$7:B443)</f>
        <v>437</v>
      </c>
      <c r="B443" s="82" t="s">
        <v>444</v>
      </c>
      <c r="C443" s="82" t="s">
        <v>111</v>
      </c>
      <c r="D443" s="66" t="s">
        <v>227</v>
      </c>
      <c r="E443" s="82">
        <v>3</v>
      </c>
      <c r="F443" s="67">
        <v>304610622</v>
      </c>
      <c r="G443" s="66" t="s">
        <v>1121</v>
      </c>
      <c r="H443" s="66" t="s">
        <v>1119</v>
      </c>
      <c r="I443" s="66" t="s">
        <v>9</v>
      </c>
      <c r="J443" s="82" t="s">
        <v>36</v>
      </c>
      <c r="K443" s="67">
        <v>1530</v>
      </c>
      <c r="L443" s="82">
        <f t="shared" si="32"/>
        <v>0</v>
      </c>
      <c r="M443" s="67">
        <v>500</v>
      </c>
      <c r="N443" s="82"/>
      <c r="O443" s="82">
        <f t="shared" si="28"/>
        <v>1019.9999999999999</v>
      </c>
      <c r="P443" s="82">
        <f t="shared" si="29"/>
        <v>0</v>
      </c>
      <c r="Q443" s="67"/>
      <c r="R443" s="82"/>
      <c r="S443" s="67">
        <v>100</v>
      </c>
      <c r="T443" s="82"/>
      <c r="U443" s="67"/>
      <c r="V443" s="82"/>
      <c r="W443" s="82"/>
      <c r="X443" s="82"/>
      <c r="Y443" s="68">
        <v>8</v>
      </c>
      <c r="Z443" s="82"/>
      <c r="AA443" s="18">
        <v>44501</v>
      </c>
      <c r="AB443" s="74"/>
      <c r="AC443" s="75"/>
      <c r="AD443" s="70" t="s">
        <v>445</v>
      </c>
    </row>
    <row r="444" spans="1:30" s="76" customFormat="1" ht="37.5">
      <c r="A444" s="82">
        <f>+SUBTOTAL(3,$B$7:B444)</f>
        <v>438</v>
      </c>
      <c r="B444" s="82" t="s">
        <v>444</v>
      </c>
      <c r="C444" s="82" t="s">
        <v>111</v>
      </c>
      <c r="D444" s="66" t="s">
        <v>227</v>
      </c>
      <c r="E444" s="82">
        <v>1</v>
      </c>
      <c r="F444" s="67">
        <v>305869504</v>
      </c>
      <c r="G444" s="66" t="s">
        <v>1122</v>
      </c>
      <c r="H444" s="66" t="s">
        <v>1123</v>
      </c>
      <c r="I444" s="66" t="s">
        <v>9</v>
      </c>
      <c r="J444" s="82" t="s">
        <v>39</v>
      </c>
      <c r="K444" s="67">
        <v>2000</v>
      </c>
      <c r="L444" s="82">
        <f t="shared" si="32"/>
        <v>0</v>
      </c>
      <c r="M444" s="67">
        <v>500</v>
      </c>
      <c r="N444" s="82"/>
      <c r="O444" s="82">
        <f t="shared" si="28"/>
        <v>1500</v>
      </c>
      <c r="P444" s="82">
        <f t="shared" si="29"/>
        <v>0</v>
      </c>
      <c r="Q444" s="67">
        <v>1500</v>
      </c>
      <c r="R444" s="82"/>
      <c r="S444" s="67"/>
      <c r="T444" s="82"/>
      <c r="U444" s="67"/>
      <c r="V444" s="82"/>
      <c r="W444" s="82"/>
      <c r="X444" s="82"/>
      <c r="Y444" s="68">
        <v>12</v>
      </c>
      <c r="Z444" s="82"/>
      <c r="AA444" s="69">
        <v>44531</v>
      </c>
      <c r="AB444" s="74"/>
      <c r="AC444" s="75"/>
      <c r="AD444" s="70" t="s">
        <v>543</v>
      </c>
    </row>
    <row r="445" spans="1:30" s="76" customFormat="1" ht="37.5">
      <c r="A445" s="82">
        <f>+SUBTOTAL(3,$B$7:B445)</f>
        <v>439</v>
      </c>
      <c r="B445" s="82" t="s">
        <v>444</v>
      </c>
      <c r="C445" s="82" t="s">
        <v>111</v>
      </c>
      <c r="D445" s="66" t="s">
        <v>227</v>
      </c>
      <c r="E445" s="82">
        <v>1</v>
      </c>
      <c r="F445" s="67">
        <v>307358351</v>
      </c>
      <c r="G445" s="66" t="s">
        <v>1124</v>
      </c>
      <c r="H445" s="66" t="s">
        <v>1125</v>
      </c>
      <c r="I445" s="66" t="s">
        <v>6</v>
      </c>
      <c r="J445" s="82" t="s">
        <v>13</v>
      </c>
      <c r="K445" s="67">
        <v>400</v>
      </c>
      <c r="L445" s="82">
        <f t="shared" si="32"/>
        <v>380</v>
      </c>
      <c r="M445" s="67">
        <v>300</v>
      </c>
      <c r="N445" s="82">
        <v>300</v>
      </c>
      <c r="O445" s="82">
        <f t="shared" si="28"/>
        <v>100</v>
      </c>
      <c r="P445" s="82">
        <f t="shared" si="29"/>
        <v>80</v>
      </c>
      <c r="Q445" s="67">
        <v>100</v>
      </c>
      <c r="R445" s="82">
        <v>80</v>
      </c>
      <c r="S445" s="67"/>
      <c r="T445" s="82"/>
      <c r="U445" s="67"/>
      <c r="V445" s="82"/>
      <c r="W445" s="82"/>
      <c r="X445" s="82"/>
      <c r="Y445" s="68">
        <v>4</v>
      </c>
      <c r="Z445" s="82">
        <v>2</v>
      </c>
      <c r="AA445" s="69">
        <v>44166</v>
      </c>
      <c r="AB445" s="74">
        <v>44141</v>
      </c>
      <c r="AC445" s="75" t="s">
        <v>1989</v>
      </c>
      <c r="AD445" s="70" t="s">
        <v>453</v>
      </c>
    </row>
    <row r="446" spans="1:30" s="76" customFormat="1" ht="37.5">
      <c r="A446" s="82">
        <f>+SUBTOTAL(3,$B$7:B446)</f>
        <v>440</v>
      </c>
      <c r="B446" s="82" t="s">
        <v>444</v>
      </c>
      <c r="C446" s="82" t="s">
        <v>111</v>
      </c>
      <c r="D446" s="66" t="s">
        <v>227</v>
      </c>
      <c r="E446" s="82">
        <v>4</v>
      </c>
      <c r="F446" s="67">
        <v>205311521</v>
      </c>
      <c r="G446" s="66" t="s">
        <v>1126</v>
      </c>
      <c r="H446" s="66" t="s">
        <v>1127</v>
      </c>
      <c r="I446" s="64" t="s">
        <v>6</v>
      </c>
      <c r="J446" s="82" t="s">
        <v>13</v>
      </c>
      <c r="K446" s="67">
        <v>500</v>
      </c>
      <c r="L446" s="82">
        <f t="shared" si="32"/>
        <v>500</v>
      </c>
      <c r="M446" s="67">
        <v>300</v>
      </c>
      <c r="N446" s="82">
        <v>375</v>
      </c>
      <c r="O446" s="82">
        <f t="shared" si="28"/>
        <v>200</v>
      </c>
      <c r="P446" s="82">
        <f t="shared" si="29"/>
        <v>125</v>
      </c>
      <c r="Q446" s="67">
        <v>200</v>
      </c>
      <c r="R446" s="82">
        <v>125</v>
      </c>
      <c r="S446" s="67"/>
      <c r="T446" s="82"/>
      <c r="U446" s="67"/>
      <c r="V446" s="82"/>
      <c r="W446" s="82"/>
      <c r="X446" s="82"/>
      <c r="Y446" s="68">
        <v>10</v>
      </c>
      <c r="Z446" s="82">
        <v>4</v>
      </c>
      <c r="AA446" s="69">
        <v>44166</v>
      </c>
      <c r="AB446" s="74">
        <v>44142</v>
      </c>
      <c r="AC446" s="75" t="s">
        <v>2014</v>
      </c>
      <c r="AD446" s="70" t="s">
        <v>453</v>
      </c>
    </row>
    <row r="447" spans="1:30" s="76" customFormat="1" ht="37.5">
      <c r="A447" s="82">
        <f>+SUBTOTAL(3,$B$7:B447)</f>
        <v>441</v>
      </c>
      <c r="B447" s="82" t="s">
        <v>444</v>
      </c>
      <c r="C447" s="82" t="s">
        <v>111</v>
      </c>
      <c r="D447" s="66" t="s">
        <v>227</v>
      </c>
      <c r="E447" s="82">
        <v>1</v>
      </c>
      <c r="F447" s="67">
        <v>305869504</v>
      </c>
      <c r="G447" s="66" t="s">
        <v>1122</v>
      </c>
      <c r="H447" s="66" t="s">
        <v>1128</v>
      </c>
      <c r="I447" s="66" t="s">
        <v>6</v>
      </c>
      <c r="J447" s="82" t="s">
        <v>12</v>
      </c>
      <c r="K447" s="67">
        <v>980</v>
      </c>
      <c r="L447" s="82">
        <f t="shared" si="32"/>
        <v>0</v>
      </c>
      <c r="M447" s="67">
        <v>980</v>
      </c>
      <c r="N447" s="82"/>
      <c r="O447" s="82">
        <f t="shared" si="28"/>
        <v>0</v>
      </c>
      <c r="P447" s="82">
        <f t="shared" si="29"/>
        <v>0</v>
      </c>
      <c r="Q447" s="67"/>
      <c r="R447" s="82"/>
      <c r="S447" s="67"/>
      <c r="T447" s="82"/>
      <c r="U447" s="67"/>
      <c r="V447" s="82"/>
      <c r="W447" s="82"/>
      <c r="X447" s="82"/>
      <c r="Y447" s="68">
        <v>12</v>
      </c>
      <c r="Z447" s="82"/>
      <c r="AA447" s="69">
        <v>44531</v>
      </c>
      <c r="AB447" s="74"/>
      <c r="AC447" s="75"/>
      <c r="AD447" s="70" t="s">
        <v>543</v>
      </c>
    </row>
    <row r="448" spans="1:30" s="76" customFormat="1" ht="37.5">
      <c r="A448" s="82">
        <f>+SUBTOTAL(3,$B$7:B448)</f>
        <v>442</v>
      </c>
      <c r="B448" s="82" t="s">
        <v>444</v>
      </c>
      <c r="C448" s="82" t="s">
        <v>111</v>
      </c>
      <c r="D448" s="66" t="s">
        <v>227</v>
      </c>
      <c r="E448" s="82">
        <v>4</v>
      </c>
      <c r="F448" s="67">
        <v>301925073</v>
      </c>
      <c r="G448" s="66" t="s">
        <v>1129</v>
      </c>
      <c r="H448" s="66" t="s">
        <v>1130</v>
      </c>
      <c r="I448" s="66" t="s">
        <v>10</v>
      </c>
      <c r="J448" s="82" t="s">
        <v>30</v>
      </c>
      <c r="K448" s="67">
        <v>250</v>
      </c>
      <c r="L448" s="82">
        <f t="shared" si="32"/>
        <v>0</v>
      </c>
      <c r="M448" s="67">
        <v>100</v>
      </c>
      <c r="N448" s="82"/>
      <c r="O448" s="82">
        <f t="shared" si="28"/>
        <v>150</v>
      </c>
      <c r="P448" s="82">
        <f t="shared" si="29"/>
        <v>0</v>
      </c>
      <c r="Q448" s="67">
        <v>150</v>
      </c>
      <c r="R448" s="82"/>
      <c r="S448" s="67"/>
      <c r="T448" s="82"/>
      <c r="U448" s="67"/>
      <c r="V448" s="82"/>
      <c r="W448" s="82"/>
      <c r="X448" s="82"/>
      <c r="Y448" s="68">
        <v>6</v>
      </c>
      <c r="Z448" s="82"/>
      <c r="AA448" s="18">
        <v>44256</v>
      </c>
      <c r="AB448" s="74"/>
      <c r="AC448" s="75"/>
      <c r="AD448" s="70" t="s">
        <v>8</v>
      </c>
    </row>
    <row r="449" spans="1:30" s="76" customFormat="1" ht="37.5">
      <c r="A449" s="82">
        <f>+SUBTOTAL(3,$B$7:B449)</f>
        <v>443</v>
      </c>
      <c r="B449" s="82" t="s">
        <v>444</v>
      </c>
      <c r="C449" s="82" t="s">
        <v>111</v>
      </c>
      <c r="D449" s="66" t="s">
        <v>227</v>
      </c>
      <c r="E449" s="82">
        <v>1</v>
      </c>
      <c r="F449" s="67">
        <v>304520995</v>
      </c>
      <c r="G449" s="66" t="s">
        <v>1782</v>
      </c>
      <c r="H449" s="66" t="s">
        <v>1131</v>
      </c>
      <c r="I449" s="66" t="s">
        <v>10</v>
      </c>
      <c r="J449" s="82" t="s">
        <v>59</v>
      </c>
      <c r="K449" s="67">
        <v>1400</v>
      </c>
      <c r="L449" s="82">
        <f t="shared" si="32"/>
        <v>1000</v>
      </c>
      <c r="M449" s="67">
        <v>400</v>
      </c>
      <c r="N449" s="82">
        <v>700</v>
      </c>
      <c r="O449" s="82">
        <f t="shared" si="28"/>
        <v>1000</v>
      </c>
      <c r="P449" s="82">
        <f t="shared" si="29"/>
        <v>300</v>
      </c>
      <c r="Q449" s="67">
        <v>1000</v>
      </c>
      <c r="R449" s="82">
        <v>300</v>
      </c>
      <c r="S449" s="67"/>
      <c r="T449" s="82"/>
      <c r="U449" s="67"/>
      <c r="V449" s="82"/>
      <c r="W449" s="82"/>
      <c r="X449" s="82"/>
      <c r="Y449" s="68">
        <v>8</v>
      </c>
      <c r="Z449" s="82">
        <v>4</v>
      </c>
      <c r="AA449" s="18">
        <v>44256</v>
      </c>
      <c r="AB449" s="74">
        <v>44216</v>
      </c>
      <c r="AC449" s="75" t="s">
        <v>1909</v>
      </c>
      <c r="AD449" s="70" t="s">
        <v>453</v>
      </c>
    </row>
    <row r="450" spans="1:30" s="76" customFormat="1" ht="37.5">
      <c r="A450" s="82">
        <f>+SUBTOTAL(3,$B$7:B450)</f>
        <v>444</v>
      </c>
      <c r="B450" s="82" t="s">
        <v>444</v>
      </c>
      <c r="C450" s="82" t="s">
        <v>111</v>
      </c>
      <c r="D450" s="66" t="s">
        <v>227</v>
      </c>
      <c r="E450" s="82">
        <v>4</v>
      </c>
      <c r="F450" s="67">
        <v>617579035</v>
      </c>
      <c r="G450" s="66" t="s">
        <v>1132</v>
      </c>
      <c r="H450" s="66" t="s">
        <v>1133</v>
      </c>
      <c r="I450" s="66" t="s">
        <v>6</v>
      </c>
      <c r="J450" s="82" t="s">
        <v>11</v>
      </c>
      <c r="K450" s="67">
        <v>400</v>
      </c>
      <c r="L450" s="82">
        <f t="shared" si="32"/>
        <v>400</v>
      </c>
      <c r="M450" s="67">
        <v>400</v>
      </c>
      <c r="N450" s="82">
        <v>400</v>
      </c>
      <c r="O450" s="82">
        <f t="shared" si="28"/>
        <v>0</v>
      </c>
      <c r="P450" s="82">
        <f t="shared" si="29"/>
        <v>0</v>
      </c>
      <c r="Q450" s="67"/>
      <c r="R450" s="82"/>
      <c r="S450" s="67"/>
      <c r="T450" s="82"/>
      <c r="U450" s="67"/>
      <c r="V450" s="82"/>
      <c r="W450" s="82"/>
      <c r="X450" s="82"/>
      <c r="Y450" s="68">
        <v>4</v>
      </c>
      <c r="Z450" s="82">
        <v>1</v>
      </c>
      <c r="AA450" s="69">
        <v>44256</v>
      </c>
      <c r="AB450" s="74">
        <v>44246</v>
      </c>
      <c r="AC450" s="75" t="s">
        <v>2109</v>
      </c>
      <c r="AD450" s="70" t="s">
        <v>445</v>
      </c>
    </row>
    <row r="451" spans="1:30" s="76" customFormat="1" ht="37.5">
      <c r="A451" s="82">
        <f>+SUBTOTAL(3,$B$7:B451)</f>
        <v>445</v>
      </c>
      <c r="B451" s="82" t="s">
        <v>444</v>
      </c>
      <c r="C451" s="82" t="s">
        <v>111</v>
      </c>
      <c r="D451" s="66" t="s">
        <v>227</v>
      </c>
      <c r="E451" s="82">
        <v>1</v>
      </c>
      <c r="F451" s="67">
        <v>305604271</v>
      </c>
      <c r="G451" s="66" t="s">
        <v>1134</v>
      </c>
      <c r="H451" s="66" t="s">
        <v>1135</v>
      </c>
      <c r="I451" s="66" t="s">
        <v>10</v>
      </c>
      <c r="J451" s="82" t="s">
        <v>30</v>
      </c>
      <c r="K451" s="67">
        <v>1200</v>
      </c>
      <c r="L451" s="82">
        <f t="shared" si="32"/>
        <v>0</v>
      </c>
      <c r="M451" s="67">
        <v>1200</v>
      </c>
      <c r="N451" s="82"/>
      <c r="O451" s="82">
        <f t="shared" si="28"/>
        <v>0</v>
      </c>
      <c r="P451" s="82">
        <f t="shared" si="29"/>
        <v>0</v>
      </c>
      <c r="Q451" s="67"/>
      <c r="R451" s="82"/>
      <c r="S451" s="67"/>
      <c r="T451" s="82"/>
      <c r="U451" s="67"/>
      <c r="V451" s="82"/>
      <c r="W451" s="82"/>
      <c r="X451" s="82"/>
      <c r="Y451" s="68">
        <v>5</v>
      </c>
      <c r="Z451" s="82"/>
      <c r="AA451" s="69">
        <v>44348</v>
      </c>
      <c r="AB451" s="74"/>
      <c r="AC451" s="75"/>
      <c r="AD451" s="70" t="s">
        <v>453</v>
      </c>
    </row>
    <row r="452" spans="1:30" s="76" customFormat="1" ht="37.5">
      <c r="A452" s="82">
        <f>+SUBTOTAL(3,$B$7:B452)</f>
        <v>446</v>
      </c>
      <c r="B452" s="82" t="s">
        <v>444</v>
      </c>
      <c r="C452" s="82" t="s">
        <v>111</v>
      </c>
      <c r="D452" s="66" t="s">
        <v>227</v>
      </c>
      <c r="E452" s="82">
        <v>1</v>
      </c>
      <c r="F452" s="67">
        <v>306612024</v>
      </c>
      <c r="G452" s="66" t="s">
        <v>1136</v>
      </c>
      <c r="H452" s="66" t="s">
        <v>1137</v>
      </c>
      <c r="I452" s="66" t="s">
        <v>10</v>
      </c>
      <c r="J452" s="82" t="s">
        <v>30</v>
      </c>
      <c r="K452" s="67">
        <v>1020</v>
      </c>
      <c r="L452" s="82">
        <f t="shared" si="32"/>
        <v>0</v>
      </c>
      <c r="M452" s="67">
        <v>1020</v>
      </c>
      <c r="N452" s="82"/>
      <c r="O452" s="82">
        <f t="shared" si="28"/>
        <v>0</v>
      </c>
      <c r="P452" s="82">
        <f t="shared" si="29"/>
        <v>0</v>
      </c>
      <c r="Q452" s="67"/>
      <c r="R452" s="82"/>
      <c r="S452" s="67"/>
      <c r="T452" s="82"/>
      <c r="U452" s="67"/>
      <c r="V452" s="82"/>
      <c r="W452" s="82"/>
      <c r="X452" s="82"/>
      <c r="Y452" s="68">
        <v>8</v>
      </c>
      <c r="Z452" s="82"/>
      <c r="AA452" s="69">
        <v>44348</v>
      </c>
      <c r="AB452" s="74"/>
      <c r="AC452" s="75"/>
      <c r="AD452" s="70" t="s">
        <v>445</v>
      </c>
    </row>
    <row r="453" spans="1:30" s="76" customFormat="1" ht="37.5">
      <c r="A453" s="82">
        <f>+SUBTOTAL(3,$B$7:B453)</f>
        <v>447</v>
      </c>
      <c r="B453" s="82" t="s">
        <v>444</v>
      </c>
      <c r="C453" s="82" t="s">
        <v>111</v>
      </c>
      <c r="D453" s="66" t="s">
        <v>227</v>
      </c>
      <c r="E453" s="82">
        <v>1</v>
      </c>
      <c r="F453" s="67">
        <v>306653014</v>
      </c>
      <c r="G453" s="66" t="s">
        <v>1138</v>
      </c>
      <c r="H453" s="66" t="s">
        <v>1139</v>
      </c>
      <c r="I453" s="66" t="s">
        <v>10</v>
      </c>
      <c r="J453" s="82" t="s">
        <v>30</v>
      </c>
      <c r="K453" s="67">
        <v>600</v>
      </c>
      <c r="L453" s="82">
        <f t="shared" si="32"/>
        <v>600</v>
      </c>
      <c r="M453" s="67">
        <v>600</v>
      </c>
      <c r="N453" s="82">
        <v>600</v>
      </c>
      <c r="O453" s="82">
        <f t="shared" si="28"/>
        <v>0</v>
      </c>
      <c r="P453" s="82">
        <f t="shared" si="29"/>
        <v>0</v>
      </c>
      <c r="Q453" s="67"/>
      <c r="R453" s="82"/>
      <c r="S453" s="67"/>
      <c r="T453" s="82"/>
      <c r="U453" s="67"/>
      <c r="V453" s="82"/>
      <c r="W453" s="82"/>
      <c r="X453" s="82"/>
      <c r="Y453" s="68">
        <v>5</v>
      </c>
      <c r="Z453" s="82">
        <v>2</v>
      </c>
      <c r="AA453" s="69">
        <v>44531</v>
      </c>
      <c r="AB453" s="74">
        <v>44161</v>
      </c>
      <c r="AC453" s="75" t="s">
        <v>1914</v>
      </c>
      <c r="AD453" s="70" t="s">
        <v>445</v>
      </c>
    </row>
    <row r="454" spans="1:30" s="76" customFormat="1" ht="37.5">
      <c r="A454" s="82">
        <f>+SUBTOTAL(3,$B$7:B454)</f>
        <v>448</v>
      </c>
      <c r="B454" s="82" t="s">
        <v>444</v>
      </c>
      <c r="C454" s="82" t="s">
        <v>111</v>
      </c>
      <c r="D454" s="66" t="s">
        <v>227</v>
      </c>
      <c r="E454" s="82">
        <v>1</v>
      </c>
      <c r="F454" s="67">
        <v>307000216</v>
      </c>
      <c r="G454" s="66" t="s">
        <v>1140</v>
      </c>
      <c r="H454" s="66" t="s">
        <v>1141</v>
      </c>
      <c r="I454" s="66" t="s">
        <v>6</v>
      </c>
      <c r="J454" s="82" t="s">
        <v>12</v>
      </c>
      <c r="K454" s="67">
        <v>1384.5</v>
      </c>
      <c r="L454" s="82">
        <f t="shared" si="32"/>
        <v>1254.5999999999999</v>
      </c>
      <c r="M454" s="67">
        <v>303</v>
      </c>
      <c r="N454" s="82"/>
      <c r="O454" s="82">
        <f t="shared" si="28"/>
        <v>1071</v>
      </c>
      <c r="P454" s="82">
        <f t="shared" si="29"/>
        <v>1254.5999999999999</v>
      </c>
      <c r="Q454" s="67"/>
      <c r="R454" s="82"/>
      <c r="S454" s="67">
        <v>105</v>
      </c>
      <c r="T454" s="82">
        <v>123</v>
      </c>
      <c r="U454" s="67"/>
      <c r="V454" s="82"/>
      <c r="W454" s="82"/>
      <c r="X454" s="82"/>
      <c r="Y454" s="68">
        <v>20</v>
      </c>
      <c r="Z454" s="82"/>
      <c r="AA454" s="69">
        <v>44440</v>
      </c>
      <c r="AB454" s="74"/>
      <c r="AC454" s="75"/>
      <c r="AD454" s="70" t="s">
        <v>543</v>
      </c>
    </row>
    <row r="455" spans="1:30" s="76" customFormat="1" ht="37.5">
      <c r="A455" s="82">
        <f>+SUBTOTAL(3,$B$7:B455)</f>
        <v>449</v>
      </c>
      <c r="B455" s="82" t="s">
        <v>444</v>
      </c>
      <c r="C455" s="82" t="s">
        <v>111</v>
      </c>
      <c r="D455" s="66" t="s">
        <v>227</v>
      </c>
      <c r="E455" s="82">
        <v>3</v>
      </c>
      <c r="F455" s="67">
        <v>303129792</v>
      </c>
      <c r="G455" s="66" t="s">
        <v>1142</v>
      </c>
      <c r="H455" s="66" t="s">
        <v>1143</v>
      </c>
      <c r="I455" s="66" t="s">
        <v>6</v>
      </c>
      <c r="J455" s="82" t="s">
        <v>12</v>
      </c>
      <c r="K455" s="67">
        <v>1800</v>
      </c>
      <c r="L455" s="82">
        <f t="shared" si="32"/>
        <v>1800</v>
      </c>
      <c r="M455" s="67">
        <v>800</v>
      </c>
      <c r="N455" s="82">
        <v>800</v>
      </c>
      <c r="O455" s="82">
        <f t="shared" ref="O455:O518" si="33">+Q455+S455*10.2</f>
        <v>1000</v>
      </c>
      <c r="P455" s="82">
        <f t="shared" ref="P455:P518" si="34">+R455+T455*10.2</f>
        <v>1000</v>
      </c>
      <c r="Q455" s="67">
        <v>1000</v>
      </c>
      <c r="R455" s="82">
        <v>1000</v>
      </c>
      <c r="S455" s="67"/>
      <c r="T455" s="82"/>
      <c r="U455" s="67"/>
      <c r="V455" s="82"/>
      <c r="W455" s="82"/>
      <c r="X455" s="82"/>
      <c r="Y455" s="68">
        <v>6</v>
      </c>
      <c r="Z455" s="82">
        <v>6</v>
      </c>
      <c r="AA455" s="69">
        <v>44196</v>
      </c>
      <c r="AB455" s="74">
        <v>44142</v>
      </c>
      <c r="AC455" s="75" t="s">
        <v>1938</v>
      </c>
      <c r="AD455" s="70" t="s">
        <v>453</v>
      </c>
    </row>
    <row r="456" spans="1:30" s="76" customFormat="1" ht="37.5">
      <c r="A456" s="82">
        <f>+SUBTOTAL(3,$B$7:B456)</f>
        <v>450</v>
      </c>
      <c r="B456" s="82" t="s">
        <v>444</v>
      </c>
      <c r="C456" s="82" t="s">
        <v>111</v>
      </c>
      <c r="D456" s="66" t="s">
        <v>227</v>
      </c>
      <c r="E456" s="82">
        <v>3</v>
      </c>
      <c r="F456" s="67">
        <v>307213758</v>
      </c>
      <c r="G456" s="66" t="s">
        <v>1144</v>
      </c>
      <c r="H456" s="66" t="s">
        <v>1145</v>
      </c>
      <c r="I456" s="66" t="s">
        <v>6</v>
      </c>
      <c r="J456" s="82" t="s">
        <v>12</v>
      </c>
      <c r="K456" s="67">
        <v>3500</v>
      </c>
      <c r="L456" s="82">
        <f t="shared" si="32"/>
        <v>3545</v>
      </c>
      <c r="M456" s="67">
        <v>1500</v>
      </c>
      <c r="N456" s="82">
        <v>1550</v>
      </c>
      <c r="O456" s="82">
        <f t="shared" si="33"/>
        <v>2000</v>
      </c>
      <c r="P456" s="82">
        <f t="shared" si="34"/>
        <v>1995</v>
      </c>
      <c r="Q456" s="67">
        <v>2000</v>
      </c>
      <c r="R456" s="82">
        <v>1995</v>
      </c>
      <c r="S456" s="67"/>
      <c r="T456" s="82"/>
      <c r="U456" s="67"/>
      <c r="V456" s="82"/>
      <c r="W456" s="82"/>
      <c r="X456" s="82"/>
      <c r="Y456" s="68">
        <v>6</v>
      </c>
      <c r="Z456" s="82">
        <v>8</v>
      </c>
      <c r="AA456" s="69">
        <v>44196</v>
      </c>
      <c r="AB456" s="74">
        <v>44141</v>
      </c>
      <c r="AC456" s="75" t="s">
        <v>1982</v>
      </c>
      <c r="AD456" s="70" t="s">
        <v>453</v>
      </c>
    </row>
    <row r="457" spans="1:30" s="76" customFormat="1" ht="37.5">
      <c r="A457" s="82">
        <f>+SUBTOTAL(3,$B$7:B457)</f>
        <v>451</v>
      </c>
      <c r="B457" s="82" t="s">
        <v>444</v>
      </c>
      <c r="C457" s="82" t="s">
        <v>111</v>
      </c>
      <c r="D457" s="66" t="s">
        <v>227</v>
      </c>
      <c r="E457" s="82">
        <v>1</v>
      </c>
      <c r="F457" s="67">
        <v>307240432</v>
      </c>
      <c r="G457" s="66" t="s">
        <v>1146</v>
      </c>
      <c r="H457" s="66" t="s">
        <v>146</v>
      </c>
      <c r="I457" s="66" t="s">
        <v>9</v>
      </c>
      <c r="J457" s="82" t="s">
        <v>38</v>
      </c>
      <c r="K457" s="67">
        <v>320</v>
      </c>
      <c r="L457" s="82">
        <f t="shared" si="32"/>
        <v>300</v>
      </c>
      <c r="M457" s="67">
        <v>100</v>
      </c>
      <c r="N457" s="82"/>
      <c r="O457" s="82">
        <f t="shared" si="33"/>
        <v>220</v>
      </c>
      <c r="P457" s="82">
        <f t="shared" si="34"/>
        <v>300</v>
      </c>
      <c r="Q457" s="67">
        <v>220</v>
      </c>
      <c r="R457" s="82">
        <v>300</v>
      </c>
      <c r="S457" s="67"/>
      <c r="T457" s="82"/>
      <c r="U457" s="67"/>
      <c r="V457" s="82"/>
      <c r="W457" s="82"/>
      <c r="X457" s="82"/>
      <c r="Y457" s="68">
        <v>8</v>
      </c>
      <c r="Z457" s="82"/>
      <c r="AA457" s="69">
        <v>44348</v>
      </c>
      <c r="AB457" s="74"/>
      <c r="AC457" s="75"/>
      <c r="AD457" s="70" t="s">
        <v>4</v>
      </c>
    </row>
    <row r="458" spans="1:30" s="76" customFormat="1" ht="37.5">
      <c r="A458" s="82">
        <f>+SUBTOTAL(3,$B$7:B458)</f>
        <v>452</v>
      </c>
      <c r="B458" s="82" t="s">
        <v>444</v>
      </c>
      <c r="C458" s="82" t="s">
        <v>111</v>
      </c>
      <c r="D458" s="66" t="s">
        <v>227</v>
      </c>
      <c r="E458" s="82">
        <v>4</v>
      </c>
      <c r="F458" s="67">
        <v>302559117</v>
      </c>
      <c r="G458" s="66" t="s">
        <v>1147</v>
      </c>
      <c r="H458" s="66" t="s">
        <v>311</v>
      </c>
      <c r="I458" s="66" t="s">
        <v>6</v>
      </c>
      <c r="J458" s="82" t="s">
        <v>12</v>
      </c>
      <c r="K458" s="67">
        <v>11180</v>
      </c>
      <c r="L458" s="82">
        <f t="shared" si="32"/>
        <v>0</v>
      </c>
      <c r="M458" s="67">
        <v>5000</v>
      </c>
      <c r="N458" s="82"/>
      <c r="O458" s="82">
        <f t="shared" si="33"/>
        <v>6120</v>
      </c>
      <c r="P458" s="82">
        <f t="shared" si="34"/>
        <v>0</v>
      </c>
      <c r="Q458" s="67"/>
      <c r="R458" s="82"/>
      <c r="S458" s="67">
        <v>600</v>
      </c>
      <c r="T458" s="82"/>
      <c r="U458" s="67"/>
      <c r="V458" s="82"/>
      <c r="W458" s="82"/>
      <c r="X458" s="82"/>
      <c r="Y458" s="68">
        <v>18</v>
      </c>
      <c r="Z458" s="82"/>
      <c r="AA458" s="18">
        <v>44531</v>
      </c>
      <c r="AB458" s="74"/>
      <c r="AC458" s="75"/>
      <c r="AD458" s="70" t="s">
        <v>543</v>
      </c>
    </row>
    <row r="459" spans="1:30" s="76" customFormat="1" ht="37.5">
      <c r="A459" s="82">
        <f>+SUBTOTAL(3,$B$7:B459)</f>
        <v>453</v>
      </c>
      <c r="B459" s="82" t="s">
        <v>444</v>
      </c>
      <c r="C459" s="82" t="s">
        <v>111</v>
      </c>
      <c r="D459" s="66" t="s">
        <v>227</v>
      </c>
      <c r="E459" s="82">
        <v>1</v>
      </c>
      <c r="F459" s="67">
        <v>300856746</v>
      </c>
      <c r="G459" s="66" t="s">
        <v>1148</v>
      </c>
      <c r="H459" s="66" t="s">
        <v>1149</v>
      </c>
      <c r="I459" s="66" t="s">
        <v>9</v>
      </c>
      <c r="J459" s="82" t="s">
        <v>1777</v>
      </c>
      <c r="K459" s="67">
        <v>800</v>
      </c>
      <c r="L459" s="82">
        <f t="shared" si="32"/>
        <v>600</v>
      </c>
      <c r="M459" s="67">
        <v>300</v>
      </c>
      <c r="N459" s="82">
        <v>100</v>
      </c>
      <c r="O459" s="82">
        <f t="shared" si="33"/>
        <v>500</v>
      </c>
      <c r="P459" s="82">
        <f t="shared" si="34"/>
        <v>500</v>
      </c>
      <c r="Q459" s="67">
        <v>500</v>
      </c>
      <c r="R459" s="82">
        <v>500</v>
      </c>
      <c r="S459" s="67"/>
      <c r="T459" s="82"/>
      <c r="U459" s="67"/>
      <c r="V459" s="82"/>
      <c r="W459" s="82"/>
      <c r="X459" s="82"/>
      <c r="Y459" s="68">
        <v>3</v>
      </c>
      <c r="Z459" s="82">
        <v>3</v>
      </c>
      <c r="AA459" s="18">
        <v>44256</v>
      </c>
      <c r="AB459" s="74">
        <v>44142</v>
      </c>
      <c r="AC459" s="75" t="s">
        <v>2007</v>
      </c>
      <c r="AD459" s="70" t="s">
        <v>453</v>
      </c>
    </row>
    <row r="460" spans="1:30" s="76" customFormat="1" ht="37.5">
      <c r="A460" s="82">
        <f>+SUBTOTAL(3,$B$7:B460)</f>
        <v>454</v>
      </c>
      <c r="B460" s="82" t="s">
        <v>444</v>
      </c>
      <c r="C460" s="82" t="s">
        <v>111</v>
      </c>
      <c r="D460" s="66" t="s">
        <v>227</v>
      </c>
      <c r="E460" s="82">
        <v>4</v>
      </c>
      <c r="F460" s="67">
        <v>303902726</v>
      </c>
      <c r="G460" s="66" t="s">
        <v>1150</v>
      </c>
      <c r="H460" s="66" t="s">
        <v>1151</v>
      </c>
      <c r="I460" s="66" t="s">
        <v>10</v>
      </c>
      <c r="J460" s="82" t="s">
        <v>44</v>
      </c>
      <c r="K460" s="67">
        <v>2000</v>
      </c>
      <c r="L460" s="82">
        <f t="shared" si="32"/>
        <v>2000</v>
      </c>
      <c r="M460" s="67">
        <v>900</v>
      </c>
      <c r="N460" s="82">
        <v>900</v>
      </c>
      <c r="O460" s="82">
        <f t="shared" si="33"/>
        <v>1100</v>
      </c>
      <c r="P460" s="82">
        <f t="shared" si="34"/>
        <v>1100</v>
      </c>
      <c r="Q460" s="67">
        <v>1100</v>
      </c>
      <c r="R460" s="82">
        <v>1100</v>
      </c>
      <c r="S460" s="67"/>
      <c r="T460" s="82"/>
      <c r="U460" s="67"/>
      <c r="V460" s="82"/>
      <c r="W460" s="82"/>
      <c r="X460" s="82"/>
      <c r="Y460" s="68">
        <v>5</v>
      </c>
      <c r="Z460" s="82">
        <v>5</v>
      </c>
      <c r="AA460" s="69">
        <v>44531</v>
      </c>
      <c r="AB460" s="74">
        <v>44141</v>
      </c>
      <c r="AC460" s="74" t="s">
        <v>1983</v>
      </c>
      <c r="AD460" s="70" t="s">
        <v>453</v>
      </c>
    </row>
    <row r="461" spans="1:30" s="76" customFormat="1" ht="37.5">
      <c r="A461" s="82">
        <f>+SUBTOTAL(3,$B$7:B461)</f>
        <v>455</v>
      </c>
      <c r="B461" s="82" t="s">
        <v>444</v>
      </c>
      <c r="C461" s="82" t="s">
        <v>111</v>
      </c>
      <c r="D461" s="66" t="s">
        <v>227</v>
      </c>
      <c r="E461" s="82">
        <v>2</v>
      </c>
      <c r="F461" s="67">
        <v>306757342</v>
      </c>
      <c r="G461" s="66" t="s">
        <v>1152</v>
      </c>
      <c r="H461" s="66" t="s">
        <v>1153</v>
      </c>
      <c r="I461" s="66" t="s">
        <v>9</v>
      </c>
      <c r="J461" s="82" t="s">
        <v>42</v>
      </c>
      <c r="K461" s="67">
        <v>250</v>
      </c>
      <c r="L461" s="82">
        <f t="shared" si="32"/>
        <v>250</v>
      </c>
      <c r="M461" s="67">
        <v>125</v>
      </c>
      <c r="N461" s="82">
        <v>125</v>
      </c>
      <c r="O461" s="82">
        <f t="shared" si="33"/>
        <v>125</v>
      </c>
      <c r="P461" s="82">
        <f t="shared" si="34"/>
        <v>125</v>
      </c>
      <c r="Q461" s="67">
        <v>125</v>
      </c>
      <c r="R461" s="82">
        <v>125</v>
      </c>
      <c r="S461" s="67"/>
      <c r="T461" s="82"/>
      <c r="U461" s="67"/>
      <c r="V461" s="82"/>
      <c r="W461" s="82"/>
      <c r="X461" s="82"/>
      <c r="Y461" s="68">
        <v>2</v>
      </c>
      <c r="Z461" s="82">
        <v>2</v>
      </c>
      <c r="AA461" s="69">
        <v>44166</v>
      </c>
      <c r="AB461" s="74">
        <v>44142</v>
      </c>
      <c r="AC461" s="75" t="s">
        <v>1980</v>
      </c>
      <c r="AD461" s="70" t="s">
        <v>453</v>
      </c>
    </row>
    <row r="462" spans="1:30" s="76" customFormat="1" ht="37.5">
      <c r="A462" s="82">
        <f>+SUBTOTAL(3,$B$7:B462)</f>
        <v>456</v>
      </c>
      <c r="B462" s="82" t="s">
        <v>444</v>
      </c>
      <c r="C462" s="82" t="s">
        <v>111</v>
      </c>
      <c r="D462" s="66" t="s">
        <v>227</v>
      </c>
      <c r="E462" s="82">
        <v>4</v>
      </c>
      <c r="F462" s="67">
        <v>307303503</v>
      </c>
      <c r="G462" s="66" t="s">
        <v>1154</v>
      </c>
      <c r="H462" s="66" t="s">
        <v>1155</v>
      </c>
      <c r="I462" s="66" t="s">
        <v>10</v>
      </c>
      <c r="J462" s="82" t="s">
        <v>60</v>
      </c>
      <c r="K462" s="67">
        <v>250</v>
      </c>
      <c r="L462" s="82">
        <f t="shared" si="32"/>
        <v>250</v>
      </c>
      <c r="M462" s="67">
        <v>100</v>
      </c>
      <c r="N462" s="82">
        <v>100</v>
      </c>
      <c r="O462" s="82">
        <f t="shared" si="33"/>
        <v>150</v>
      </c>
      <c r="P462" s="82">
        <f t="shared" si="34"/>
        <v>150</v>
      </c>
      <c r="Q462" s="67">
        <v>150</v>
      </c>
      <c r="R462" s="82">
        <v>150</v>
      </c>
      <c r="S462" s="67"/>
      <c r="T462" s="82"/>
      <c r="U462" s="67"/>
      <c r="V462" s="82"/>
      <c r="W462" s="82"/>
      <c r="X462" s="82"/>
      <c r="Y462" s="68">
        <v>2</v>
      </c>
      <c r="Z462" s="82">
        <v>2</v>
      </c>
      <c r="AA462" s="18">
        <v>44166</v>
      </c>
      <c r="AB462" s="74">
        <v>44142</v>
      </c>
      <c r="AC462" s="75" t="s">
        <v>1983</v>
      </c>
      <c r="AD462" s="70" t="s">
        <v>453</v>
      </c>
    </row>
    <row r="463" spans="1:30" s="76" customFormat="1" ht="37.5">
      <c r="A463" s="82">
        <f>+SUBTOTAL(3,$B$7:B463)</f>
        <v>457</v>
      </c>
      <c r="B463" s="82" t="s">
        <v>444</v>
      </c>
      <c r="C463" s="82" t="s">
        <v>111</v>
      </c>
      <c r="D463" s="66" t="s">
        <v>227</v>
      </c>
      <c r="E463" s="82">
        <v>4</v>
      </c>
      <c r="F463" s="67">
        <v>307313411</v>
      </c>
      <c r="G463" s="66" t="s">
        <v>1156</v>
      </c>
      <c r="H463" s="66" t="s">
        <v>1157</v>
      </c>
      <c r="I463" s="66" t="s">
        <v>10</v>
      </c>
      <c r="J463" s="82" t="s">
        <v>30</v>
      </c>
      <c r="K463" s="67">
        <v>250</v>
      </c>
      <c r="L463" s="82">
        <f t="shared" si="32"/>
        <v>230</v>
      </c>
      <c r="M463" s="67">
        <v>100</v>
      </c>
      <c r="N463" s="82">
        <v>80</v>
      </c>
      <c r="O463" s="82">
        <f t="shared" si="33"/>
        <v>150</v>
      </c>
      <c r="P463" s="82">
        <f t="shared" si="34"/>
        <v>150</v>
      </c>
      <c r="Q463" s="67">
        <v>150</v>
      </c>
      <c r="R463" s="82">
        <v>150</v>
      </c>
      <c r="S463" s="67"/>
      <c r="T463" s="82"/>
      <c r="U463" s="67"/>
      <c r="V463" s="82"/>
      <c r="W463" s="82"/>
      <c r="X463" s="82"/>
      <c r="Y463" s="68">
        <v>2</v>
      </c>
      <c r="Z463" s="82">
        <v>2</v>
      </c>
      <c r="AA463" s="69">
        <v>44166</v>
      </c>
      <c r="AB463" s="74">
        <v>44142</v>
      </c>
      <c r="AC463" s="75" t="s">
        <v>1913</v>
      </c>
      <c r="AD463" s="70" t="s">
        <v>453</v>
      </c>
    </row>
    <row r="464" spans="1:30" s="76" customFormat="1" ht="37.5">
      <c r="A464" s="82">
        <f>+SUBTOTAL(3,$B$7:B464)</f>
        <v>458</v>
      </c>
      <c r="B464" s="82" t="s">
        <v>444</v>
      </c>
      <c r="C464" s="82" t="s">
        <v>111</v>
      </c>
      <c r="D464" s="66" t="s">
        <v>227</v>
      </c>
      <c r="E464" s="82">
        <v>1</v>
      </c>
      <c r="F464" s="67">
        <v>306317074</v>
      </c>
      <c r="G464" s="66" t="s">
        <v>242</v>
      </c>
      <c r="H464" s="66" t="s">
        <v>138</v>
      </c>
      <c r="I464" s="66" t="s">
        <v>9</v>
      </c>
      <c r="J464" s="82" t="s">
        <v>36</v>
      </c>
      <c r="K464" s="67">
        <v>1064</v>
      </c>
      <c r="L464" s="82">
        <f t="shared" si="32"/>
        <v>300</v>
      </c>
      <c r="M464" s="67">
        <v>240</v>
      </c>
      <c r="N464" s="82">
        <v>100</v>
      </c>
      <c r="O464" s="82">
        <f t="shared" si="33"/>
        <v>816</v>
      </c>
      <c r="P464" s="82">
        <f t="shared" si="34"/>
        <v>200</v>
      </c>
      <c r="Q464" s="67"/>
      <c r="R464" s="82">
        <v>200</v>
      </c>
      <c r="S464" s="67">
        <v>80</v>
      </c>
      <c r="T464" s="82"/>
      <c r="U464" s="67"/>
      <c r="V464" s="82"/>
      <c r="W464" s="82"/>
      <c r="X464" s="82"/>
      <c r="Y464" s="68">
        <v>8</v>
      </c>
      <c r="Z464" s="82">
        <v>2</v>
      </c>
      <c r="AA464" s="18">
        <v>44166</v>
      </c>
      <c r="AB464" s="74">
        <v>44137</v>
      </c>
      <c r="AC464" s="75" t="s">
        <v>2035</v>
      </c>
      <c r="AD464" s="70" t="s">
        <v>445</v>
      </c>
    </row>
    <row r="465" spans="1:30" s="76" customFormat="1" ht="37.5">
      <c r="A465" s="82">
        <f>+SUBTOTAL(3,$B$7:B465)</f>
        <v>459</v>
      </c>
      <c r="B465" s="82" t="s">
        <v>444</v>
      </c>
      <c r="C465" s="82" t="s">
        <v>111</v>
      </c>
      <c r="D465" s="66" t="s">
        <v>227</v>
      </c>
      <c r="E465" s="82">
        <v>1</v>
      </c>
      <c r="F465" s="67">
        <v>306691750</v>
      </c>
      <c r="G465" s="66" t="s">
        <v>1158</v>
      </c>
      <c r="H465" s="66" t="s">
        <v>136</v>
      </c>
      <c r="I465" s="66" t="s">
        <v>9</v>
      </c>
      <c r="J465" s="82" t="s">
        <v>36</v>
      </c>
      <c r="K465" s="67">
        <v>841.6</v>
      </c>
      <c r="L465" s="82">
        <f t="shared" si="32"/>
        <v>734.4</v>
      </c>
      <c r="M465" s="67">
        <v>100</v>
      </c>
      <c r="N465" s="82"/>
      <c r="O465" s="82">
        <f t="shared" si="33"/>
        <v>734.4</v>
      </c>
      <c r="P465" s="82">
        <f t="shared" si="34"/>
        <v>734.4</v>
      </c>
      <c r="Q465" s="67"/>
      <c r="R465" s="82"/>
      <c r="S465" s="67">
        <v>72</v>
      </c>
      <c r="T465" s="82">
        <v>72</v>
      </c>
      <c r="U465" s="67"/>
      <c r="V465" s="82"/>
      <c r="W465" s="82"/>
      <c r="X465" s="82"/>
      <c r="Y465" s="68">
        <v>3</v>
      </c>
      <c r="Z465" s="82"/>
      <c r="AA465" s="18">
        <v>44440</v>
      </c>
      <c r="AB465" s="74"/>
      <c r="AC465" s="75"/>
      <c r="AD465" s="70" t="s">
        <v>445</v>
      </c>
    </row>
    <row r="466" spans="1:30" s="76" customFormat="1" ht="37.5">
      <c r="A466" s="82">
        <f>+SUBTOTAL(3,$B$7:B466)</f>
        <v>460</v>
      </c>
      <c r="B466" s="82" t="s">
        <v>444</v>
      </c>
      <c r="C466" s="82" t="s">
        <v>111</v>
      </c>
      <c r="D466" s="66" t="s">
        <v>227</v>
      </c>
      <c r="E466" s="82">
        <v>4</v>
      </c>
      <c r="F466" s="67">
        <v>305316962</v>
      </c>
      <c r="G466" s="66" t="s">
        <v>1159</v>
      </c>
      <c r="H466" s="66" t="s">
        <v>120</v>
      </c>
      <c r="I466" s="66" t="s">
        <v>6</v>
      </c>
      <c r="J466" s="82" t="s">
        <v>13</v>
      </c>
      <c r="K466" s="67">
        <v>2817.5</v>
      </c>
      <c r="L466" s="82">
        <f t="shared" si="32"/>
        <v>0</v>
      </c>
      <c r="M466" s="67">
        <v>500</v>
      </c>
      <c r="N466" s="82"/>
      <c r="O466" s="82">
        <f t="shared" si="33"/>
        <v>2295</v>
      </c>
      <c r="P466" s="82">
        <f t="shared" si="34"/>
        <v>0</v>
      </c>
      <c r="Q466" s="67"/>
      <c r="R466" s="82"/>
      <c r="S466" s="67">
        <v>225</v>
      </c>
      <c r="T466" s="82"/>
      <c r="U466" s="67"/>
      <c r="V466" s="82"/>
      <c r="W466" s="82"/>
      <c r="X466" s="82"/>
      <c r="Y466" s="68">
        <v>8</v>
      </c>
      <c r="Z466" s="82"/>
      <c r="AA466" s="18">
        <v>44531</v>
      </c>
      <c r="AB466" s="74"/>
      <c r="AC466" s="75"/>
      <c r="AD466" s="70" t="s">
        <v>445</v>
      </c>
    </row>
    <row r="467" spans="1:30" s="76" customFormat="1" ht="37.5">
      <c r="A467" s="82">
        <f>+SUBTOTAL(3,$B$7:B467)</f>
        <v>461</v>
      </c>
      <c r="B467" s="82" t="s">
        <v>444</v>
      </c>
      <c r="C467" s="82" t="s">
        <v>111</v>
      </c>
      <c r="D467" s="66" t="s">
        <v>227</v>
      </c>
      <c r="E467" s="82">
        <v>2</v>
      </c>
      <c r="F467" s="67">
        <v>304894680</v>
      </c>
      <c r="G467" s="66" t="s">
        <v>238</v>
      </c>
      <c r="H467" s="66" t="s">
        <v>239</v>
      </c>
      <c r="I467" s="66" t="s">
        <v>6</v>
      </c>
      <c r="J467" s="82" t="s">
        <v>13</v>
      </c>
      <c r="K467" s="67">
        <v>5278.8</v>
      </c>
      <c r="L467" s="82">
        <v>5057.3</v>
      </c>
      <c r="M467" s="67">
        <v>1200</v>
      </c>
      <c r="N467" s="82">
        <v>1250</v>
      </c>
      <c r="O467" s="82">
        <f t="shared" si="33"/>
        <v>4039.2</v>
      </c>
      <c r="P467" s="82">
        <f t="shared" si="34"/>
        <v>4034.1</v>
      </c>
      <c r="Q467" s="67">
        <v>0</v>
      </c>
      <c r="R467" s="82"/>
      <c r="S467" s="67">
        <v>396</v>
      </c>
      <c r="T467" s="82">
        <v>395.5</v>
      </c>
      <c r="U467" s="67">
        <v>0</v>
      </c>
      <c r="V467" s="82"/>
      <c r="W467" s="82"/>
      <c r="X467" s="82"/>
      <c r="Y467" s="68">
        <v>6</v>
      </c>
      <c r="Z467" s="82">
        <v>6</v>
      </c>
      <c r="AA467" s="18">
        <v>44287</v>
      </c>
      <c r="AB467" s="74">
        <v>44134</v>
      </c>
      <c r="AC467" s="75" t="s">
        <v>2053</v>
      </c>
      <c r="AD467" s="70" t="s">
        <v>3</v>
      </c>
    </row>
    <row r="468" spans="1:30" s="76" customFormat="1" ht="37.5">
      <c r="A468" s="82">
        <f>+SUBTOTAL(3,$B$7:B468)</f>
        <v>462</v>
      </c>
      <c r="B468" s="82" t="s">
        <v>444</v>
      </c>
      <c r="C468" s="82" t="s">
        <v>111</v>
      </c>
      <c r="D468" s="66" t="s">
        <v>227</v>
      </c>
      <c r="E468" s="82">
        <v>2</v>
      </c>
      <c r="F468" s="67">
        <v>307353711</v>
      </c>
      <c r="G468" s="66" t="s">
        <v>1160</v>
      </c>
      <c r="H468" s="66" t="s">
        <v>1161</v>
      </c>
      <c r="I468" s="66" t="s">
        <v>9</v>
      </c>
      <c r="J468" s="82" t="s">
        <v>40</v>
      </c>
      <c r="K468" s="67">
        <v>1300</v>
      </c>
      <c r="L468" s="82">
        <f t="shared" ref="L468:L506" si="35">+N468+R468+T468*10.2+V468*10.2</f>
        <v>800</v>
      </c>
      <c r="M468" s="67">
        <v>300</v>
      </c>
      <c r="N468" s="82">
        <v>200</v>
      </c>
      <c r="O468" s="82">
        <f t="shared" si="33"/>
        <v>1000</v>
      </c>
      <c r="P468" s="82">
        <f t="shared" si="34"/>
        <v>600</v>
      </c>
      <c r="Q468" s="67">
        <v>1000</v>
      </c>
      <c r="R468" s="82">
        <v>600</v>
      </c>
      <c r="S468" s="67"/>
      <c r="T468" s="82"/>
      <c r="U468" s="67"/>
      <c r="V468" s="82"/>
      <c r="W468" s="82"/>
      <c r="X468" s="82"/>
      <c r="Y468" s="68">
        <v>11</v>
      </c>
      <c r="Z468" s="82">
        <v>3</v>
      </c>
      <c r="AA468" s="69">
        <v>44166</v>
      </c>
      <c r="AB468" s="74">
        <v>44167</v>
      </c>
      <c r="AC468" s="75" t="s">
        <v>2004</v>
      </c>
      <c r="AD468" s="70" t="s">
        <v>3</v>
      </c>
    </row>
    <row r="469" spans="1:30" s="76" customFormat="1" ht="37.5">
      <c r="A469" s="82">
        <f>+SUBTOTAL(3,$B$7:B469)</f>
        <v>463</v>
      </c>
      <c r="B469" s="95" t="s">
        <v>2100</v>
      </c>
      <c r="C469" s="82" t="s">
        <v>111</v>
      </c>
      <c r="D469" s="66" t="s">
        <v>227</v>
      </c>
      <c r="E469" s="82">
        <v>2</v>
      </c>
      <c r="F469" s="67">
        <v>306845605</v>
      </c>
      <c r="G469" s="66" t="s">
        <v>241</v>
      </c>
      <c r="H469" s="66" t="s">
        <v>37</v>
      </c>
      <c r="I469" s="66" t="s">
        <v>9</v>
      </c>
      <c r="J469" s="82" t="s">
        <v>37</v>
      </c>
      <c r="K469" s="67">
        <v>68030</v>
      </c>
      <c r="L469" s="82">
        <f t="shared" si="35"/>
        <v>2000</v>
      </c>
      <c r="M469" s="67">
        <v>62000</v>
      </c>
      <c r="N469" s="82"/>
      <c r="O469" s="82">
        <f t="shared" si="33"/>
        <v>5000</v>
      </c>
      <c r="P469" s="82">
        <f t="shared" si="34"/>
        <v>2000</v>
      </c>
      <c r="Q469" s="67">
        <v>5000</v>
      </c>
      <c r="R469" s="82">
        <v>2000</v>
      </c>
      <c r="S469" s="67"/>
      <c r="T469" s="82"/>
      <c r="U469" s="67">
        <v>100</v>
      </c>
      <c r="V469" s="82"/>
      <c r="W469" s="82"/>
      <c r="X469" s="82"/>
      <c r="Y469" s="68">
        <v>85</v>
      </c>
      <c r="Z469" s="82"/>
      <c r="AA469" s="18">
        <v>44440</v>
      </c>
      <c r="AB469" s="74"/>
      <c r="AC469" s="75"/>
      <c r="AD469" s="70" t="s">
        <v>7</v>
      </c>
    </row>
    <row r="470" spans="1:30" s="76" customFormat="1" ht="37.5">
      <c r="A470" s="82">
        <f>+SUBTOTAL(3,$B$7:B470)</f>
        <v>464</v>
      </c>
      <c r="B470" s="82" t="s">
        <v>444</v>
      </c>
      <c r="C470" s="82" t="s">
        <v>111</v>
      </c>
      <c r="D470" s="66" t="s">
        <v>227</v>
      </c>
      <c r="E470" s="82">
        <v>2</v>
      </c>
      <c r="F470" s="67">
        <v>306845605</v>
      </c>
      <c r="G470" s="66" t="s">
        <v>241</v>
      </c>
      <c r="H470" s="66" t="s">
        <v>1162</v>
      </c>
      <c r="I470" s="66" t="s">
        <v>9</v>
      </c>
      <c r="J470" s="82" t="s">
        <v>47</v>
      </c>
      <c r="K470" s="67">
        <v>4500</v>
      </c>
      <c r="L470" s="82">
        <f t="shared" si="35"/>
        <v>0</v>
      </c>
      <c r="M470" s="67">
        <v>4500</v>
      </c>
      <c r="N470" s="82"/>
      <c r="O470" s="82">
        <f t="shared" si="33"/>
        <v>0</v>
      </c>
      <c r="P470" s="82">
        <f t="shared" si="34"/>
        <v>0</v>
      </c>
      <c r="Q470" s="67"/>
      <c r="R470" s="82"/>
      <c r="S470" s="67"/>
      <c r="T470" s="82"/>
      <c r="U470" s="67"/>
      <c r="V470" s="82"/>
      <c r="W470" s="82"/>
      <c r="X470" s="82"/>
      <c r="Y470" s="68">
        <v>25</v>
      </c>
      <c r="Z470" s="82"/>
      <c r="AA470" s="18">
        <v>44256</v>
      </c>
      <c r="AB470" s="74"/>
      <c r="AC470" s="75"/>
      <c r="AD470" s="70" t="s">
        <v>7</v>
      </c>
    </row>
    <row r="471" spans="1:30" s="76" customFormat="1" ht="37.5">
      <c r="A471" s="82">
        <f>+SUBTOTAL(3,$B$7:B471)</f>
        <v>465</v>
      </c>
      <c r="B471" s="82" t="s">
        <v>444</v>
      </c>
      <c r="C471" s="82" t="s">
        <v>111</v>
      </c>
      <c r="D471" s="66" t="s">
        <v>227</v>
      </c>
      <c r="E471" s="82">
        <v>3</v>
      </c>
      <c r="F471" s="67">
        <v>306987554</v>
      </c>
      <c r="G471" s="66" t="s">
        <v>1163</v>
      </c>
      <c r="H471" s="66" t="s">
        <v>1164</v>
      </c>
      <c r="I471" s="66" t="s">
        <v>6</v>
      </c>
      <c r="J471" s="82" t="s">
        <v>13</v>
      </c>
      <c r="K471" s="67">
        <v>230</v>
      </c>
      <c r="L471" s="82">
        <f t="shared" si="35"/>
        <v>180</v>
      </c>
      <c r="M471" s="67">
        <v>100</v>
      </c>
      <c r="N471" s="82">
        <v>50</v>
      </c>
      <c r="O471" s="82">
        <f t="shared" si="33"/>
        <v>130</v>
      </c>
      <c r="P471" s="82">
        <f t="shared" si="34"/>
        <v>130</v>
      </c>
      <c r="Q471" s="67">
        <v>130</v>
      </c>
      <c r="R471" s="82">
        <v>130</v>
      </c>
      <c r="S471" s="67"/>
      <c r="T471" s="82"/>
      <c r="U471" s="67"/>
      <c r="V471" s="82"/>
      <c r="W471" s="82"/>
      <c r="X471" s="82"/>
      <c r="Y471" s="68">
        <v>2</v>
      </c>
      <c r="Z471" s="82">
        <v>2</v>
      </c>
      <c r="AA471" s="18">
        <v>44256</v>
      </c>
      <c r="AB471" s="74">
        <v>44246</v>
      </c>
      <c r="AC471" s="75" t="s">
        <v>2110</v>
      </c>
      <c r="AD471" s="70" t="s">
        <v>7</v>
      </c>
    </row>
    <row r="472" spans="1:30" s="76" customFormat="1" ht="37.5">
      <c r="A472" s="82">
        <f>+SUBTOTAL(3,$B$7:B472)</f>
        <v>466</v>
      </c>
      <c r="B472" s="95" t="s">
        <v>2100</v>
      </c>
      <c r="C472" s="82" t="s">
        <v>111</v>
      </c>
      <c r="D472" s="66" t="s">
        <v>227</v>
      </c>
      <c r="E472" s="82">
        <v>4</v>
      </c>
      <c r="F472" s="67">
        <v>307287469</v>
      </c>
      <c r="G472" s="66" t="s">
        <v>1165</v>
      </c>
      <c r="H472" s="66" t="s">
        <v>1166</v>
      </c>
      <c r="I472" s="66" t="s">
        <v>6</v>
      </c>
      <c r="J472" s="82" t="s">
        <v>34</v>
      </c>
      <c r="K472" s="67">
        <v>14050</v>
      </c>
      <c r="L472" s="82">
        <f t="shared" si="35"/>
        <v>9926.64</v>
      </c>
      <c r="M472" s="67">
        <v>3750</v>
      </c>
      <c r="N472" s="82"/>
      <c r="O472" s="82">
        <f t="shared" si="33"/>
        <v>10200</v>
      </c>
      <c r="P472" s="82">
        <f t="shared" si="34"/>
        <v>9926.64</v>
      </c>
      <c r="Q472" s="67"/>
      <c r="R472" s="82"/>
      <c r="S472" s="67">
        <v>1000</v>
      </c>
      <c r="T472" s="82">
        <v>973.2</v>
      </c>
      <c r="U472" s="67"/>
      <c r="V472" s="82"/>
      <c r="W472" s="82"/>
      <c r="X472" s="82"/>
      <c r="Y472" s="68">
        <v>125</v>
      </c>
      <c r="Z472" s="82"/>
      <c r="AA472" s="69">
        <v>44743</v>
      </c>
      <c r="AB472" s="74"/>
      <c r="AC472" s="75"/>
      <c r="AD472" s="70" t="s">
        <v>7</v>
      </c>
    </row>
    <row r="473" spans="1:30" s="76" customFormat="1" ht="37.5">
      <c r="A473" s="82">
        <f>+SUBTOTAL(3,$B$7:B473)</f>
        <v>467</v>
      </c>
      <c r="B473" s="82" t="s">
        <v>444</v>
      </c>
      <c r="C473" s="82" t="s">
        <v>111</v>
      </c>
      <c r="D473" s="66" t="s">
        <v>227</v>
      </c>
      <c r="E473" s="82">
        <v>1</v>
      </c>
      <c r="F473" s="67">
        <v>307287491</v>
      </c>
      <c r="G473" s="66" t="s">
        <v>1167</v>
      </c>
      <c r="H473" s="66" t="s">
        <v>1166</v>
      </c>
      <c r="I473" s="66" t="s">
        <v>6</v>
      </c>
      <c r="J473" s="82" t="s">
        <v>34</v>
      </c>
      <c r="K473" s="67">
        <v>14050</v>
      </c>
      <c r="L473" s="82">
        <f t="shared" si="35"/>
        <v>9938.8799999999992</v>
      </c>
      <c r="M473" s="67">
        <v>3750</v>
      </c>
      <c r="N473" s="82"/>
      <c r="O473" s="82">
        <f t="shared" si="33"/>
        <v>10200</v>
      </c>
      <c r="P473" s="82">
        <f t="shared" si="34"/>
        <v>9938.8799999999992</v>
      </c>
      <c r="Q473" s="67"/>
      <c r="R473" s="82"/>
      <c r="S473" s="67">
        <v>1000</v>
      </c>
      <c r="T473" s="82">
        <v>974.4</v>
      </c>
      <c r="U473" s="67"/>
      <c r="V473" s="82"/>
      <c r="W473" s="82"/>
      <c r="X473" s="82"/>
      <c r="Y473" s="68">
        <v>125</v>
      </c>
      <c r="Z473" s="82"/>
      <c r="AA473" s="18">
        <v>44743</v>
      </c>
      <c r="AB473" s="74"/>
      <c r="AC473" s="75"/>
      <c r="AD473" s="70" t="s">
        <v>7</v>
      </c>
    </row>
    <row r="474" spans="1:30" s="76" customFormat="1" ht="37.5">
      <c r="A474" s="82">
        <f>+SUBTOTAL(3,$B$7:B474)</f>
        <v>468</v>
      </c>
      <c r="B474" s="82" t="s">
        <v>444</v>
      </c>
      <c r="C474" s="82" t="s">
        <v>111</v>
      </c>
      <c r="D474" s="66" t="s">
        <v>227</v>
      </c>
      <c r="E474" s="82">
        <v>3</v>
      </c>
      <c r="F474" s="67">
        <v>307287548</v>
      </c>
      <c r="G474" s="66" t="s">
        <v>1168</v>
      </c>
      <c r="H474" s="66" t="s">
        <v>1166</v>
      </c>
      <c r="I474" s="66" t="s">
        <v>6</v>
      </c>
      <c r="J474" s="82" t="s">
        <v>34</v>
      </c>
      <c r="K474" s="67">
        <v>14050</v>
      </c>
      <c r="L474" s="82">
        <f t="shared" si="35"/>
        <v>9911.34</v>
      </c>
      <c r="M474" s="67">
        <v>3750</v>
      </c>
      <c r="N474" s="82"/>
      <c r="O474" s="82">
        <f t="shared" si="33"/>
        <v>10200</v>
      </c>
      <c r="P474" s="82">
        <f t="shared" si="34"/>
        <v>9911.34</v>
      </c>
      <c r="Q474" s="67"/>
      <c r="R474" s="82"/>
      <c r="S474" s="67">
        <v>1000</v>
      </c>
      <c r="T474" s="82">
        <v>971.7</v>
      </c>
      <c r="U474" s="67"/>
      <c r="V474" s="82"/>
      <c r="W474" s="82"/>
      <c r="X474" s="82"/>
      <c r="Y474" s="68">
        <v>125</v>
      </c>
      <c r="Z474" s="82"/>
      <c r="AA474" s="18">
        <v>44743</v>
      </c>
      <c r="AB474" s="74"/>
      <c r="AC474" s="75"/>
      <c r="AD474" s="70" t="s">
        <v>7</v>
      </c>
    </row>
    <row r="475" spans="1:30" s="76" customFormat="1" ht="37.5">
      <c r="A475" s="82">
        <f>+SUBTOTAL(3,$B$7:B475)</f>
        <v>469</v>
      </c>
      <c r="B475" s="82" t="s">
        <v>444</v>
      </c>
      <c r="C475" s="82" t="s">
        <v>111</v>
      </c>
      <c r="D475" s="66" t="s">
        <v>227</v>
      </c>
      <c r="E475" s="82">
        <v>2</v>
      </c>
      <c r="F475" s="67">
        <v>303505364</v>
      </c>
      <c r="G475" s="66" t="s">
        <v>1169</v>
      </c>
      <c r="H475" s="66" t="s">
        <v>1170</v>
      </c>
      <c r="I475" s="66" t="s">
        <v>10</v>
      </c>
      <c r="J475" s="82" t="s">
        <v>30</v>
      </c>
      <c r="K475" s="67">
        <v>800</v>
      </c>
      <c r="L475" s="82">
        <f t="shared" si="35"/>
        <v>500</v>
      </c>
      <c r="M475" s="67">
        <v>800</v>
      </c>
      <c r="N475" s="82">
        <v>500</v>
      </c>
      <c r="O475" s="82">
        <f t="shared" si="33"/>
        <v>0</v>
      </c>
      <c r="P475" s="82">
        <f t="shared" si="34"/>
        <v>0</v>
      </c>
      <c r="Q475" s="67"/>
      <c r="R475" s="82"/>
      <c r="S475" s="67"/>
      <c r="T475" s="82"/>
      <c r="U475" s="67"/>
      <c r="V475" s="82"/>
      <c r="W475" s="82"/>
      <c r="X475" s="82"/>
      <c r="Y475" s="68">
        <v>4</v>
      </c>
      <c r="Z475" s="82">
        <v>2</v>
      </c>
      <c r="AA475" s="69">
        <v>44256</v>
      </c>
      <c r="AB475" s="74">
        <v>44165</v>
      </c>
      <c r="AC475" s="75" t="s">
        <v>1904</v>
      </c>
      <c r="AD475" s="70" t="s">
        <v>7</v>
      </c>
    </row>
    <row r="476" spans="1:30" s="76" customFormat="1" ht="37.5">
      <c r="A476" s="82">
        <f>+SUBTOTAL(3,$B$7:B476)</f>
        <v>470</v>
      </c>
      <c r="B476" s="82" t="s">
        <v>444</v>
      </c>
      <c r="C476" s="82" t="s">
        <v>111</v>
      </c>
      <c r="D476" s="66" t="s">
        <v>227</v>
      </c>
      <c r="E476" s="82">
        <v>2</v>
      </c>
      <c r="F476" s="67">
        <v>307287516</v>
      </c>
      <c r="G476" s="66" t="s">
        <v>1171</v>
      </c>
      <c r="H476" s="66" t="s">
        <v>1166</v>
      </c>
      <c r="I476" s="66" t="s">
        <v>6</v>
      </c>
      <c r="J476" s="82" t="s">
        <v>34</v>
      </c>
      <c r="K476" s="67">
        <v>14050</v>
      </c>
      <c r="L476" s="82">
        <f t="shared" si="35"/>
        <v>9931.74</v>
      </c>
      <c r="M476" s="67">
        <v>3750</v>
      </c>
      <c r="N476" s="82"/>
      <c r="O476" s="82">
        <f t="shared" si="33"/>
        <v>10200</v>
      </c>
      <c r="P476" s="82">
        <f t="shared" si="34"/>
        <v>9931.74</v>
      </c>
      <c r="Q476" s="67"/>
      <c r="R476" s="82"/>
      <c r="S476" s="67">
        <v>1000</v>
      </c>
      <c r="T476" s="82">
        <v>973.7</v>
      </c>
      <c r="U476" s="67"/>
      <c r="V476" s="82"/>
      <c r="W476" s="82"/>
      <c r="X476" s="82"/>
      <c r="Y476" s="68">
        <v>125</v>
      </c>
      <c r="Z476" s="82"/>
      <c r="AA476" s="69">
        <v>44743</v>
      </c>
      <c r="AB476" s="74"/>
      <c r="AC476" s="75"/>
      <c r="AD476" s="70" t="s">
        <v>7</v>
      </c>
    </row>
    <row r="477" spans="1:30" s="76" customFormat="1" ht="37.5">
      <c r="A477" s="82">
        <f>+SUBTOTAL(3,$B$7:B477)</f>
        <v>471</v>
      </c>
      <c r="B477" s="82" t="s">
        <v>444</v>
      </c>
      <c r="C477" s="82" t="s">
        <v>111</v>
      </c>
      <c r="D477" s="66" t="s">
        <v>227</v>
      </c>
      <c r="E477" s="82">
        <v>3</v>
      </c>
      <c r="F477" s="67">
        <v>204282464</v>
      </c>
      <c r="G477" s="66" t="s">
        <v>228</v>
      </c>
      <c r="H477" s="66" t="s">
        <v>229</v>
      </c>
      <c r="I477" s="66" t="s">
        <v>10</v>
      </c>
      <c r="J477" s="82" t="s">
        <v>60</v>
      </c>
      <c r="K477" s="67">
        <v>1500</v>
      </c>
      <c r="L477" s="82">
        <f t="shared" si="35"/>
        <v>0</v>
      </c>
      <c r="M477" s="67">
        <v>1000</v>
      </c>
      <c r="N477" s="82"/>
      <c r="O477" s="82">
        <f t="shared" si="33"/>
        <v>500</v>
      </c>
      <c r="P477" s="82">
        <f t="shared" si="34"/>
        <v>0</v>
      </c>
      <c r="Q477" s="67">
        <v>500</v>
      </c>
      <c r="R477" s="82"/>
      <c r="S477" s="67"/>
      <c r="T477" s="82"/>
      <c r="U477" s="67"/>
      <c r="V477" s="82"/>
      <c r="W477" s="82"/>
      <c r="X477" s="82"/>
      <c r="Y477" s="68">
        <v>8</v>
      </c>
      <c r="Z477" s="82"/>
      <c r="AA477" s="69">
        <v>44440</v>
      </c>
      <c r="AB477" s="74"/>
      <c r="AC477" s="75"/>
      <c r="AD477" s="70" t="s">
        <v>7</v>
      </c>
    </row>
    <row r="478" spans="1:30" s="76" customFormat="1" ht="37.5">
      <c r="A478" s="82">
        <f>+SUBTOTAL(3,$B$7:B478)</f>
        <v>472</v>
      </c>
      <c r="B478" s="82" t="s">
        <v>444</v>
      </c>
      <c r="C478" s="82" t="s">
        <v>111</v>
      </c>
      <c r="D478" s="66" t="s">
        <v>227</v>
      </c>
      <c r="E478" s="82">
        <v>2</v>
      </c>
      <c r="F478" s="67">
        <v>306805574</v>
      </c>
      <c r="G478" s="66" t="s">
        <v>1172</v>
      </c>
      <c r="H478" s="66" t="s">
        <v>119</v>
      </c>
      <c r="I478" s="66" t="s">
        <v>6</v>
      </c>
      <c r="J478" s="82" t="s">
        <v>34</v>
      </c>
      <c r="K478" s="67">
        <v>400</v>
      </c>
      <c r="L478" s="82">
        <f t="shared" si="35"/>
        <v>275</v>
      </c>
      <c r="M478" s="67">
        <v>200</v>
      </c>
      <c r="N478" s="82">
        <v>75</v>
      </c>
      <c r="O478" s="82">
        <f t="shared" si="33"/>
        <v>200</v>
      </c>
      <c r="P478" s="82">
        <f t="shared" si="34"/>
        <v>200</v>
      </c>
      <c r="Q478" s="67">
        <v>200</v>
      </c>
      <c r="R478" s="82">
        <v>200</v>
      </c>
      <c r="S478" s="67"/>
      <c r="T478" s="82"/>
      <c r="U478" s="67"/>
      <c r="V478" s="82"/>
      <c r="W478" s="82"/>
      <c r="X478" s="82"/>
      <c r="Y478" s="68">
        <v>4</v>
      </c>
      <c r="Z478" s="82">
        <v>3</v>
      </c>
      <c r="AA478" s="69">
        <v>44256</v>
      </c>
      <c r="AB478" s="74">
        <v>44062</v>
      </c>
      <c r="AC478" s="75" t="s">
        <v>1985</v>
      </c>
      <c r="AD478" s="70" t="s">
        <v>7</v>
      </c>
    </row>
    <row r="479" spans="1:30" s="76" customFormat="1" ht="37.5">
      <c r="A479" s="82">
        <f>+SUBTOTAL(3,$B$7:B479)</f>
        <v>473</v>
      </c>
      <c r="B479" s="82" t="s">
        <v>444</v>
      </c>
      <c r="C479" s="82" t="s">
        <v>111</v>
      </c>
      <c r="D479" s="66" t="s">
        <v>243</v>
      </c>
      <c r="E479" s="82">
        <v>1</v>
      </c>
      <c r="F479" s="67">
        <v>205996872</v>
      </c>
      <c r="G479" s="66" t="s">
        <v>244</v>
      </c>
      <c r="H479" s="66" t="s">
        <v>148</v>
      </c>
      <c r="I479" s="66" t="s">
        <v>9</v>
      </c>
      <c r="J479" s="82" t="s">
        <v>36</v>
      </c>
      <c r="K479" s="67">
        <v>3000</v>
      </c>
      <c r="L479" s="82">
        <f t="shared" si="35"/>
        <v>2244</v>
      </c>
      <c r="M479" s="67">
        <v>1000</v>
      </c>
      <c r="N479" s="82"/>
      <c r="O479" s="82">
        <f t="shared" si="33"/>
        <v>2000</v>
      </c>
      <c r="P479" s="82">
        <f t="shared" si="34"/>
        <v>2244</v>
      </c>
      <c r="Q479" s="67">
        <v>2000</v>
      </c>
      <c r="R479" s="82"/>
      <c r="S479" s="67">
        <v>0</v>
      </c>
      <c r="T479" s="82">
        <v>220</v>
      </c>
      <c r="U479" s="67">
        <v>0</v>
      </c>
      <c r="V479" s="82"/>
      <c r="W479" s="82"/>
      <c r="X479" s="82"/>
      <c r="Y479" s="68">
        <v>5</v>
      </c>
      <c r="Z479" s="82"/>
      <c r="AA479" s="69">
        <v>44420</v>
      </c>
      <c r="AB479" s="74"/>
      <c r="AC479" s="75"/>
      <c r="AD479" s="70" t="s">
        <v>445</v>
      </c>
    </row>
    <row r="480" spans="1:30" s="76" customFormat="1" ht="37.5">
      <c r="A480" s="82">
        <f>+SUBTOTAL(3,$B$7:B480)</f>
        <v>474</v>
      </c>
      <c r="B480" s="82" t="s">
        <v>444</v>
      </c>
      <c r="C480" s="82" t="s">
        <v>111</v>
      </c>
      <c r="D480" s="66" t="s">
        <v>243</v>
      </c>
      <c r="E480" s="82">
        <v>4</v>
      </c>
      <c r="F480" s="67">
        <v>302864656</v>
      </c>
      <c r="G480" s="66" t="s">
        <v>245</v>
      </c>
      <c r="H480" s="66" t="s">
        <v>1173</v>
      </c>
      <c r="I480" s="66" t="s">
        <v>6</v>
      </c>
      <c r="J480" s="82" t="s">
        <v>49</v>
      </c>
      <c r="K480" s="67">
        <v>1200</v>
      </c>
      <c r="L480" s="82">
        <f t="shared" si="35"/>
        <v>0</v>
      </c>
      <c r="M480" s="67">
        <v>700</v>
      </c>
      <c r="N480" s="82"/>
      <c r="O480" s="82">
        <f t="shared" si="33"/>
        <v>500</v>
      </c>
      <c r="P480" s="82">
        <f t="shared" si="34"/>
        <v>0</v>
      </c>
      <c r="Q480" s="67">
        <v>500</v>
      </c>
      <c r="R480" s="82"/>
      <c r="S480" s="67">
        <v>0</v>
      </c>
      <c r="T480" s="82"/>
      <c r="U480" s="67">
        <v>0</v>
      </c>
      <c r="V480" s="82"/>
      <c r="W480" s="82"/>
      <c r="X480" s="82"/>
      <c r="Y480" s="68">
        <v>8</v>
      </c>
      <c r="Z480" s="82"/>
      <c r="AA480" s="69">
        <v>44501</v>
      </c>
      <c r="AB480" s="74"/>
      <c r="AC480" s="75"/>
      <c r="AD480" s="70" t="s">
        <v>460</v>
      </c>
    </row>
    <row r="481" spans="1:30" s="76" customFormat="1" ht="37.5">
      <c r="A481" s="82">
        <f>+SUBTOTAL(3,$B$7:B481)</f>
        <v>475</v>
      </c>
      <c r="B481" s="82" t="s">
        <v>444</v>
      </c>
      <c r="C481" s="82" t="s">
        <v>111</v>
      </c>
      <c r="D481" s="66" t="s">
        <v>243</v>
      </c>
      <c r="E481" s="82">
        <v>1</v>
      </c>
      <c r="F481" s="67">
        <v>301891102</v>
      </c>
      <c r="G481" s="66" t="s">
        <v>246</v>
      </c>
      <c r="H481" s="66" t="s">
        <v>112</v>
      </c>
      <c r="I481" s="66" t="s">
        <v>6</v>
      </c>
      <c r="J481" s="82" t="s">
        <v>13</v>
      </c>
      <c r="K481" s="67">
        <v>14980.6</v>
      </c>
      <c r="L481" s="82">
        <f t="shared" si="35"/>
        <v>12240</v>
      </c>
      <c r="M481" s="67">
        <v>2600</v>
      </c>
      <c r="N481" s="82"/>
      <c r="O481" s="82">
        <f t="shared" si="33"/>
        <v>12260.4</v>
      </c>
      <c r="P481" s="82">
        <f t="shared" si="34"/>
        <v>12240</v>
      </c>
      <c r="Q481" s="67">
        <v>0</v>
      </c>
      <c r="R481" s="82"/>
      <c r="S481" s="67">
        <v>1202</v>
      </c>
      <c r="T481" s="82">
        <v>1200</v>
      </c>
      <c r="U481" s="67">
        <v>0</v>
      </c>
      <c r="V481" s="82"/>
      <c r="W481" s="82"/>
      <c r="X481" s="82"/>
      <c r="Y481" s="68">
        <v>40</v>
      </c>
      <c r="Z481" s="82"/>
      <c r="AA481" s="18">
        <v>44501</v>
      </c>
      <c r="AB481" s="74"/>
      <c r="AC481" s="75"/>
      <c r="AD481" s="70" t="s">
        <v>543</v>
      </c>
    </row>
    <row r="482" spans="1:30" s="76" customFormat="1" ht="37.5">
      <c r="A482" s="82">
        <f>+SUBTOTAL(3,$B$7:B482)</f>
        <v>476</v>
      </c>
      <c r="B482" s="82" t="s">
        <v>444</v>
      </c>
      <c r="C482" s="82" t="s">
        <v>111</v>
      </c>
      <c r="D482" s="66" t="s">
        <v>243</v>
      </c>
      <c r="E482" s="82">
        <v>1</v>
      </c>
      <c r="F482" s="67">
        <v>300492418</v>
      </c>
      <c r="G482" s="66" t="s">
        <v>247</v>
      </c>
      <c r="H482" s="66" t="s">
        <v>248</v>
      </c>
      <c r="I482" s="66" t="s">
        <v>6</v>
      </c>
      <c r="J482" s="82" t="s">
        <v>12</v>
      </c>
      <c r="K482" s="67">
        <v>5000</v>
      </c>
      <c r="L482" s="82">
        <f t="shared" si="35"/>
        <v>0</v>
      </c>
      <c r="M482" s="67">
        <v>2000</v>
      </c>
      <c r="N482" s="82"/>
      <c r="O482" s="82">
        <f t="shared" si="33"/>
        <v>3000</v>
      </c>
      <c r="P482" s="82">
        <f t="shared" si="34"/>
        <v>0</v>
      </c>
      <c r="Q482" s="67">
        <v>3000</v>
      </c>
      <c r="R482" s="82"/>
      <c r="S482" s="67">
        <v>0</v>
      </c>
      <c r="T482" s="82"/>
      <c r="U482" s="67">
        <v>0</v>
      </c>
      <c r="V482" s="82"/>
      <c r="W482" s="82"/>
      <c r="X482" s="82"/>
      <c r="Y482" s="68">
        <v>20</v>
      </c>
      <c r="Z482" s="82"/>
      <c r="AA482" s="69">
        <v>44501</v>
      </c>
      <c r="AB482" s="74"/>
      <c r="AC482" s="75"/>
      <c r="AD482" s="70" t="s">
        <v>8</v>
      </c>
    </row>
    <row r="483" spans="1:30" s="76" customFormat="1" ht="37.5">
      <c r="A483" s="82">
        <f>+SUBTOTAL(3,$B$7:B483)</f>
        <v>477</v>
      </c>
      <c r="B483" s="82" t="s">
        <v>444</v>
      </c>
      <c r="C483" s="82" t="s">
        <v>111</v>
      </c>
      <c r="D483" s="66" t="s">
        <v>243</v>
      </c>
      <c r="E483" s="82">
        <v>4</v>
      </c>
      <c r="F483" s="67">
        <v>306141549</v>
      </c>
      <c r="G483" s="66" t="s">
        <v>249</v>
      </c>
      <c r="H483" s="66" t="s">
        <v>250</v>
      </c>
      <c r="I483" s="66" t="s">
        <v>6</v>
      </c>
      <c r="J483" s="82" t="s">
        <v>11</v>
      </c>
      <c r="K483" s="67">
        <v>650</v>
      </c>
      <c r="L483" s="82">
        <f t="shared" si="35"/>
        <v>280</v>
      </c>
      <c r="M483" s="67">
        <v>350</v>
      </c>
      <c r="N483" s="82"/>
      <c r="O483" s="82">
        <f t="shared" si="33"/>
        <v>300</v>
      </c>
      <c r="P483" s="82">
        <f t="shared" si="34"/>
        <v>280</v>
      </c>
      <c r="Q483" s="67">
        <v>300</v>
      </c>
      <c r="R483" s="82">
        <v>280</v>
      </c>
      <c r="S483" s="67">
        <v>0</v>
      </c>
      <c r="T483" s="82"/>
      <c r="U483" s="67">
        <v>0</v>
      </c>
      <c r="V483" s="82"/>
      <c r="W483" s="82"/>
      <c r="X483" s="82"/>
      <c r="Y483" s="68">
        <v>4</v>
      </c>
      <c r="Z483" s="82"/>
      <c r="AA483" s="69">
        <v>44440</v>
      </c>
      <c r="AB483" s="74"/>
      <c r="AC483" s="75"/>
      <c r="AD483" s="70" t="s">
        <v>460</v>
      </c>
    </row>
    <row r="484" spans="1:30" s="76" customFormat="1" ht="56.25">
      <c r="A484" s="82">
        <f>+SUBTOTAL(3,$B$7:B484)</f>
        <v>478</v>
      </c>
      <c r="B484" s="82" t="s">
        <v>444</v>
      </c>
      <c r="C484" s="82" t="s">
        <v>111</v>
      </c>
      <c r="D484" s="66" t="s">
        <v>243</v>
      </c>
      <c r="E484" s="82">
        <v>3</v>
      </c>
      <c r="F484" s="67">
        <v>607291194</v>
      </c>
      <c r="G484" s="66" t="s">
        <v>252</v>
      </c>
      <c r="H484" s="66" t="s">
        <v>251</v>
      </c>
      <c r="I484" s="66" t="s">
        <v>9</v>
      </c>
      <c r="J484" s="82" t="s">
        <v>37</v>
      </c>
      <c r="K484" s="67">
        <v>4090</v>
      </c>
      <c r="L484" s="82">
        <f t="shared" si="35"/>
        <v>0</v>
      </c>
      <c r="M484" s="67">
        <v>1000</v>
      </c>
      <c r="N484" s="82"/>
      <c r="O484" s="82">
        <f t="shared" si="33"/>
        <v>3060</v>
      </c>
      <c r="P484" s="82">
        <f t="shared" si="34"/>
        <v>0</v>
      </c>
      <c r="Q484" s="67">
        <v>0</v>
      </c>
      <c r="R484" s="82"/>
      <c r="S484" s="67">
        <v>300</v>
      </c>
      <c r="T484" s="82"/>
      <c r="U484" s="67">
        <v>0</v>
      </c>
      <c r="V484" s="82"/>
      <c r="W484" s="82"/>
      <c r="X484" s="82"/>
      <c r="Y484" s="68">
        <v>5</v>
      </c>
      <c r="Z484" s="82"/>
      <c r="AA484" s="69">
        <v>44531</v>
      </c>
      <c r="AB484" s="74"/>
      <c r="AC484" s="75"/>
      <c r="AD484" s="70" t="s">
        <v>445</v>
      </c>
    </row>
    <row r="485" spans="1:30" s="76" customFormat="1" ht="37.5">
      <c r="A485" s="82">
        <f>+SUBTOTAL(3,$B$7:B485)</f>
        <v>479</v>
      </c>
      <c r="B485" s="82" t="s">
        <v>444</v>
      </c>
      <c r="C485" s="82" t="s">
        <v>111</v>
      </c>
      <c r="D485" s="66" t="s">
        <v>243</v>
      </c>
      <c r="E485" s="82">
        <v>3</v>
      </c>
      <c r="F485" s="67">
        <v>300676227</v>
      </c>
      <c r="G485" s="66" t="s">
        <v>256</v>
      </c>
      <c r="H485" s="66" t="s">
        <v>155</v>
      </c>
      <c r="I485" s="66" t="s">
        <v>10</v>
      </c>
      <c r="J485" s="82" t="s">
        <v>60</v>
      </c>
      <c r="K485" s="67">
        <v>1500</v>
      </c>
      <c r="L485" s="82">
        <f t="shared" si="35"/>
        <v>193.79999999999998</v>
      </c>
      <c r="M485" s="67">
        <v>500</v>
      </c>
      <c r="N485" s="82"/>
      <c r="O485" s="82">
        <f t="shared" si="33"/>
        <v>1000</v>
      </c>
      <c r="P485" s="82">
        <f t="shared" si="34"/>
        <v>193.79999999999998</v>
      </c>
      <c r="Q485" s="67">
        <v>1000</v>
      </c>
      <c r="R485" s="82"/>
      <c r="S485" s="67">
        <v>0</v>
      </c>
      <c r="T485" s="82">
        <v>19</v>
      </c>
      <c r="U485" s="67">
        <v>0</v>
      </c>
      <c r="V485" s="82"/>
      <c r="W485" s="82"/>
      <c r="X485" s="82"/>
      <c r="Y485" s="68">
        <v>10</v>
      </c>
      <c r="Z485" s="82"/>
      <c r="AA485" s="69">
        <v>44348</v>
      </c>
      <c r="AB485" s="74"/>
      <c r="AC485" s="75"/>
      <c r="AD485" s="70" t="s">
        <v>446</v>
      </c>
    </row>
    <row r="486" spans="1:30" s="76" customFormat="1" ht="37.5">
      <c r="A486" s="82">
        <f>+SUBTOTAL(3,$B$7:B486)</f>
        <v>480</v>
      </c>
      <c r="B486" s="82" t="s">
        <v>444</v>
      </c>
      <c r="C486" s="82" t="s">
        <v>111</v>
      </c>
      <c r="D486" s="66" t="s">
        <v>243</v>
      </c>
      <c r="E486" s="82">
        <v>4</v>
      </c>
      <c r="F486" s="67">
        <v>303302278</v>
      </c>
      <c r="G486" s="66" t="s">
        <v>258</v>
      </c>
      <c r="H486" s="66" t="s">
        <v>259</v>
      </c>
      <c r="I486" s="66" t="s">
        <v>9</v>
      </c>
      <c r="J486" s="82" t="s">
        <v>37</v>
      </c>
      <c r="K486" s="67">
        <v>9665</v>
      </c>
      <c r="L486" s="82">
        <f t="shared" si="35"/>
        <v>2900</v>
      </c>
      <c r="M486" s="67">
        <v>8000</v>
      </c>
      <c r="N486" s="82"/>
      <c r="O486" s="82">
        <f t="shared" si="33"/>
        <v>1665</v>
      </c>
      <c r="P486" s="82">
        <f t="shared" si="34"/>
        <v>2900</v>
      </c>
      <c r="Q486" s="67">
        <v>1665</v>
      </c>
      <c r="R486" s="82">
        <v>2900</v>
      </c>
      <c r="S486" s="67"/>
      <c r="T486" s="82"/>
      <c r="U486" s="67">
        <v>0</v>
      </c>
      <c r="V486" s="82"/>
      <c r="W486" s="82"/>
      <c r="X486" s="82"/>
      <c r="Y486" s="68">
        <v>25</v>
      </c>
      <c r="Z486" s="82"/>
      <c r="AA486" s="69">
        <v>44531</v>
      </c>
      <c r="AB486" s="74"/>
      <c r="AC486" s="75"/>
      <c r="AD486" s="70" t="s">
        <v>543</v>
      </c>
    </row>
    <row r="487" spans="1:30" s="76" customFormat="1" ht="37.5">
      <c r="A487" s="82">
        <f>+SUBTOTAL(3,$B$7:B487)</f>
        <v>481</v>
      </c>
      <c r="B487" s="82" t="s">
        <v>444</v>
      </c>
      <c r="C487" s="82" t="s">
        <v>111</v>
      </c>
      <c r="D487" s="66" t="s">
        <v>243</v>
      </c>
      <c r="E487" s="82">
        <v>4</v>
      </c>
      <c r="F487" s="67">
        <v>305503065</v>
      </c>
      <c r="G487" s="66" t="s">
        <v>262</v>
      </c>
      <c r="H487" s="66" t="s">
        <v>254</v>
      </c>
      <c r="I487" s="66" t="s">
        <v>10</v>
      </c>
      <c r="J487" s="82" t="s">
        <v>44</v>
      </c>
      <c r="K487" s="67">
        <v>3400</v>
      </c>
      <c r="L487" s="82">
        <f t="shared" si="35"/>
        <v>3400</v>
      </c>
      <c r="M487" s="67">
        <v>2500</v>
      </c>
      <c r="N487" s="82">
        <v>3400</v>
      </c>
      <c r="O487" s="82">
        <f t="shared" si="33"/>
        <v>900</v>
      </c>
      <c r="P487" s="82">
        <f t="shared" si="34"/>
        <v>0</v>
      </c>
      <c r="Q487" s="67">
        <v>900</v>
      </c>
      <c r="R487" s="82"/>
      <c r="S487" s="67">
        <v>0</v>
      </c>
      <c r="T487" s="82"/>
      <c r="U487" s="67">
        <v>0</v>
      </c>
      <c r="V487" s="82"/>
      <c r="W487" s="82"/>
      <c r="X487" s="82"/>
      <c r="Y487" s="68">
        <v>4</v>
      </c>
      <c r="Z487" s="82">
        <v>8</v>
      </c>
      <c r="AA487" s="69">
        <v>44256</v>
      </c>
      <c r="AB487" s="74">
        <v>44210</v>
      </c>
      <c r="AC487" s="75" t="s">
        <v>2078</v>
      </c>
      <c r="AD487" s="70" t="s">
        <v>4</v>
      </c>
    </row>
    <row r="488" spans="1:30" s="76" customFormat="1" ht="37.5">
      <c r="A488" s="82">
        <f>+SUBTOTAL(3,$B$7:B488)</f>
        <v>482</v>
      </c>
      <c r="B488" s="82" t="s">
        <v>444</v>
      </c>
      <c r="C488" s="82" t="s">
        <v>111</v>
      </c>
      <c r="D488" s="66" t="s">
        <v>243</v>
      </c>
      <c r="E488" s="82">
        <v>4</v>
      </c>
      <c r="F488" s="67">
        <v>305972869</v>
      </c>
      <c r="G488" s="66" t="s">
        <v>263</v>
      </c>
      <c r="H488" s="66" t="s">
        <v>254</v>
      </c>
      <c r="I488" s="66" t="s">
        <v>10</v>
      </c>
      <c r="J488" s="82" t="s">
        <v>44</v>
      </c>
      <c r="K488" s="67">
        <v>1100</v>
      </c>
      <c r="L488" s="82">
        <f t="shared" si="35"/>
        <v>1300</v>
      </c>
      <c r="M488" s="67">
        <v>500</v>
      </c>
      <c r="N488" s="82">
        <v>1000</v>
      </c>
      <c r="O488" s="82">
        <f t="shared" si="33"/>
        <v>600</v>
      </c>
      <c r="P488" s="82">
        <f t="shared" si="34"/>
        <v>300</v>
      </c>
      <c r="Q488" s="67">
        <v>600</v>
      </c>
      <c r="R488" s="82">
        <v>300</v>
      </c>
      <c r="S488" s="67">
        <v>0</v>
      </c>
      <c r="T488" s="82"/>
      <c r="U488" s="67">
        <v>0</v>
      </c>
      <c r="V488" s="82"/>
      <c r="W488" s="82"/>
      <c r="X488" s="82"/>
      <c r="Y488" s="68">
        <v>4</v>
      </c>
      <c r="Z488" s="82">
        <v>4</v>
      </c>
      <c r="AA488" s="69">
        <v>44501</v>
      </c>
      <c r="AB488" s="74">
        <v>44214</v>
      </c>
      <c r="AC488" s="75" t="s">
        <v>2080</v>
      </c>
      <c r="AD488" s="70" t="s">
        <v>460</v>
      </c>
    </row>
    <row r="489" spans="1:30" s="76" customFormat="1" ht="37.5">
      <c r="A489" s="82">
        <f>+SUBTOTAL(3,$B$7:B489)</f>
        <v>483</v>
      </c>
      <c r="B489" s="82" t="s">
        <v>444</v>
      </c>
      <c r="C489" s="82" t="s">
        <v>111</v>
      </c>
      <c r="D489" s="66" t="s">
        <v>243</v>
      </c>
      <c r="E489" s="82">
        <v>3</v>
      </c>
      <c r="F489" s="67">
        <v>307416006</v>
      </c>
      <c r="G489" s="66" t="s">
        <v>1174</v>
      </c>
      <c r="H489" s="66" t="s">
        <v>265</v>
      </c>
      <c r="I489" s="66" t="s">
        <v>10</v>
      </c>
      <c r="J489" s="82" t="s">
        <v>30</v>
      </c>
      <c r="K489" s="67">
        <v>300</v>
      </c>
      <c r="L489" s="82">
        <f t="shared" si="35"/>
        <v>300</v>
      </c>
      <c r="M489" s="67">
        <v>100</v>
      </c>
      <c r="N489" s="82">
        <v>200</v>
      </c>
      <c r="O489" s="82">
        <f t="shared" si="33"/>
        <v>200</v>
      </c>
      <c r="P489" s="82">
        <f t="shared" si="34"/>
        <v>100</v>
      </c>
      <c r="Q489" s="67">
        <v>200</v>
      </c>
      <c r="R489" s="82">
        <v>100</v>
      </c>
      <c r="S489" s="67">
        <v>0</v>
      </c>
      <c r="T489" s="82"/>
      <c r="U489" s="67">
        <v>0</v>
      </c>
      <c r="V489" s="82"/>
      <c r="W489" s="82"/>
      <c r="X489" s="82"/>
      <c r="Y489" s="68">
        <v>3</v>
      </c>
      <c r="Z489" s="82">
        <v>3</v>
      </c>
      <c r="AA489" s="69">
        <v>44501</v>
      </c>
      <c r="AB489" s="74">
        <v>44112</v>
      </c>
      <c r="AC489" s="75" t="s">
        <v>1891</v>
      </c>
      <c r="AD489" s="70" t="s">
        <v>453</v>
      </c>
    </row>
    <row r="490" spans="1:30" s="76" customFormat="1" ht="56.25">
      <c r="A490" s="82">
        <f>+SUBTOTAL(3,$B$7:B490)</f>
        <v>484</v>
      </c>
      <c r="B490" s="82" t="s">
        <v>444</v>
      </c>
      <c r="C490" s="82" t="s">
        <v>111</v>
      </c>
      <c r="D490" s="66" t="s">
        <v>243</v>
      </c>
      <c r="E490" s="82">
        <v>4</v>
      </c>
      <c r="F490" s="67">
        <v>306999699</v>
      </c>
      <c r="G490" s="66" t="s">
        <v>267</v>
      </c>
      <c r="H490" s="66" t="s">
        <v>268</v>
      </c>
      <c r="I490" s="66" t="s">
        <v>10</v>
      </c>
      <c r="J490" s="82" t="s">
        <v>44</v>
      </c>
      <c r="K490" s="67">
        <v>62000</v>
      </c>
      <c r="L490" s="82">
        <f t="shared" si="35"/>
        <v>5600</v>
      </c>
      <c r="M490" s="67">
        <v>36000</v>
      </c>
      <c r="N490" s="82"/>
      <c r="O490" s="82">
        <f t="shared" si="33"/>
        <v>26000</v>
      </c>
      <c r="P490" s="82">
        <f t="shared" si="34"/>
        <v>5600</v>
      </c>
      <c r="Q490" s="67">
        <v>26000</v>
      </c>
      <c r="R490" s="82">
        <v>5600</v>
      </c>
      <c r="S490" s="67"/>
      <c r="T490" s="82"/>
      <c r="U490" s="67"/>
      <c r="V490" s="82"/>
      <c r="W490" s="82"/>
      <c r="X490" s="82"/>
      <c r="Y490" s="68">
        <v>30</v>
      </c>
      <c r="Z490" s="82"/>
      <c r="AA490" s="69">
        <v>44287</v>
      </c>
      <c r="AB490" s="74"/>
      <c r="AC490" s="75"/>
      <c r="AD490" s="70" t="s">
        <v>453</v>
      </c>
    </row>
    <row r="491" spans="1:30" s="76" customFormat="1" ht="37.5">
      <c r="A491" s="82">
        <f>+SUBTOTAL(3,$B$7:B491)</f>
        <v>485</v>
      </c>
      <c r="B491" s="82" t="s">
        <v>444</v>
      </c>
      <c r="C491" s="82" t="s">
        <v>111</v>
      </c>
      <c r="D491" s="66" t="s">
        <v>243</v>
      </c>
      <c r="E491" s="82">
        <v>1</v>
      </c>
      <c r="F491" s="67">
        <v>307249554</v>
      </c>
      <c r="G491" s="66" t="s">
        <v>272</v>
      </c>
      <c r="H491" s="66" t="s">
        <v>47</v>
      </c>
      <c r="I491" s="66" t="s">
        <v>9</v>
      </c>
      <c r="J491" s="82" t="s">
        <v>47</v>
      </c>
      <c r="K491" s="67">
        <v>10963</v>
      </c>
      <c r="L491" s="82">
        <f t="shared" si="35"/>
        <v>0</v>
      </c>
      <c r="M491" s="67">
        <v>3200</v>
      </c>
      <c r="N491" s="82"/>
      <c r="O491" s="82">
        <f t="shared" si="33"/>
        <v>7649.9999999999991</v>
      </c>
      <c r="P491" s="82">
        <f t="shared" si="34"/>
        <v>0</v>
      </c>
      <c r="Q491" s="67"/>
      <c r="R491" s="82"/>
      <c r="S491" s="67">
        <v>750</v>
      </c>
      <c r="T491" s="82"/>
      <c r="U491" s="67"/>
      <c r="V491" s="82"/>
      <c r="W491" s="82"/>
      <c r="X491" s="82"/>
      <c r="Y491" s="68">
        <v>20</v>
      </c>
      <c r="Z491" s="82"/>
      <c r="AA491" s="69">
        <v>44593</v>
      </c>
      <c r="AB491" s="74"/>
      <c r="AC491" s="75"/>
      <c r="AD491" s="70" t="s">
        <v>453</v>
      </c>
    </row>
    <row r="492" spans="1:30" s="76" customFormat="1" ht="37.5">
      <c r="A492" s="82">
        <f>+SUBTOTAL(3,$B$7:B492)</f>
        <v>486</v>
      </c>
      <c r="B492" s="82" t="s">
        <v>444</v>
      </c>
      <c r="C492" s="82" t="s">
        <v>111</v>
      </c>
      <c r="D492" s="66" t="s">
        <v>243</v>
      </c>
      <c r="E492" s="82">
        <v>1</v>
      </c>
      <c r="F492" s="67">
        <v>307249555</v>
      </c>
      <c r="G492" s="66" t="s">
        <v>273</v>
      </c>
      <c r="H492" s="66" t="s">
        <v>47</v>
      </c>
      <c r="I492" s="66" t="s">
        <v>9</v>
      </c>
      <c r="J492" s="82" t="s">
        <v>47</v>
      </c>
      <c r="K492" s="67">
        <v>11263</v>
      </c>
      <c r="L492" s="82">
        <f t="shared" si="35"/>
        <v>0</v>
      </c>
      <c r="M492" s="67">
        <v>3500</v>
      </c>
      <c r="N492" s="82"/>
      <c r="O492" s="82">
        <f t="shared" si="33"/>
        <v>7649.9999999999991</v>
      </c>
      <c r="P492" s="82">
        <f t="shared" si="34"/>
        <v>0</v>
      </c>
      <c r="Q492" s="67"/>
      <c r="R492" s="82"/>
      <c r="S492" s="67">
        <v>750</v>
      </c>
      <c r="T492" s="82"/>
      <c r="U492" s="67"/>
      <c r="V492" s="82"/>
      <c r="W492" s="82"/>
      <c r="X492" s="82"/>
      <c r="Y492" s="68">
        <v>20</v>
      </c>
      <c r="Z492" s="82"/>
      <c r="AA492" s="69">
        <v>44593</v>
      </c>
      <c r="AB492" s="74"/>
      <c r="AC492" s="75"/>
      <c r="AD492" s="70" t="s">
        <v>453</v>
      </c>
    </row>
    <row r="493" spans="1:30" s="76" customFormat="1" ht="37.5">
      <c r="A493" s="82">
        <f>+SUBTOTAL(3,$B$7:B493)</f>
        <v>487</v>
      </c>
      <c r="B493" s="82" t="s">
        <v>444</v>
      </c>
      <c r="C493" s="82" t="s">
        <v>111</v>
      </c>
      <c r="D493" s="66" t="s">
        <v>243</v>
      </c>
      <c r="E493" s="82">
        <v>3</v>
      </c>
      <c r="F493" s="67">
        <v>305053168</v>
      </c>
      <c r="G493" s="66" t="s">
        <v>275</v>
      </c>
      <c r="H493" s="66" t="s">
        <v>276</v>
      </c>
      <c r="I493" s="66" t="s">
        <v>9</v>
      </c>
      <c r="J493" s="82" t="s">
        <v>36</v>
      </c>
      <c r="K493" s="67">
        <v>700</v>
      </c>
      <c r="L493" s="82">
        <f t="shared" si="35"/>
        <v>0</v>
      </c>
      <c r="M493" s="67">
        <v>200</v>
      </c>
      <c r="N493" s="82"/>
      <c r="O493" s="82">
        <f t="shared" si="33"/>
        <v>500</v>
      </c>
      <c r="P493" s="82">
        <f t="shared" si="34"/>
        <v>0</v>
      </c>
      <c r="Q493" s="67">
        <v>500</v>
      </c>
      <c r="R493" s="82"/>
      <c r="S493" s="67"/>
      <c r="T493" s="82"/>
      <c r="U493" s="67"/>
      <c r="V493" s="82"/>
      <c r="W493" s="82"/>
      <c r="X493" s="82"/>
      <c r="Y493" s="68">
        <v>3</v>
      </c>
      <c r="Z493" s="82"/>
      <c r="AA493" s="18">
        <v>44531</v>
      </c>
      <c r="AB493" s="74"/>
      <c r="AC493" s="75"/>
      <c r="AD493" s="70" t="s">
        <v>445</v>
      </c>
    </row>
    <row r="494" spans="1:30" s="76" customFormat="1" ht="37.5">
      <c r="A494" s="82">
        <f>+SUBTOTAL(3,$B$7:B494)</f>
        <v>488</v>
      </c>
      <c r="B494" s="82" t="s">
        <v>444</v>
      </c>
      <c r="C494" s="82" t="s">
        <v>111</v>
      </c>
      <c r="D494" s="66" t="s">
        <v>243</v>
      </c>
      <c r="E494" s="82">
        <v>2</v>
      </c>
      <c r="F494" s="67">
        <v>306981951</v>
      </c>
      <c r="G494" s="66" t="s">
        <v>277</v>
      </c>
      <c r="H494" s="66" t="s">
        <v>278</v>
      </c>
      <c r="I494" s="66" t="s">
        <v>9</v>
      </c>
      <c r="J494" s="82" t="s">
        <v>36</v>
      </c>
      <c r="K494" s="67">
        <v>880</v>
      </c>
      <c r="L494" s="82">
        <f t="shared" si="35"/>
        <v>880</v>
      </c>
      <c r="M494" s="67">
        <v>280</v>
      </c>
      <c r="N494" s="82">
        <v>280</v>
      </c>
      <c r="O494" s="82">
        <f t="shared" si="33"/>
        <v>600</v>
      </c>
      <c r="P494" s="82">
        <f t="shared" si="34"/>
        <v>600</v>
      </c>
      <c r="Q494" s="67">
        <v>600</v>
      </c>
      <c r="R494" s="82">
        <v>600</v>
      </c>
      <c r="S494" s="67"/>
      <c r="T494" s="82"/>
      <c r="U494" s="67"/>
      <c r="V494" s="82"/>
      <c r="W494" s="82"/>
      <c r="X494" s="82"/>
      <c r="Y494" s="68">
        <v>4</v>
      </c>
      <c r="Z494" s="82">
        <v>2</v>
      </c>
      <c r="AA494" s="69">
        <v>44166</v>
      </c>
      <c r="AB494" s="74">
        <v>44175</v>
      </c>
      <c r="AC494" s="75" t="s">
        <v>2018</v>
      </c>
      <c r="AD494" s="70" t="s">
        <v>445</v>
      </c>
    </row>
    <row r="495" spans="1:30" s="76" customFormat="1" ht="37.5">
      <c r="A495" s="82">
        <f>+SUBTOTAL(3,$B$7:B495)</f>
        <v>489</v>
      </c>
      <c r="B495" s="82" t="s">
        <v>444</v>
      </c>
      <c r="C495" s="82" t="s">
        <v>111</v>
      </c>
      <c r="D495" s="66" t="s">
        <v>243</v>
      </c>
      <c r="E495" s="82">
        <v>4</v>
      </c>
      <c r="F495" s="67">
        <v>307217206</v>
      </c>
      <c r="G495" s="66" t="s">
        <v>279</v>
      </c>
      <c r="H495" s="66" t="s">
        <v>280</v>
      </c>
      <c r="I495" s="66" t="s">
        <v>9</v>
      </c>
      <c r="J495" s="82" t="s">
        <v>36</v>
      </c>
      <c r="K495" s="67">
        <v>410</v>
      </c>
      <c r="L495" s="82">
        <f t="shared" si="35"/>
        <v>550</v>
      </c>
      <c r="M495" s="67">
        <v>50</v>
      </c>
      <c r="N495" s="82">
        <v>50</v>
      </c>
      <c r="O495" s="82">
        <f t="shared" si="33"/>
        <v>360</v>
      </c>
      <c r="P495" s="82">
        <f t="shared" si="34"/>
        <v>500</v>
      </c>
      <c r="Q495" s="67">
        <v>360</v>
      </c>
      <c r="R495" s="82">
        <v>500</v>
      </c>
      <c r="S495" s="67"/>
      <c r="T495" s="82"/>
      <c r="U495" s="67"/>
      <c r="V495" s="82"/>
      <c r="W495" s="82"/>
      <c r="X495" s="82"/>
      <c r="Y495" s="68">
        <v>3</v>
      </c>
      <c r="Z495" s="82">
        <v>2</v>
      </c>
      <c r="AA495" s="69">
        <v>44166</v>
      </c>
      <c r="AB495" s="74">
        <v>44170</v>
      </c>
      <c r="AC495" s="75" t="s">
        <v>2051</v>
      </c>
      <c r="AD495" s="70" t="s">
        <v>445</v>
      </c>
    </row>
    <row r="496" spans="1:30" s="76" customFormat="1" ht="37.5">
      <c r="A496" s="82">
        <f>+SUBTOTAL(3,$B$7:B496)</f>
        <v>490</v>
      </c>
      <c r="B496" s="82" t="s">
        <v>444</v>
      </c>
      <c r="C496" s="82" t="s">
        <v>111</v>
      </c>
      <c r="D496" s="66" t="s">
        <v>243</v>
      </c>
      <c r="E496" s="82">
        <v>3</v>
      </c>
      <c r="F496" s="67">
        <v>607291194</v>
      </c>
      <c r="G496" s="66" t="s">
        <v>252</v>
      </c>
      <c r="H496" s="66" t="s">
        <v>287</v>
      </c>
      <c r="I496" s="66" t="s">
        <v>9</v>
      </c>
      <c r="J496" s="82" t="s">
        <v>41</v>
      </c>
      <c r="K496" s="67">
        <v>1180</v>
      </c>
      <c r="L496" s="82">
        <f t="shared" si="35"/>
        <v>1070</v>
      </c>
      <c r="M496" s="67">
        <v>50</v>
      </c>
      <c r="N496" s="82">
        <v>50</v>
      </c>
      <c r="O496" s="82">
        <f t="shared" si="33"/>
        <v>1120</v>
      </c>
      <c r="P496" s="82">
        <f t="shared" si="34"/>
        <v>1019.9999999999999</v>
      </c>
      <c r="Q496" s="67">
        <v>100</v>
      </c>
      <c r="R496" s="82"/>
      <c r="S496" s="67">
        <v>100</v>
      </c>
      <c r="T496" s="82">
        <v>100</v>
      </c>
      <c r="U496" s="67">
        <v>0</v>
      </c>
      <c r="V496" s="82"/>
      <c r="W496" s="82"/>
      <c r="X496" s="82"/>
      <c r="Y496" s="68">
        <v>5</v>
      </c>
      <c r="Z496" s="82">
        <v>3</v>
      </c>
      <c r="AA496" s="69">
        <v>44256</v>
      </c>
      <c r="AB496" s="74">
        <v>44216</v>
      </c>
      <c r="AC496" s="75" t="s">
        <v>2086</v>
      </c>
      <c r="AD496" s="70" t="s">
        <v>445</v>
      </c>
    </row>
    <row r="497" spans="1:30" s="76" customFormat="1" ht="37.5">
      <c r="A497" s="82">
        <f>+SUBTOTAL(3,$B$7:B497)</f>
        <v>491</v>
      </c>
      <c r="B497" s="82" t="s">
        <v>444</v>
      </c>
      <c r="C497" s="82" t="s">
        <v>111</v>
      </c>
      <c r="D497" s="66" t="s">
        <v>243</v>
      </c>
      <c r="E497" s="82">
        <v>2</v>
      </c>
      <c r="F497" s="67">
        <v>307083382</v>
      </c>
      <c r="G497" s="66" t="s">
        <v>1175</v>
      </c>
      <c r="H497" s="66" t="s">
        <v>136</v>
      </c>
      <c r="I497" s="66" t="s">
        <v>9</v>
      </c>
      <c r="J497" s="82" t="s">
        <v>36</v>
      </c>
      <c r="K497" s="67">
        <v>700</v>
      </c>
      <c r="L497" s="82">
        <f t="shared" si="35"/>
        <v>700</v>
      </c>
      <c r="M497" s="67">
        <v>200</v>
      </c>
      <c r="N497" s="82">
        <v>200</v>
      </c>
      <c r="O497" s="82">
        <f t="shared" si="33"/>
        <v>500</v>
      </c>
      <c r="P497" s="82">
        <f t="shared" si="34"/>
        <v>500</v>
      </c>
      <c r="Q497" s="67">
        <v>500</v>
      </c>
      <c r="R497" s="82">
        <v>500</v>
      </c>
      <c r="S497" s="67"/>
      <c r="T497" s="82"/>
      <c r="U497" s="67"/>
      <c r="V497" s="82"/>
      <c r="W497" s="82"/>
      <c r="X497" s="82"/>
      <c r="Y497" s="68">
        <v>4</v>
      </c>
      <c r="Z497" s="82">
        <v>2</v>
      </c>
      <c r="AA497" s="18">
        <v>44285</v>
      </c>
      <c r="AB497" s="74">
        <v>44216</v>
      </c>
      <c r="AC497" s="75" t="s">
        <v>2005</v>
      </c>
      <c r="AD497" s="70" t="s">
        <v>445</v>
      </c>
    </row>
    <row r="498" spans="1:30" s="76" customFormat="1" ht="37.5">
      <c r="A498" s="82">
        <f>+SUBTOTAL(3,$B$7:B498)</f>
        <v>492</v>
      </c>
      <c r="B498" s="82" t="s">
        <v>444</v>
      </c>
      <c r="C498" s="82" t="s">
        <v>111</v>
      </c>
      <c r="D498" s="66" t="s">
        <v>243</v>
      </c>
      <c r="E498" s="82">
        <v>1</v>
      </c>
      <c r="F498" s="67">
        <v>307412241</v>
      </c>
      <c r="G498" s="66" t="s">
        <v>1176</v>
      </c>
      <c r="H498" s="66" t="s">
        <v>1050</v>
      </c>
      <c r="I498" s="66" t="s">
        <v>9</v>
      </c>
      <c r="J498" s="82" t="s">
        <v>36</v>
      </c>
      <c r="K498" s="67">
        <v>36000</v>
      </c>
      <c r="L498" s="82">
        <f t="shared" si="35"/>
        <v>0</v>
      </c>
      <c r="M498" s="67">
        <v>6000</v>
      </c>
      <c r="N498" s="82"/>
      <c r="O498" s="82">
        <f t="shared" si="33"/>
        <v>30000</v>
      </c>
      <c r="P498" s="82">
        <f t="shared" si="34"/>
        <v>0</v>
      </c>
      <c r="Q498" s="67">
        <v>30000</v>
      </c>
      <c r="R498" s="82"/>
      <c r="S498" s="67"/>
      <c r="T498" s="82"/>
      <c r="U498" s="67"/>
      <c r="V498" s="82"/>
      <c r="W498" s="82"/>
      <c r="X498" s="82"/>
      <c r="Y498" s="68">
        <v>8</v>
      </c>
      <c r="Z498" s="82"/>
      <c r="AA498" s="18">
        <v>44835</v>
      </c>
      <c r="AB498" s="74"/>
      <c r="AC498" s="75"/>
      <c r="AD498" s="70" t="s">
        <v>445</v>
      </c>
    </row>
    <row r="499" spans="1:30" s="76" customFormat="1" ht="37.5">
      <c r="A499" s="82">
        <f>+SUBTOTAL(3,$B$7:B499)</f>
        <v>493</v>
      </c>
      <c r="B499" s="82" t="s">
        <v>444</v>
      </c>
      <c r="C499" s="82" t="s">
        <v>111</v>
      </c>
      <c r="D499" s="66" t="s">
        <v>243</v>
      </c>
      <c r="E499" s="82">
        <v>1</v>
      </c>
      <c r="F499" s="67">
        <v>306592709</v>
      </c>
      <c r="G499" s="66" t="s">
        <v>1177</v>
      </c>
      <c r="H499" s="66" t="s">
        <v>1178</v>
      </c>
      <c r="I499" s="66" t="s">
        <v>9</v>
      </c>
      <c r="J499" s="82" t="s">
        <v>41</v>
      </c>
      <c r="K499" s="67">
        <v>2860</v>
      </c>
      <c r="L499" s="82">
        <f t="shared" si="35"/>
        <v>0</v>
      </c>
      <c r="M499" s="67">
        <v>800</v>
      </c>
      <c r="N499" s="82"/>
      <c r="O499" s="82">
        <f t="shared" si="33"/>
        <v>2039.9999999999998</v>
      </c>
      <c r="P499" s="82">
        <f t="shared" si="34"/>
        <v>0</v>
      </c>
      <c r="Q499" s="67">
        <v>0</v>
      </c>
      <c r="R499" s="82"/>
      <c r="S499" s="67">
        <v>200</v>
      </c>
      <c r="T499" s="82"/>
      <c r="U499" s="67"/>
      <c r="V499" s="82"/>
      <c r="W499" s="82"/>
      <c r="X499" s="82"/>
      <c r="Y499" s="68">
        <v>6</v>
      </c>
      <c r="Z499" s="82"/>
      <c r="AA499" s="69">
        <v>44531</v>
      </c>
      <c r="AB499" s="74"/>
      <c r="AC499" s="75"/>
      <c r="AD499" s="70" t="s">
        <v>445</v>
      </c>
    </row>
    <row r="500" spans="1:30" s="76" customFormat="1" ht="37.5">
      <c r="A500" s="82">
        <f>+SUBTOTAL(3,$B$7:B500)</f>
        <v>494</v>
      </c>
      <c r="B500" s="82" t="s">
        <v>444</v>
      </c>
      <c r="C500" s="82" t="s">
        <v>111</v>
      </c>
      <c r="D500" s="66" t="s">
        <v>243</v>
      </c>
      <c r="E500" s="82">
        <v>1</v>
      </c>
      <c r="F500" s="67">
        <v>303205532</v>
      </c>
      <c r="G500" s="66" t="s">
        <v>269</v>
      </c>
      <c r="H500" s="66" t="s">
        <v>1179</v>
      </c>
      <c r="I500" s="66" t="s">
        <v>9</v>
      </c>
      <c r="J500" s="82" t="s">
        <v>37</v>
      </c>
      <c r="K500" s="67">
        <v>18485</v>
      </c>
      <c r="L500" s="82">
        <f t="shared" si="35"/>
        <v>10200</v>
      </c>
      <c r="M500" s="67">
        <v>5610</v>
      </c>
      <c r="N500" s="82"/>
      <c r="O500" s="82">
        <f t="shared" si="33"/>
        <v>12750</v>
      </c>
      <c r="P500" s="82">
        <f t="shared" si="34"/>
        <v>10200</v>
      </c>
      <c r="Q500" s="67">
        <v>0</v>
      </c>
      <c r="R500" s="82"/>
      <c r="S500" s="67">
        <v>1250</v>
      </c>
      <c r="T500" s="82">
        <v>1000</v>
      </c>
      <c r="U500" s="67"/>
      <c r="V500" s="82"/>
      <c r="W500" s="82"/>
      <c r="X500" s="82"/>
      <c r="Y500" s="68">
        <v>30</v>
      </c>
      <c r="Z500" s="82"/>
      <c r="AA500" s="69">
        <v>44359</v>
      </c>
      <c r="AB500" s="74"/>
      <c r="AC500" s="75"/>
      <c r="AD500" s="70" t="s">
        <v>1</v>
      </c>
    </row>
    <row r="501" spans="1:30" s="76" customFormat="1" ht="56.25">
      <c r="A501" s="82">
        <f>+SUBTOTAL(3,$B$7:B501)</f>
        <v>495</v>
      </c>
      <c r="B501" s="82" t="s">
        <v>444</v>
      </c>
      <c r="C501" s="82" t="s">
        <v>111</v>
      </c>
      <c r="D501" s="66" t="s">
        <v>243</v>
      </c>
      <c r="E501" s="82">
        <v>4</v>
      </c>
      <c r="F501" s="67">
        <v>306086807</v>
      </c>
      <c r="G501" s="66" t="s">
        <v>1180</v>
      </c>
      <c r="H501" s="66" t="s">
        <v>1181</v>
      </c>
      <c r="I501" s="66" t="s">
        <v>6</v>
      </c>
      <c r="J501" s="82" t="s">
        <v>34</v>
      </c>
      <c r="K501" s="67">
        <v>614640</v>
      </c>
      <c r="L501" s="82">
        <f t="shared" si="35"/>
        <v>0</v>
      </c>
      <c r="M501" s="67">
        <v>346840</v>
      </c>
      <c r="N501" s="82"/>
      <c r="O501" s="82">
        <f t="shared" si="33"/>
        <v>0</v>
      </c>
      <c r="P501" s="82">
        <f t="shared" si="34"/>
        <v>0</v>
      </c>
      <c r="Q501" s="67">
        <v>0</v>
      </c>
      <c r="R501" s="82"/>
      <c r="S501" s="67"/>
      <c r="T501" s="82"/>
      <c r="U501" s="67">
        <v>26000</v>
      </c>
      <c r="V501" s="82"/>
      <c r="W501" s="82"/>
      <c r="X501" s="82"/>
      <c r="Y501" s="68">
        <v>255</v>
      </c>
      <c r="Z501" s="82"/>
      <c r="AA501" s="69">
        <v>44531</v>
      </c>
      <c r="AB501" s="74"/>
      <c r="AC501" s="75"/>
      <c r="AD501" s="70" t="s">
        <v>477</v>
      </c>
    </row>
    <row r="502" spans="1:30" s="76" customFormat="1" ht="56.25">
      <c r="A502" s="82">
        <f>+SUBTOTAL(3,$B$7:B502)</f>
        <v>496</v>
      </c>
      <c r="B502" s="82" t="s">
        <v>444</v>
      </c>
      <c r="C502" s="82" t="s">
        <v>111</v>
      </c>
      <c r="D502" s="66" t="s">
        <v>243</v>
      </c>
      <c r="E502" s="82">
        <v>2</v>
      </c>
      <c r="F502" s="67">
        <v>200489493</v>
      </c>
      <c r="G502" s="66" t="s">
        <v>266</v>
      </c>
      <c r="H502" s="66" t="s">
        <v>1182</v>
      </c>
      <c r="I502" s="66" t="s">
        <v>6</v>
      </c>
      <c r="J502" s="82" t="s">
        <v>34</v>
      </c>
      <c r="K502" s="67">
        <v>29875</v>
      </c>
      <c r="L502" s="82">
        <f t="shared" si="35"/>
        <v>0</v>
      </c>
      <c r="M502" s="67">
        <v>4000</v>
      </c>
      <c r="N502" s="82"/>
      <c r="O502" s="82">
        <f t="shared" si="33"/>
        <v>25500</v>
      </c>
      <c r="P502" s="82">
        <f t="shared" si="34"/>
        <v>0</v>
      </c>
      <c r="Q502" s="67">
        <v>0</v>
      </c>
      <c r="R502" s="82"/>
      <c r="S502" s="67">
        <v>2500</v>
      </c>
      <c r="T502" s="82"/>
      <c r="U502" s="67"/>
      <c r="V502" s="82"/>
      <c r="W502" s="82"/>
      <c r="X502" s="82"/>
      <c r="Y502" s="68">
        <v>220</v>
      </c>
      <c r="Z502" s="82"/>
      <c r="AA502" s="18">
        <v>44554</v>
      </c>
      <c r="AB502" s="74"/>
      <c r="AC502" s="75"/>
      <c r="AD502" s="70" t="s">
        <v>1</v>
      </c>
    </row>
    <row r="503" spans="1:30" s="76" customFormat="1" ht="75">
      <c r="A503" s="82">
        <f>+SUBTOTAL(3,$B$7:B503)</f>
        <v>497</v>
      </c>
      <c r="B503" s="82" t="s">
        <v>444</v>
      </c>
      <c r="C503" s="82" t="s">
        <v>111</v>
      </c>
      <c r="D503" s="66" t="s">
        <v>243</v>
      </c>
      <c r="E503" s="82">
        <v>1</v>
      </c>
      <c r="F503" s="67">
        <v>306161175</v>
      </c>
      <c r="G503" s="66" t="s">
        <v>1183</v>
      </c>
      <c r="H503" s="66" t="s">
        <v>1184</v>
      </c>
      <c r="I503" s="66" t="s">
        <v>6</v>
      </c>
      <c r="J503" s="82" t="s">
        <v>51</v>
      </c>
      <c r="K503" s="67">
        <v>39550</v>
      </c>
      <c r="L503" s="82">
        <f t="shared" si="35"/>
        <v>0</v>
      </c>
      <c r="M503" s="67">
        <v>13800</v>
      </c>
      <c r="N503" s="82"/>
      <c r="O503" s="82">
        <f t="shared" si="33"/>
        <v>0</v>
      </c>
      <c r="P503" s="82">
        <f t="shared" si="34"/>
        <v>0</v>
      </c>
      <c r="Q503" s="67">
        <v>0</v>
      </c>
      <c r="R503" s="82"/>
      <c r="S503" s="67"/>
      <c r="T503" s="82"/>
      <c r="U503" s="67">
        <v>2500</v>
      </c>
      <c r="V503" s="82"/>
      <c r="W503" s="82"/>
      <c r="X503" s="82"/>
      <c r="Y503" s="68">
        <v>60</v>
      </c>
      <c r="Z503" s="82"/>
      <c r="AA503" s="69">
        <v>44682</v>
      </c>
      <c r="AB503" s="74"/>
      <c r="AC503" s="75"/>
      <c r="AD503" s="70" t="s">
        <v>477</v>
      </c>
    </row>
    <row r="504" spans="1:30" s="76" customFormat="1" ht="37.5">
      <c r="A504" s="82">
        <f>+SUBTOTAL(3,$B$7:B504)</f>
        <v>498</v>
      </c>
      <c r="B504" s="82" t="s">
        <v>444</v>
      </c>
      <c r="C504" s="82" t="s">
        <v>111</v>
      </c>
      <c r="D504" s="66" t="s">
        <v>243</v>
      </c>
      <c r="E504" s="82">
        <v>4</v>
      </c>
      <c r="F504" s="67">
        <v>304126654</v>
      </c>
      <c r="G504" s="66" t="s">
        <v>438</v>
      </c>
      <c r="H504" s="66" t="s">
        <v>122</v>
      </c>
      <c r="I504" s="66" t="s">
        <v>10</v>
      </c>
      <c r="J504" s="82" t="s">
        <v>59</v>
      </c>
      <c r="K504" s="67">
        <v>850</v>
      </c>
      <c r="L504" s="82">
        <f t="shared" si="35"/>
        <v>850</v>
      </c>
      <c r="M504" s="67">
        <v>150</v>
      </c>
      <c r="N504" s="82">
        <v>850</v>
      </c>
      <c r="O504" s="82">
        <f t="shared" si="33"/>
        <v>700</v>
      </c>
      <c r="P504" s="82">
        <f t="shared" si="34"/>
        <v>0</v>
      </c>
      <c r="Q504" s="67">
        <v>700</v>
      </c>
      <c r="R504" s="82"/>
      <c r="S504" s="67"/>
      <c r="T504" s="82"/>
      <c r="U504" s="67"/>
      <c r="V504" s="82"/>
      <c r="W504" s="82"/>
      <c r="X504" s="82"/>
      <c r="Y504" s="68">
        <v>2</v>
      </c>
      <c r="Z504" s="82">
        <v>2</v>
      </c>
      <c r="AA504" s="69">
        <v>44228</v>
      </c>
      <c r="AB504" s="74">
        <v>44214</v>
      </c>
      <c r="AC504" s="75" t="s">
        <v>2099</v>
      </c>
      <c r="AD504" s="70" t="s">
        <v>460</v>
      </c>
    </row>
    <row r="505" spans="1:30" s="76" customFormat="1" ht="56.25">
      <c r="A505" s="82">
        <f>+SUBTOTAL(3,$B$7:B505)</f>
        <v>499</v>
      </c>
      <c r="B505" s="82" t="s">
        <v>444</v>
      </c>
      <c r="C505" s="82" t="s">
        <v>111</v>
      </c>
      <c r="D505" s="66" t="s">
        <v>243</v>
      </c>
      <c r="E505" s="82">
        <v>2</v>
      </c>
      <c r="F505" s="67">
        <v>307436488</v>
      </c>
      <c r="G505" s="66" t="s">
        <v>1185</v>
      </c>
      <c r="H505" s="66" t="s">
        <v>1186</v>
      </c>
      <c r="I505" s="66" t="s">
        <v>9</v>
      </c>
      <c r="J505" s="82" t="s">
        <v>36</v>
      </c>
      <c r="K505" s="67">
        <v>93575.5</v>
      </c>
      <c r="L505" s="82">
        <f t="shared" si="35"/>
        <v>0</v>
      </c>
      <c r="M505" s="67"/>
      <c r="N505" s="82"/>
      <c r="O505" s="82">
        <f t="shared" si="33"/>
        <v>0</v>
      </c>
      <c r="P505" s="82">
        <f t="shared" si="34"/>
        <v>0</v>
      </c>
      <c r="Q505" s="67"/>
      <c r="R505" s="82"/>
      <c r="S505" s="67">
        <v>0</v>
      </c>
      <c r="T505" s="82"/>
      <c r="U505" s="67">
        <v>9085</v>
      </c>
      <c r="V505" s="82"/>
      <c r="W505" s="82"/>
      <c r="X505" s="82"/>
      <c r="Y505" s="68">
        <v>40</v>
      </c>
      <c r="Z505" s="82"/>
      <c r="AA505" s="18">
        <v>44531</v>
      </c>
      <c r="AB505" s="74"/>
      <c r="AC505" s="75"/>
      <c r="AD505" s="70" t="s">
        <v>477</v>
      </c>
    </row>
    <row r="506" spans="1:30" s="76" customFormat="1" ht="37.5">
      <c r="A506" s="82">
        <f>+SUBTOTAL(3,$B$7:B506)</f>
        <v>500</v>
      </c>
      <c r="B506" s="82" t="s">
        <v>444</v>
      </c>
      <c r="C506" s="82" t="s">
        <v>111</v>
      </c>
      <c r="D506" s="66" t="s">
        <v>243</v>
      </c>
      <c r="E506" s="82">
        <v>1</v>
      </c>
      <c r="F506" s="67">
        <v>301165165</v>
      </c>
      <c r="G506" s="66" t="s">
        <v>1187</v>
      </c>
      <c r="H506" s="66" t="s">
        <v>1188</v>
      </c>
      <c r="I506" s="66" t="s">
        <v>9</v>
      </c>
      <c r="J506" s="82" t="s">
        <v>39</v>
      </c>
      <c r="K506" s="67">
        <v>3500</v>
      </c>
      <c r="L506" s="82">
        <f t="shared" si="35"/>
        <v>866.99999999999989</v>
      </c>
      <c r="M506" s="67">
        <v>1000</v>
      </c>
      <c r="N506" s="82"/>
      <c r="O506" s="82">
        <f t="shared" si="33"/>
        <v>2500</v>
      </c>
      <c r="P506" s="82">
        <f t="shared" si="34"/>
        <v>866.99999999999989</v>
      </c>
      <c r="Q506" s="67">
        <v>2500</v>
      </c>
      <c r="R506" s="82"/>
      <c r="S506" s="67">
        <v>0</v>
      </c>
      <c r="T506" s="82">
        <v>85</v>
      </c>
      <c r="U506" s="67">
        <v>0</v>
      </c>
      <c r="V506" s="82"/>
      <c r="W506" s="82"/>
      <c r="X506" s="82"/>
      <c r="Y506" s="68">
        <v>8</v>
      </c>
      <c r="Z506" s="82"/>
      <c r="AA506" s="69">
        <v>44291</v>
      </c>
      <c r="AB506" s="74"/>
      <c r="AC506" s="75"/>
      <c r="AD506" s="70" t="s">
        <v>453</v>
      </c>
    </row>
    <row r="507" spans="1:30" s="76" customFormat="1" ht="37.5">
      <c r="A507" s="82">
        <f>+SUBTOTAL(3,$B$7:B507)</f>
        <v>501</v>
      </c>
      <c r="B507" s="82" t="s">
        <v>444</v>
      </c>
      <c r="C507" s="82" t="s">
        <v>111</v>
      </c>
      <c r="D507" s="66" t="s">
        <v>243</v>
      </c>
      <c r="E507" s="82">
        <v>4</v>
      </c>
      <c r="F507" s="67">
        <v>307584369</v>
      </c>
      <c r="G507" s="66" t="s">
        <v>1189</v>
      </c>
      <c r="H507" s="66" t="s">
        <v>1190</v>
      </c>
      <c r="I507" s="66" t="s">
        <v>10</v>
      </c>
      <c r="J507" s="82" t="s">
        <v>45</v>
      </c>
      <c r="K507" s="67">
        <v>665</v>
      </c>
      <c r="L507" s="82">
        <v>514.5</v>
      </c>
      <c r="M507" s="67">
        <v>150</v>
      </c>
      <c r="N507" s="82"/>
      <c r="O507" s="82">
        <f t="shared" si="33"/>
        <v>509.99999999999994</v>
      </c>
      <c r="P507" s="82">
        <f t="shared" si="34"/>
        <v>499.79999999999995</v>
      </c>
      <c r="Q507" s="67"/>
      <c r="R507" s="82"/>
      <c r="S507" s="67">
        <v>50</v>
      </c>
      <c r="T507" s="82">
        <v>49</v>
      </c>
      <c r="U507" s="67">
        <v>0</v>
      </c>
      <c r="V507" s="82"/>
      <c r="W507" s="82"/>
      <c r="X507" s="82"/>
      <c r="Y507" s="68">
        <v>2</v>
      </c>
      <c r="Z507" s="82">
        <v>2</v>
      </c>
      <c r="AA507" s="69">
        <v>44291</v>
      </c>
      <c r="AB507" s="74">
        <v>44218</v>
      </c>
      <c r="AC507" s="75" t="s">
        <v>1943</v>
      </c>
      <c r="AD507" s="70" t="s">
        <v>453</v>
      </c>
    </row>
    <row r="508" spans="1:30" s="76" customFormat="1" ht="37.5">
      <c r="A508" s="82">
        <f>+SUBTOTAL(3,$B$7:B508)</f>
        <v>502</v>
      </c>
      <c r="B508" s="82" t="s">
        <v>444</v>
      </c>
      <c r="C508" s="82" t="s">
        <v>111</v>
      </c>
      <c r="D508" s="66" t="s">
        <v>243</v>
      </c>
      <c r="E508" s="82">
        <v>4</v>
      </c>
      <c r="F508" s="67">
        <v>302532340</v>
      </c>
      <c r="G508" s="66" t="s">
        <v>1191</v>
      </c>
      <c r="H508" s="66" t="s">
        <v>1192</v>
      </c>
      <c r="I508" s="66" t="s">
        <v>6</v>
      </c>
      <c r="J508" s="82" t="s">
        <v>12</v>
      </c>
      <c r="K508" s="67">
        <v>6120</v>
      </c>
      <c r="L508" s="82">
        <f t="shared" ref="L508:L538" si="36">+N508+R508+T508*10.2+V508*10.2</f>
        <v>3824.9999999999995</v>
      </c>
      <c r="M508" s="67">
        <v>2000</v>
      </c>
      <c r="N508" s="82"/>
      <c r="O508" s="82">
        <f t="shared" si="33"/>
        <v>4079.9999999999995</v>
      </c>
      <c r="P508" s="82">
        <f t="shared" si="34"/>
        <v>3824.9999999999995</v>
      </c>
      <c r="Q508" s="67"/>
      <c r="R508" s="82"/>
      <c r="S508" s="67">
        <v>400</v>
      </c>
      <c r="T508" s="82">
        <v>375</v>
      </c>
      <c r="U508" s="67"/>
      <c r="V508" s="82"/>
      <c r="W508" s="82"/>
      <c r="X508" s="82"/>
      <c r="Y508" s="68">
        <v>6</v>
      </c>
      <c r="Z508" s="82"/>
      <c r="AA508" s="69">
        <v>44256</v>
      </c>
      <c r="AB508" s="74"/>
      <c r="AC508" s="75"/>
      <c r="AD508" s="70" t="s">
        <v>543</v>
      </c>
    </row>
    <row r="509" spans="1:30" s="76" customFormat="1" ht="37.5">
      <c r="A509" s="82">
        <f>+SUBTOTAL(3,$B$7:B509)</f>
        <v>503</v>
      </c>
      <c r="B509" s="82" t="s">
        <v>444</v>
      </c>
      <c r="C509" s="82" t="s">
        <v>111</v>
      </c>
      <c r="D509" s="66" t="s">
        <v>243</v>
      </c>
      <c r="E509" s="82">
        <v>1</v>
      </c>
      <c r="F509" s="67">
        <v>307601909</v>
      </c>
      <c r="G509" s="66" t="s">
        <v>1193</v>
      </c>
      <c r="H509" s="66" t="s">
        <v>274</v>
      </c>
      <c r="I509" s="66" t="s">
        <v>9</v>
      </c>
      <c r="J509" s="82" t="s">
        <v>37</v>
      </c>
      <c r="K509" s="67">
        <v>1600</v>
      </c>
      <c r="L509" s="82">
        <f t="shared" si="36"/>
        <v>200</v>
      </c>
      <c r="M509" s="67">
        <v>500</v>
      </c>
      <c r="N509" s="82"/>
      <c r="O509" s="82">
        <f t="shared" si="33"/>
        <v>1100</v>
      </c>
      <c r="P509" s="82">
        <f t="shared" si="34"/>
        <v>200</v>
      </c>
      <c r="Q509" s="67">
        <v>1100</v>
      </c>
      <c r="R509" s="82">
        <v>200</v>
      </c>
      <c r="S509" s="67"/>
      <c r="T509" s="82"/>
      <c r="U509" s="67"/>
      <c r="V509" s="82"/>
      <c r="W509" s="82"/>
      <c r="X509" s="82"/>
      <c r="Y509" s="68">
        <v>10</v>
      </c>
      <c r="Z509" s="82"/>
      <c r="AA509" s="69">
        <v>44287</v>
      </c>
      <c r="AB509" s="74"/>
      <c r="AC509" s="75"/>
      <c r="AD509" s="70" t="s">
        <v>1</v>
      </c>
    </row>
    <row r="510" spans="1:30" s="76" customFormat="1" ht="37.5">
      <c r="A510" s="82">
        <f>+SUBTOTAL(3,$B$7:B510)</f>
        <v>504</v>
      </c>
      <c r="B510" s="82" t="s">
        <v>444</v>
      </c>
      <c r="C510" s="82" t="s">
        <v>111</v>
      </c>
      <c r="D510" s="66" t="s">
        <v>243</v>
      </c>
      <c r="E510" s="82">
        <v>1</v>
      </c>
      <c r="F510" s="67">
        <v>307602922</v>
      </c>
      <c r="G510" s="66" t="s">
        <v>1194</v>
      </c>
      <c r="H510" s="66" t="s">
        <v>274</v>
      </c>
      <c r="I510" s="66" t="s">
        <v>9</v>
      </c>
      <c r="J510" s="82" t="s">
        <v>37</v>
      </c>
      <c r="K510" s="67">
        <v>1600</v>
      </c>
      <c r="L510" s="82">
        <f t="shared" si="36"/>
        <v>440</v>
      </c>
      <c r="M510" s="67">
        <v>500</v>
      </c>
      <c r="N510" s="82"/>
      <c r="O510" s="82">
        <f t="shared" si="33"/>
        <v>1100</v>
      </c>
      <c r="P510" s="82">
        <f t="shared" si="34"/>
        <v>440</v>
      </c>
      <c r="Q510" s="67">
        <v>1100</v>
      </c>
      <c r="R510" s="82">
        <v>440</v>
      </c>
      <c r="S510" s="67"/>
      <c r="T510" s="82"/>
      <c r="U510" s="67"/>
      <c r="V510" s="82"/>
      <c r="W510" s="82"/>
      <c r="X510" s="82"/>
      <c r="Y510" s="68">
        <v>10</v>
      </c>
      <c r="Z510" s="82"/>
      <c r="AA510" s="69">
        <v>44287</v>
      </c>
      <c r="AB510" s="74"/>
      <c r="AC510" s="75"/>
      <c r="AD510" s="70" t="s">
        <v>1</v>
      </c>
    </row>
    <row r="511" spans="1:30" s="76" customFormat="1" ht="37.5">
      <c r="A511" s="82">
        <f>+SUBTOTAL(3,$B$7:B511)</f>
        <v>505</v>
      </c>
      <c r="B511" s="82" t="s">
        <v>444</v>
      </c>
      <c r="C511" s="82" t="s">
        <v>111</v>
      </c>
      <c r="D511" s="66" t="s">
        <v>243</v>
      </c>
      <c r="E511" s="82">
        <v>1</v>
      </c>
      <c r="F511" s="67">
        <v>307671134</v>
      </c>
      <c r="G511" s="66" t="s">
        <v>1195</v>
      </c>
      <c r="H511" s="66" t="s">
        <v>274</v>
      </c>
      <c r="I511" s="66" t="s">
        <v>9</v>
      </c>
      <c r="J511" s="82" t="s">
        <v>37</v>
      </c>
      <c r="K511" s="67">
        <v>1600</v>
      </c>
      <c r="L511" s="82">
        <f t="shared" si="36"/>
        <v>200</v>
      </c>
      <c r="M511" s="67">
        <v>500</v>
      </c>
      <c r="N511" s="82"/>
      <c r="O511" s="82">
        <f t="shared" si="33"/>
        <v>1100</v>
      </c>
      <c r="P511" s="82">
        <f t="shared" si="34"/>
        <v>200</v>
      </c>
      <c r="Q511" s="67">
        <v>1100</v>
      </c>
      <c r="R511" s="82">
        <v>200</v>
      </c>
      <c r="S511" s="67"/>
      <c r="T511" s="82"/>
      <c r="U511" s="67"/>
      <c r="V511" s="82"/>
      <c r="W511" s="82"/>
      <c r="X511" s="82"/>
      <c r="Y511" s="68">
        <v>10</v>
      </c>
      <c r="Z511" s="82"/>
      <c r="AA511" s="69">
        <v>44287</v>
      </c>
      <c r="AB511" s="74"/>
      <c r="AC511" s="75"/>
      <c r="AD511" s="70" t="s">
        <v>1</v>
      </c>
    </row>
    <row r="512" spans="1:30" s="76" customFormat="1" ht="37.5">
      <c r="A512" s="82">
        <f>+SUBTOTAL(3,$B$7:B512)</f>
        <v>506</v>
      </c>
      <c r="B512" s="82" t="s">
        <v>444</v>
      </c>
      <c r="C512" s="82" t="s">
        <v>111</v>
      </c>
      <c r="D512" s="66" t="s">
        <v>243</v>
      </c>
      <c r="E512" s="82">
        <v>1</v>
      </c>
      <c r="F512" s="67">
        <v>307602867</v>
      </c>
      <c r="G512" s="66" t="s">
        <v>1196</v>
      </c>
      <c r="H512" s="66" t="s">
        <v>274</v>
      </c>
      <c r="I512" s="66" t="s">
        <v>9</v>
      </c>
      <c r="J512" s="82" t="s">
        <v>37</v>
      </c>
      <c r="K512" s="67">
        <v>1600</v>
      </c>
      <c r="L512" s="82">
        <f t="shared" si="36"/>
        <v>200</v>
      </c>
      <c r="M512" s="67">
        <v>500</v>
      </c>
      <c r="N512" s="82"/>
      <c r="O512" s="82">
        <f t="shared" si="33"/>
        <v>1100</v>
      </c>
      <c r="P512" s="82">
        <f t="shared" si="34"/>
        <v>200</v>
      </c>
      <c r="Q512" s="67">
        <v>1100</v>
      </c>
      <c r="R512" s="82">
        <v>200</v>
      </c>
      <c r="S512" s="67"/>
      <c r="T512" s="82"/>
      <c r="U512" s="67"/>
      <c r="V512" s="82"/>
      <c r="W512" s="82"/>
      <c r="X512" s="82"/>
      <c r="Y512" s="68">
        <v>10</v>
      </c>
      <c r="Z512" s="82"/>
      <c r="AA512" s="18">
        <v>44287</v>
      </c>
      <c r="AB512" s="74"/>
      <c r="AC512" s="75"/>
      <c r="AD512" s="70" t="s">
        <v>1</v>
      </c>
    </row>
    <row r="513" spans="1:30" s="76" customFormat="1" ht="37.5">
      <c r="A513" s="82">
        <f>+SUBTOTAL(3,$B$7:B513)</f>
        <v>507</v>
      </c>
      <c r="B513" s="82" t="s">
        <v>444</v>
      </c>
      <c r="C513" s="82" t="s">
        <v>111</v>
      </c>
      <c r="D513" s="66" t="s">
        <v>243</v>
      </c>
      <c r="E513" s="82">
        <v>1</v>
      </c>
      <c r="F513" s="67">
        <v>307587142</v>
      </c>
      <c r="G513" s="66" t="s">
        <v>1197</v>
      </c>
      <c r="H513" s="66" t="s">
        <v>274</v>
      </c>
      <c r="I513" s="66" t="s">
        <v>9</v>
      </c>
      <c r="J513" s="82" t="s">
        <v>37</v>
      </c>
      <c r="K513" s="67">
        <v>1600</v>
      </c>
      <c r="L513" s="82">
        <f t="shared" si="36"/>
        <v>427</v>
      </c>
      <c r="M513" s="67">
        <v>500</v>
      </c>
      <c r="N513" s="82"/>
      <c r="O513" s="82">
        <f t="shared" si="33"/>
        <v>1100</v>
      </c>
      <c r="P513" s="82">
        <f t="shared" si="34"/>
        <v>427</v>
      </c>
      <c r="Q513" s="67">
        <v>1100</v>
      </c>
      <c r="R513" s="82">
        <v>427</v>
      </c>
      <c r="S513" s="67"/>
      <c r="T513" s="82"/>
      <c r="U513" s="67"/>
      <c r="V513" s="82"/>
      <c r="W513" s="82"/>
      <c r="X513" s="82"/>
      <c r="Y513" s="68">
        <v>10</v>
      </c>
      <c r="Z513" s="82"/>
      <c r="AA513" s="18">
        <v>44287</v>
      </c>
      <c r="AB513" s="74"/>
      <c r="AC513" s="75"/>
      <c r="AD513" s="70" t="s">
        <v>1</v>
      </c>
    </row>
    <row r="514" spans="1:30" s="76" customFormat="1" ht="37.5">
      <c r="A514" s="82">
        <f>+SUBTOTAL(3,$B$7:B514)</f>
        <v>508</v>
      </c>
      <c r="B514" s="82" t="s">
        <v>444</v>
      </c>
      <c r="C514" s="82" t="s">
        <v>111</v>
      </c>
      <c r="D514" s="66" t="s">
        <v>243</v>
      </c>
      <c r="E514" s="82">
        <v>1</v>
      </c>
      <c r="F514" s="67">
        <v>307591162</v>
      </c>
      <c r="G514" s="66" t="s">
        <v>1198</v>
      </c>
      <c r="H514" s="66" t="s">
        <v>274</v>
      </c>
      <c r="I514" s="66" t="s">
        <v>9</v>
      </c>
      <c r="J514" s="82" t="s">
        <v>37</v>
      </c>
      <c r="K514" s="67">
        <v>1600</v>
      </c>
      <c r="L514" s="82">
        <f t="shared" si="36"/>
        <v>440</v>
      </c>
      <c r="M514" s="67">
        <v>500</v>
      </c>
      <c r="N514" s="82"/>
      <c r="O514" s="82">
        <f t="shared" si="33"/>
        <v>1100</v>
      </c>
      <c r="P514" s="82">
        <f t="shared" si="34"/>
        <v>440</v>
      </c>
      <c r="Q514" s="67">
        <v>1100</v>
      </c>
      <c r="R514" s="82">
        <v>440</v>
      </c>
      <c r="S514" s="67"/>
      <c r="T514" s="82"/>
      <c r="U514" s="67"/>
      <c r="V514" s="82"/>
      <c r="W514" s="82"/>
      <c r="X514" s="82"/>
      <c r="Y514" s="68">
        <v>10</v>
      </c>
      <c r="Z514" s="82"/>
      <c r="AA514" s="18">
        <v>44287</v>
      </c>
      <c r="AB514" s="74"/>
      <c r="AC514" s="75"/>
      <c r="AD514" s="70" t="s">
        <v>1</v>
      </c>
    </row>
    <row r="515" spans="1:30" s="76" customFormat="1" ht="37.5">
      <c r="A515" s="82">
        <f>+SUBTOTAL(3,$B$7:B515)</f>
        <v>509</v>
      </c>
      <c r="B515" s="82" t="s">
        <v>444</v>
      </c>
      <c r="C515" s="82" t="s">
        <v>111</v>
      </c>
      <c r="D515" s="66" t="s">
        <v>243</v>
      </c>
      <c r="E515" s="82">
        <v>1</v>
      </c>
      <c r="F515" s="67">
        <v>307671086</v>
      </c>
      <c r="G515" s="66" t="s">
        <v>1199</v>
      </c>
      <c r="H515" s="66" t="s">
        <v>274</v>
      </c>
      <c r="I515" s="66" t="s">
        <v>9</v>
      </c>
      <c r="J515" s="82" t="s">
        <v>37</v>
      </c>
      <c r="K515" s="67">
        <v>1600</v>
      </c>
      <c r="L515" s="82">
        <f t="shared" si="36"/>
        <v>200</v>
      </c>
      <c r="M515" s="67">
        <v>500</v>
      </c>
      <c r="N515" s="82"/>
      <c r="O515" s="82">
        <f t="shared" si="33"/>
        <v>1100</v>
      </c>
      <c r="P515" s="82">
        <f t="shared" si="34"/>
        <v>200</v>
      </c>
      <c r="Q515" s="67">
        <v>1100</v>
      </c>
      <c r="R515" s="82">
        <v>200</v>
      </c>
      <c r="S515" s="67"/>
      <c r="T515" s="82"/>
      <c r="U515" s="67"/>
      <c r="V515" s="82"/>
      <c r="W515" s="82"/>
      <c r="X515" s="82"/>
      <c r="Y515" s="68">
        <v>10</v>
      </c>
      <c r="Z515" s="82"/>
      <c r="AA515" s="18">
        <v>44287</v>
      </c>
      <c r="AB515" s="74"/>
      <c r="AC515" s="75"/>
      <c r="AD515" s="70" t="s">
        <v>1</v>
      </c>
    </row>
    <row r="516" spans="1:30" s="76" customFormat="1" ht="37.5">
      <c r="A516" s="82">
        <f>+SUBTOTAL(3,$B$7:B516)</f>
        <v>510</v>
      </c>
      <c r="B516" s="82" t="s">
        <v>444</v>
      </c>
      <c r="C516" s="82" t="s">
        <v>111</v>
      </c>
      <c r="D516" s="66" t="s">
        <v>243</v>
      </c>
      <c r="E516" s="82">
        <v>1</v>
      </c>
      <c r="F516" s="67">
        <v>307365799</v>
      </c>
      <c r="G516" s="66" t="s">
        <v>1200</v>
      </c>
      <c r="H516" s="66" t="s">
        <v>274</v>
      </c>
      <c r="I516" s="66" t="s">
        <v>9</v>
      </c>
      <c r="J516" s="82" t="s">
        <v>37</v>
      </c>
      <c r="K516" s="67">
        <v>1600</v>
      </c>
      <c r="L516" s="82">
        <f t="shared" si="36"/>
        <v>440</v>
      </c>
      <c r="M516" s="67">
        <v>500</v>
      </c>
      <c r="N516" s="82"/>
      <c r="O516" s="82">
        <f t="shared" si="33"/>
        <v>1100</v>
      </c>
      <c r="P516" s="82">
        <f t="shared" si="34"/>
        <v>440</v>
      </c>
      <c r="Q516" s="67">
        <v>1100</v>
      </c>
      <c r="R516" s="82">
        <v>440</v>
      </c>
      <c r="S516" s="67"/>
      <c r="T516" s="82"/>
      <c r="U516" s="67"/>
      <c r="V516" s="82"/>
      <c r="W516" s="82"/>
      <c r="X516" s="82"/>
      <c r="Y516" s="68">
        <v>10</v>
      </c>
      <c r="Z516" s="82"/>
      <c r="AA516" s="18">
        <v>44287</v>
      </c>
      <c r="AB516" s="74"/>
      <c r="AC516" s="75"/>
      <c r="AD516" s="70" t="s">
        <v>1</v>
      </c>
    </row>
    <row r="517" spans="1:30" s="76" customFormat="1" ht="37.5">
      <c r="A517" s="82">
        <f>+SUBTOTAL(3,$B$7:B517)</f>
        <v>511</v>
      </c>
      <c r="B517" s="82" t="s">
        <v>444</v>
      </c>
      <c r="C517" s="82" t="s">
        <v>111</v>
      </c>
      <c r="D517" s="66" t="s">
        <v>243</v>
      </c>
      <c r="E517" s="82">
        <v>1</v>
      </c>
      <c r="F517" s="67">
        <v>307363682</v>
      </c>
      <c r="G517" s="66" t="s">
        <v>1201</v>
      </c>
      <c r="H517" s="66" t="s">
        <v>274</v>
      </c>
      <c r="I517" s="66" t="s">
        <v>9</v>
      </c>
      <c r="J517" s="82" t="s">
        <v>37</v>
      </c>
      <c r="K517" s="67">
        <v>1600</v>
      </c>
      <c r="L517" s="82">
        <f t="shared" si="36"/>
        <v>440</v>
      </c>
      <c r="M517" s="67">
        <v>500</v>
      </c>
      <c r="N517" s="82"/>
      <c r="O517" s="82">
        <f t="shared" si="33"/>
        <v>1100</v>
      </c>
      <c r="P517" s="82">
        <f t="shared" si="34"/>
        <v>440</v>
      </c>
      <c r="Q517" s="67">
        <v>1100</v>
      </c>
      <c r="R517" s="82">
        <v>440</v>
      </c>
      <c r="S517" s="67"/>
      <c r="T517" s="82"/>
      <c r="U517" s="67"/>
      <c r="V517" s="82"/>
      <c r="W517" s="82"/>
      <c r="X517" s="82"/>
      <c r="Y517" s="68">
        <v>10</v>
      </c>
      <c r="Z517" s="82"/>
      <c r="AA517" s="18">
        <v>44287</v>
      </c>
      <c r="AB517" s="74"/>
      <c r="AC517" s="75"/>
      <c r="AD517" s="70" t="s">
        <v>1</v>
      </c>
    </row>
    <row r="518" spans="1:30" s="76" customFormat="1" ht="37.5">
      <c r="A518" s="82">
        <f>+SUBTOTAL(3,$B$7:B518)</f>
        <v>512</v>
      </c>
      <c r="B518" s="82" t="s">
        <v>444</v>
      </c>
      <c r="C518" s="82" t="s">
        <v>111</v>
      </c>
      <c r="D518" s="66" t="s">
        <v>243</v>
      </c>
      <c r="E518" s="82">
        <v>1</v>
      </c>
      <c r="F518" s="67">
        <v>307437375</v>
      </c>
      <c r="G518" s="66" t="s">
        <v>1202</v>
      </c>
      <c r="H518" s="66" t="s">
        <v>274</v>
      </c>
      <c r="I518" s="66" t="s">
        <v>9</v>
      </c>
      <c r="J518" s="82" t="s">
        <v>37</v>
      </c>
      <c r="K518" s="67">
        <v>1600</v>
      </c>
      <c r="L518" s="82">
        <f t="shared" si="36"/>
        <v>427</v>
      </c>
      <c r="M518" s="67">
        <v>500</v>
      </c>
      <c r="N518" s="82"/>
      <c r="O518" s="82">
        <f t="shared" si="33"/>
        <v>1100</v>
      </c>
      <c r="P518" s="82">
        <f t="shared" si="34"/>
        <v>427</v>
      </c>
      <c r="Q518" s="67">
        <v>1100</v>
      </c>
      <c r="R518" s="82">
        <v>427</v>
      </c>
      <c r="S518" s="67"/>
      <c r="T518" s="82"/>
      <c r="U518" s="67"/>
      <c r="V518" s="82"/>
      <c r="W518" s="82"/>
      <c r="X518" s="82"/>
      <c r="Y518" s="68">
        <v>10</v>
      </c>
      <c r="Z518" s="82"/>
      <c r="AA518" s="18">
        <v>44287</v>
      </c>
      <c r="AB518" s="74"/>
      <c r="AC518" s="75"/>
      <c r="AD518" s="70" t="s">
        <v>1</v>
      </c>
    </row>
    <row r="519" spans="1:30" s="76" customFormat="1" ht="37.5">
      <c r="A519" s="82">
        <f>+SUBTOTAL(3,$B$7:B519)</f>
        <v>513</v>
      </c>
      <c r="B519" s="82" t="s">
        <v>444</v>
      </c>
      <c r="C519" s="82" t="s">
        <v>111</v>
      </c>
      <c r="D519" s="66" t="s">
        <v>243</v>
      </c>
      <c r="E519" s="82">
        <v>1</v>
      </c>
      <c r="F519" s="67">
        <v>307362289</v>
      </c>
      <c r="G519" s="66" t="s">
        <v>1203</v>
      </c>
      <c r="H519" s="66" t="s">
        <v>274</v>
      </c>
      <c r="I519" s="66" t="s">
        <v>9</v>
      </c>
      <c r="J519" s="82" t="s">
        <v>37</v>
      </c>
      <c r="K519" s="67">
        <v>1600</v>
      </c>
      <c r="L519" s="82">
        <f t="shared" si="36"/>
        <v>440</v>
      </c>
      <c r="M519" s="67">
        <v>500</v>
      </c>
      <c r="N519" s="82"/>
      <c r="O519" s="82">
        <f t="shared" ref="O519:O582" si="37">+Q519+S519*10.2</f>
        <v>1100</v>
      </c>
      <c r="P519" s="82">
        <f t="shared" ref="P519:P582" si="38">+R519+T519*10.2</f>
        <v>440</v>
      </c>
      <c r="Q519" s="67">
        <v>1100</v>
      </c>
      <c r="R519" s="82">
        <v>440</v>
      </c>
      <c r="S519" s="67"/>
      <c r="T519" s="82"/>
      <c r="U519" s="67"/>
      <c r="V519" s="82"/>
      <c r="W519" s="82"/>
      <c r="X519" s="82"/>
      <c r="Y519" s="68">
        <v>10</v>
      </c>
      <c r="Z519" s="82"/>
      <c r="AA519" s="18">
        <v>44287</v>
      </c>
      <c r="AB519" s="74"/>
      <c r="AC519" s="75"/>
      <c r="AD519" s="70" t="s">
        <v>1</v>
      </c>
    </row>
    <row r="520" spans="1:30" s="76" customFormat="1" ht="37.5">
      <c r="A520" s="82">
        <f>+SUBTOTAL(3,$B$7:B520)</f>
        <v>514</v>
      </c>
      <c r="B520" s="82" t="s">
        <v>444</v>
      </c>
      <c r="C520" s="82" t="s">
        <v>111</v>
      </c>
      <c r="D520" s="66" t="s">
        <v>243</v>
      </c>
      <c r="E520" s="82">
        <v>1</v>
      </c>
      <c r="F520" s="67">
        <v>307671062</v>
      </c>
      <c r="G520" s="66" t="s">
        <v>1204</v>
      </c>
      <c r="H520" s="66" t="s">
        <v>274</v>
      </c>
      <c r="I520" s="66" t="s">
        <v>9</v>
      </c>
      <c r="J520" s="82" t="s">
        <v>37</v>
      </c>
      <c r="K520" s="67">
        <v>1600</v>
      </c>
      <c r="L520" s="82">
        <f t="shared" si="36"/>
        <v>440</v>
      </c>
      <c r="M520" s="67">
        <v>500</v>
      </c>
      <c r="N520" s="82"/>
      <c r="O520" s="82">
        <f t="shared" si="37"/>
        <v>1100</v>
      </c>
      <c r="P520" s="82">
        <f t="shared" si="38"/>
        <v>440</v>
      </c>
      <c r="Q520" s="67">
        <v>1100</v>
      </c>
      <c r="R520" s="82">
        <v>440</v>
      </c>
      <c r="S520" s="67"/>
      <c r="T520" s="82"/>
      <c r="U520" s="67"/>
      <c r="V520" s="82"/>
      <c r="W520" s="82"/>
      <c r="X520" s="82"/>
      <c r="Y520" s="68">
        <v>10</v>
      </c>
      <c r="Z520" s="82"/>
      <c r="AA520" s="18">
        <v>44287</v>
      </c>
      <c r="AB520" s="74"/>
      <c r="AC520" s="75"/>
      <c r="AD520" s="70" t="s">
        <v>1</v>
      </c>
    </row>
    <row r="521" spans="1:30" s="76" customFormat="1" ht="37.5">
      <c r="A521" s="82">
        <f>+SUBTOTAL(3,$B$7:B521)</f>
        <v>515</v>
      </c>
      <c r="B521" s="82" t="s">
        <v>444</v>
      </c>
      <c r="C521" s="82" t="s">
        <v>111</v>
      </c>
      <c r="D521" s="66" t="s">
        <v>243</v>
      </c>
      <c r="E521" s="82">
        <v>1</v>
      </c>
      <c r="F521" s="67">
        <v>307670959</v>
      </c>
      <c r="G521" s="66" t="s">
        <v>1205</v>
      </c>
      <c r="H521" s="66" t="s">
        <v>274</v>
      </c>
      <c r="I521" s="66" t="s">
        <v>9</v>
      </c>
      <c r="J521" s="82" t="s">
        <v>37</v>
      </c>
      <c r="K521" s="67">
        <v>1600</v>
      </c>
      <c r="L521" s="82">
        <f t="shared" si="36"/>
        <v>440</v>
      </c>
      <c r="M521" s="67">
        <v>500</v>
      </c>
      <c r="N521" s="82"/>
      <c r="O521" s="82">
        <f t="shared" si="37"/>
        <v>1100</v>
      </c>
      <c r="P521" s="82">
        <f t="shared" si="38"/>
        <v>440</v>
      </c>
      <c r="Q521" s="67">
        <v>1100</v>
      </c>
      <c r="R521" s="82">
        <v>440</v>
      </c>
      <c r="S521" s="67"/>
      <c r="T521" s="82"/>
      <c r="U521" s="67"/>
      <c r="V521" s="82"/>
      <c r="W521" s="82"/>
      <c r="X521" s="82"/>
      <c r="Y521" s="68">
        <v>10</v>
      </c>
      <c r="Z521" s="82"/>
      <c r="AA521" s="18">
        <v>44287</v>
      </c>
      <c r="AB521" s="74"/>
      <c r="AC521" s="75"/>
      <c r="AD521" s="70" t="s">
        <v>1</v>
      </c>
    </row>
    <row r="522" spans="1:30" s="76" customFormat="1" ht="37.5">
      <c r="A522" s="82">
        <f>+SUBTOTAL(3,$B$7:B522)</f>
        <v>516</v>
      </c>
      <c r="B522" s="82" t="s">
        <v>444</v>
      </c>
      <c r="C522" s="82" t="s">
        <v>111</v>
      </c>
      <c r="D522" s="66" t="s">
        <v>243</v>
      </c>
      <c r="E522" s="82">
        <v>1</v>
      </c>
      <c r="F522" s="67">
        <v>307641090</v>
      </c>
      <c r="G522" s="66" t="s">
        <v>1206</v>
      </c>
      <c r="H522" s="66" t="s">
        <v>274</v>
      </c>
      <c r="I522" s="66" t="s">
        <v>9</v>
      </c>
      <c r="J522" s="82" t="s">
        <v>37</v>
      </c>
      <c r="K522" s="67">
        <v>1600</v>
      </c>
      <c r="L522" s="82">
        <f t="shared" si="36"/>
        <v>440</v>
      </c>
      <c r="M522" s="67">
        <v>500</v>
      </c>
      <c r="N522" s="82"/>
      <c r="O522" s="82">
        <f t="shared" si="37"/>
        <v>1100</v>
      </c>
      <c r="P522" s="82">
        <f t="shared" si="38"/>
        <v>440</v>
      </c>
      <c r="Q522" s="67">
        <v>1100</v>
      </c>
      <c r="R522" s="82">
        <v>440</v>
      </c>
      <c r="S522" s="67"/>
      <c r="T522" s="82"/>
      <c r="U522" s="67"/>
      <c r="V522" s="82"/>
      <c r="W522" s="82"/>
      <c r="X522" s="82"/>
      <c r="Y522" s="68">
        <v>10</v>
      </c>
      <c r="Z522" s="82"/>
      <c r="AA522" s="18">
        <v>44287</v>
      </c>
      <c r="AB522" s="74"/>
      <c r="AC522" s="75"/>
      <c r="AD522" s="70" t="s">
        <v>1</v>
      </c>
    </row>
    <row r="523" spans="1:30" s="76" customFormat="1" ht="37.5">
      <c r="A523" s="82">
        <f>+SUBTOTAL(3,$B$7:B523)</f>
        <v>517</v>
      </c>
      <c r="B523" s="82" t="s">
        <v>444</v>
      </c>
      <c r="C523" s="82" t="s">
        <v>111</v>
      </c>
      <c r="D523" s="66" t="s">
        <v>243</v>
      </c>
      <c r="E523" s="82">
        <v>1</v>
      </c>
      <c r="F523" s="67">
        <v>307672124</v>
      </c>
      <c r="G523" s="66" t="s">
        <v>1207</v>
      </c>
      <c r="H523" s="66" t="s">
        <v>274</v>
      </c>
      <c r="I523" s="66" t="s">
        <v>9</v>
      </c>
      <c r="J523" s="82" t="s">
        <v>37</v>
      </c>
      <c r="K523" s="67">
        <v>1600</v>
      </c>
      <c r="L523" s="82">
        <f t="shared" si="36"/>
        <v>658</v>
      </c>
      <c r="M523" s="67">
        <v>500</v>
      </c>
      <c r="N523" s="82"/>
      <c r="O523" s="82">
        <f t="shared" si="37"/>
        <v>1100</v>
      </c>
      <c r="P523" s="82">
        <f t="shared" si="38"/>
        <v>658</v>
      </c>
      <c r="Q523" s="67">
        <v>1100</v>
      </c>
      <c r="R523" s="82">
        <v>658</v>
      </c>
      <c r="S523" s="67"/>
      <c r="T523" s="82"/>
      <c r="U523" s="67"/>
      <c r="V523" s="82"/>
      <c r="W523" s="82"/>
      <c r="X523" s="82"/>
      <c r="Y523" s="68">
        <v>10</v>
      </c>
      <c r="Z523" s="82"/>
      <c r="AA523" s="18">
        <v>44287</v>
      </c>
      <c r="AB523" s="74"/>
      <c r="AC523" s="75"/>
      <c r="AD523" s="70" t="s">
        <v>1</v>
      </c>
    </row>
    <row r="524" spans="1:30" s="76" customFormat="1" ht="37.5">
      <c r="A524" s="82">
        <f>+SUBTOTAL(3,$B$7:B524)</f>
        <v>518</v>
      </c>
      <c r="B524" s="82" t="s">
        <v>444</v>
      </c>
      <c r="C524" s="82" t="s">
        <v>111</v>
      </c>
      <c r="D524" s="66" t="s">
        <v>243</v>
      </c>
      <c r="E524" s="82">
        <v>1</v>
      </c>
      <c r="F524" s="67">
        <v>307373916</v>
      </c>
      <c r="G524" s="66" t="s">
        <v>1208</v>
      </c>
      <c r="H524" s="66" t="s">
        <v>274</v>
      </c>
      <c r="I524" s="66" t="s">
        <v>9</v>
      </c>
      <c r="J524" s="82" t="s">
        <v>37</v>
      </c>
      <c r="K524" s="67">
        <v>1600</v>
      </c>
      <c r="L524" s="82">
        <f t="shared" si="36"/>
        <v>408</v>
      </c>
      <c r="M524" s="67">
        <v>500</v>
      </c>
      <c r="N524" s="82"/>
      <c r="O524" s="82">
        <f t="shared" si="37"/>
        <v>1100</v>
      </c>
      <c r="P524" s="82">
        <f t="shared" si="38"/>
        <v>408</v>
      </c>
      <c r="Q524" s="67">
        <v>1100</v>
      </c>
      <c r="R524" s="82"/>
      <c r="S524" s="67"/>
      <c r="T524" s="82">
        <v>40</v>
      </c>
      <c r="U524" s="67"/>
      <c r="V524" s="82"/>
      <c r="W524" s="82"/>
      <c r="X524" s="82"/>
      <c r="Y524" s="68">
        <v>10</v>
      </c>
      <c r="Z524" s="82"/>
      <c r="AA524" s="18">
        <v>44287</v>
      </c>
      <c r="AB524" s="74"/>
      <c r="AC524" s="75"/>
      <c r="AD524" s="70" t="s">
        <v>1</v>
      </c>
    </row>
    <row r="525" spans="1:30" s="76" customFormat="1" ht="37.5">
      <c r="A525" s="82">
        <f>+SUBTOTAL(3,$B$7:B525)</f>
        <v>519</v>
      </c>
      <c r="B525" s="82" t="s">
        <v>444</v>
      </c>
      <c r="C525" s="82" t="s">
        <v>111</v>
      </c>
      <c r="D525" s="66" t="s">
        <v>243</v>
      </c>
      <c r="E525" s="82">
        <v>1</v>
      </c>
      <c r="F525" s="67">
        <v>307386321</v>
      </c>
      <c r="G525" s="66" t="s">
        <v>1209</v>
      </c>
      <c r="H525" s="66" t="s">
        <v>274</v>
      </c>
      <c r="I525" s="66" t="s">
        <v>9</v>
      </c>
      <c r="J525" s="82" t="s">
        <v>37</v>
      </c>
      <c r="K525" s="67">
        <v>1600</v>
      </c>
      <c r="L525" s="82">
        <f t="shared" si="36"/>
        <v>408</v>
      </c>
      <c r="M525" s="67">
        <v>500</v>
      </c>
      <c r="N525" s="82"/>
      <c r="O525" s="82">
        <f t="shared" si="37"/>
        <v>1100</v>
      </c>
      <c r="P525" s="82">
        <f t="shared" si="38"/>
        <v>408</v>
      </c>
      <c r="Q525" s="67">
        <v>1100</v>
      </c>
      <c r="R525" s="82"/>
      <c r="S525" s="67"/>
      <c r="T525" s="82">
        <v>40</v>
      </c>
      <c r="U525" s="67"/>
      <c r="V525" s="82"/>
      <c r="W525" s="82"/>
      <c r="X525" s="82"/>
      <c r="Y525" s="68">
        <v>10</v>
      </c>
      <c r="Z525" s="82"/>
      <c r="AA525" s="18">
        <v>44287</v>
      </c>
      <c r="AB525" s="74"/>
      <c r="AC525" s="75"/>
      <c r="AD525" s="70" t="s">
        <v>1</v>
      </c>
    </row>
    <row r="526" spans="1:30" s="76" customFormat="1" ht="37.5">
      <c r="A526" s="82">
        <f>+SUBTOTAL(3,$B$7:B526)</f>
        <v>520</v>
      </c>
      <c r="B526" s="82" t="s">
        <v>444</v>
      </c>
      <c r="C526" s="82" t="s">
        <v>111</v>
      </c>
      <c r="D526" s="66" t="s">
        <v>243</v>
      </c>
      <c r="E526" s="82">
        <v>1</v>
      </c>
      <c r="F526" s="67">
        <v>307621789</v>
      </c>
      <c r="G526" s="66" t="s">
        <v>1210</v>
      </c>
      <c r="H526" s="66" t="s">
        <v>274</v>
      </c>
      <c r="I526" s="66" t="s">
        <v>9</v>
      </c>
      <c r="J526" s="82" t="s">
        <v>37</v>
      </c>
      <c r="K526" s="67">
        <v>1600</v>
      </c>
      <c r="L526" s="82">
        <f t="shared" si="36"/>
        <v>427</v>
      </c>
      <c r="M526" s="67">
        <v>500</v>
      </c>
      <c r="N526" s="82"/>
      <c r="O526" s="82">
        <f t="shared" si="37"/>
        <v>1100</v>
      </c>
      <c r="P526" s="82">
        <f t="shared" si="38"/>
        <v>427</v>
      </c>
      <c r="Q526" s="67">
        <v>1100</v>
      </c>
      <c r="R526" s="82">
        <v>427</v>
      </c>
      <c r="S526" s="67"/>
      <c r="T526" s="82"/>
      <c r="U526" s="67"/>
      <c r="V526" s="82"/>
      <c r="W526" s="82"/>
      <c r="X526" s="82"/>
      <c r="Y526" s="68">
        <v>10</v>
      </c>
      <c r="Z526" s="82"/>
      <c r="AA526" s="18">
        <v>44287</v>
      </c>
      <c r="AB526" s="74"/>
      <c r="AC526" s="75"/>
      <c r="AD526" s="70" t="s">
        <v>1</v>
      </c>
    </row>
    <row r="527" spans="1:30" s="76" customFormat="1" ht="37.5">
      <c r="A527" s="82">
        <f>+SUBTOTAL(3,$B$7:B527)</f>
        <v>521</v>
      </c>
      <c r="B527" s="82" t="s">
        <v>444</v>
      </c>
      <c r="C527" s="82" t="s">
        <v>111</v>
      </c>
      <c r="D527" s="66" t="s">
        <v>243</v>
      </c>
      <c r="E527" s="82">
        <v>1</v>
      </c>
      <c r="F527" s="67">
        <v>307629072</v>
      </c>
      <c r="G527" s="66" t="s">
        <v>1211</v>
      </c>
      <c r="H527" s="66" t="s">
        <v>274</v>
      </c>
      <c r="I527" s="66" t="s">
        <v>9</v>
      </c>
      <c r="J527" s="82" t="s">
        <v>37</v>
      </c>
      <c r="K527" s="67">
        <v>1600</v>
      </c>
      <c r="L527" s="82">
        <f t="shared" si="36"/>
        <v>440</v>
      </c>
      <c r="M527" s="67">
        <v>500</v>
      </c>
      <c r="N527" s="82"/>
      <c r="O527" s="82">
        <f t="shared" si="37"/>
        <v>1100</v>
      </c>
      <c r="P527" s="82">
        <f t="shared" si="38"/>
        <v>440</v>
      </c>
      <c r="Q527" s="67">
        <v>1100</v>
      </c>
      <c r="R527" s="82">
        <v>440</v>
      </c>
      <c r="S527" s="67"/>
      <c r="T527" s="82"/>
      <c r="U527" s="67"/>
      <c r="V527" s="82"/>
      <c r="W527" s="82"/>
      <c r="X527" s="82"/>
      <c r="Y527" s="68">
        <v>10</v>
      </c>
      <c r="Z527" s="82"/>
      <c r="AA527" s="18">
        <v>44287</v>
      </c>
      <c r="AB527" s="74"/>
      <c r="AC527" s="75"/>
      <c r="AD527" s="70" t="s">
        <v>1</v>
      </c>
    </row>
    <row r="528" spans="1:30" s="76" customFormat="1" ht="37.5">
      <c r="A528" s="82">
        <f>+SUBTOTAL(3,$B$7:B528)</f>
        <v>522</v>
      </c>
      <c r="B528" s="82" t="s">
        <v>444</v>
      </c>
      <c r="C528" s="82" t="s">
        <v>111</v>
      </c>
      <c r="D528" s="66" t="s">
        <v>243</v>
      </c>
      <c r="E528" s="82">
        <v>1</v>
      </c>
      <c r="F528" s="67">
        <v>307362866</v>
      </c>
      <c r="G528" s="66" t="s">
        <v>1212</v>
      </c>
      <c r="H528" s="66" t="s">
        <v>274</v>
      </c>
      <c r="I528" s="66" t="s">
        <v>9</v>
      </c>
      <c r="J528" s="82" t="s">
        <v>37</v>
      </c>
      <c r="K528" s="67">
        <v>1600</v>
      </c>
      <c r="L528" s="82">
        <f t="shared" si="36"/>
        <v>200</v>
      </c>
      <c r="M528" s="67">
        <v>500</v>
      </c>
      <c r="N528" s="82"/>
      <c r="O528" s="82">
        <f t="shared" si="37"/>
        <v>1100</v>
      </c>
      <c r="P528" s="82">
        <f t="shared" si="38"/>
        <v>200</v>
      </c>
      <c r="Q528" s="67">
        <v>1100</v>
      </c>
      <c r="R528" s="82">
        <v>200</v>
      </c>
      <c r="S528" s="67"/>
      <c r="T528" s="82"/>
      <c r="U528" s="67"/>
      <c r="V528" s="82"/>
      <c r="W528" s="82"/>
      <c r="X528" s="82"/>
      <c r="Y528" s="68">
        <v>10</v>
      </c>
      <c r="Z528" s="82"/>
      <c r="AA528" s="18">
        <v>44287</v>
      </c>
      <c r="AB528" s="74"/>
      <c r="AC528" s="75"/>
      <c r="AD528" s="70" t="s">
        <v>1</v>
      </c>
    </row>
    <row r="529" spans="1:30" s="76" customFormat="1" ht="37.5">
      <c r="A529" s="82">
        <f>+SUBTOTAL(3,$B$7:B529)</f>
        <v>523</v>
      </c>
      <c r="B529" s="82" t="s">
        <v>444</v>
      </c>
      <c r="C529" s="82" t="s">
        <v>111</v>
      </c>
      <c r="D529" s="66" t="s">
        <v>243</v>
      </c>
      <c r="E529" s="82">
        <v>1</v>
      </c>
      <c r="F529" s="67">
        <v>307384879</v>
      </c>
      <c r="G529" s="66" t="s">
        <v>1213</v>
      </c>
      <c r="H529" s="66" t="s">
        <v>274</v>
      </c>
      <c r="I529" s="66" t="s">
        <v>9</v>
      </c>
      <c r="J529" s="82" t="s">
        <v>37</v>
      </c>
      <c r="K529" s="67">
        <v>1600</v>
      </c>
      <c r="L529" s="82">
        <f t="shared" si="36"/>
        <v>200</v>
      </c>
      <c r="M529" s="67">
        <v>500</v>
      </c>
      <c r="N529" s="82"/>
      <c r="O529" s="82">
        <f t="shared" si="37"/>
        <v>1100</v>
      </c>
      <c r="P529" s="82">
        <f t="shared" si="38"/>
        <v>200</v>
      </c>
      <c r="Q529" s="67">
        <v>1100</v>
      </c>
      <c r="R529" s="82">
        <v>200</v>
      </c>
      <c r="S529" s="67"/>
      <c r="T529" s="82"/>
      <c r="U529" s="67"/>
      <c r="V529" s="82"/>
      <c r="W529" s="82"/>
      <c r="X529" s="82"/>
      <c r="Y529" s="68">
        <v>10</v>
      </c>
      <c r="Z529" s="82"/>
      <c r="AA529" s="18">
        <v>44287</v>
      </c>
      <c r="AB529" s="74"/>
      <c r="AC529" s="75"/>
      <c r="AD529" s="70" t="s">
        <v>1</v>
      </c>
    </row>
    <row r="530" spans="1:30" s="76" customFormat="1" ht="37.5">
      <c r="A530" s="82">
        <f>+SUBTOTAL(3,$B$7:B530)</f>
        <v>524</v>
      </c>
      <c r="B530" s="82" t="s">
        <v>444</v>
      </c>
      <c r="C530" s="82" t="s">
        <v>111</v>
      </c>
      <c r="D530" s="66" t="s">
        <v>243</v>
      </c>
      <c r="E530" s="82">
        <v>1</v>
      </c>
      <c r="F530" s="67">
        <v>307384965</v>
      </c>
      <c r="G530" s="66" t="s">
        <v>1214</v>
      </c>
      <c r="H530" s="66" t="s">
        <v>274</v>
      </c>
      <c r="I530" s="66" t="s">
        <v>9</v>
      </c>
      <c r="J530" s="82" t="s">
        <v>37</v>
      </c>
      <c r="K530" s="67">
        <v>1600</v>
      </c>
      <c r="L530" s="82">
        <f t="shared" si="36"/>
        <v>200</v>
      </c>
      <c r="M530" s="67">
        <v>500</v>
      </c>
      <c r="N530" s="82"/>
      <c r="O530" s="82">
        <f t="shared" si="37"/>
        <v>1100</v>
      </c>
      <c r="P530" s="82">
        <f t="shared" si="38"/>
        <v>200</v>
      </c>
      <c r="Q530" s="67">
        <v>1100</v>
      </c>
      <c r="R530" s="82">
        <v>200</v>
      </c>
      <c r="S530" s="67"/>
      <c r="T530" s="82"/>
      <c r="U530" s="67"/>
      <c r="V530" s="82"/>
      <c r="W530" s="82"/>
      <c r="X530" s="82"/>
      <c r="Y530" s="68">
        <v>10</v>
      </c>
      <c r="Z530" s="82"/>
      <c r="AA530" s="18">
        <v>44287</v>
      </c>
      <c r="AB530" s="74"/>
      <c r="AC530" s="75"/>
      <c r="AD530" s="70" t="s">
        <v>1</v>
      </c>
    </row>
    <row r="531" spans="1:30" s="76" customFormat="1" ht="37.5">
      <c r="A531" s="82">
        <f>+SUBTOTAL(3,$B$7:B531)</f>
        <v>525</v>
      </c>
      <c r="B531" s="82" t="s">
        <v>444</v>
      </c>
      <c r="C531" s="82" t="s">
        <v>111</v>
      </c>
      <c r="D531" s="66" t="s">
        <v>243</v>
      </c>
      <c r="E531" s="82">
        <v>1</v>
      </c>
      <c r="F531" s="67">
        <v>307370034</v>
      </c>
      <c r="G531" s="66" t="s">
        <v>1215</v>
      </c>
      <c r="H531" s="66" t="s">
        <v>274</v>
      </c>
      <c r="I531" s="66" t="s">
        <v>9</v>
      </c>
      <c r="J531" s="82" t="s">
        <v>37</v>
      </c>
      <c r="K531" s="67">
        <v>1600</v>
      </c>
      <c r="L531" s="82">
        <f t="shared" si="36"/>
        <v>200</v>
      </c>
      <c r="M531" s="67">
        <v>500</v>
      </c>
      <c r="N531" s="82"/>
      <c r="O531" s="82">
        <f t="shared" si="37"/>
        <v>1100</v>
      </c>
      <c r="P531" s="82">
        <f t="shared" si="38"/>
        <v>200</v>
      </c>
      <c r="Q531" s="67">
        <v>1100</v>
      </c>
      <c r="R531" s="82">
        <v>200</v>
      </c>
      <c r="S531" s="67"/>
      <c r="T531" s="82"/>
      <c r="U531" s="67"/>
      <c r="V531" s="82"/>
      <c r="W531" s="82"/>
      <c r="X531" s="82"/>
      <c r="Y531" s="68">
        <v>10</v>
      </c>
      <c r="Z531" s="82"/>
      <c r="AA531" s="18">
        <v>44287</v>
      </c>
      <c r="AB531" s="74"/>
      <c r="AC531" s="75"/>
      <c r="AD531" s="70" t="s">
        <v>1</v>
      </c>
    </row>
    <row r="532" spans="1:30" s="76" customFormat="1" ht="37.5">
      <c r="A532" s="82">
        <f>+SUBTOTAL(3,$B$7:B532)</f>
        <v>526</v>
      </c>
      <c r="B532" s="82" t="s">
        <v>444</v>
      </c>
      <c r="C532" s="82" t="s">
        <v>111</v>
      </c>
      <c r="D532" s="66" t="s">
        <v>243</v>
      </c>
      <c r="E532" s="82">
        <v>1</v>
      </c>
      <c r="F532" s="67">
        <v>307613537</v>
      </c>
      <c r="G532" s="66" t="s">
        <v>1216</v>
      </c>
      <c r="H532" s="66" t="s">
        <v>274</v>
      </c>
      <c r="I532" s="66" t="s">
        <v>9</v>
      </c>
      <c r="J532" s="82" t="s">
        <v>37</v>
      </c>
      <c r="K532" s="67">
        <v>1600</v>
      </c>
      <c r="L532" s="82">
        <f t="shared" si="36"/>
        <v>408</v>
      </c>
      <c r="M532" s="67">
        <v>500</v>
      </c>
      <c r="N532" s="82"/>
      <c r="O532" s="82">
        <f t="shared" si="37"/>
        <v>1100</v>
      </c>
      <c r="P532" s="82">
        <f t="shared" si="38"/>
        <v>408</v>
      </c>
      <c r="Q532" s="67">
        <v>1100</v>
      </c>
      <c r="R532" s="82"/>
      <c r="S532" s="67"/>
      <c r="T532" s="82">
        <v>40</v>
      </c>
      <c r="U532" s="67"/>
      <c r="V532" s="82"/>
      <c r="W532" s="82"/>
      <c r="X532" s="82"/>
      <c r="Y532" s="68">
        <v>10</v>
      </c>
      <c r="Z532" s="82"/>
      <c r="AA532" s="18">
        <v>44287</v>
      </c>
      <c r="AB532" s="74"/>
      <c r="AC532" s="75"/>
      <c r="AD532" s="70" t="s">
        <v>1</v>
      </c>
    </row>
    <row r="533" spans="1:30" s="76" customFormat="1" ht="37.5">
      <c r="A533" s="82">
        <f>+SUBTOTAL(3,$B$7:B533)</f>
        <v>527</v>
      </c>
      <c r="B533" s="82" t="s">
        <v>444</v>
      </c>
      <c r="C533" s="82" t="s">
        <v>111</v>
      </c>
      <c r="D533" s="66" t="s">
        <v>243</v>
      </c>
      <c r="E533" s="82">
        <v>1</v>
      </c>
      <c r="F533" s="67">
        <v>307363524</v>
      </c>
      <c r="G533" s="66" t="s">
        <v>1217</v>
      </c>
      <c r="H533" s="66" t="s">
        <v>274</v>
      </c>
      <c r="I533" s="66" t="s">
        <v>9</v>
      </c>
      <c r="J533" s="82" t="s">
        <v>37</v>
      </c>
      <c r="K533" s="67">
        <v>1600</v>
      </c>
      <c r="L533" s="82">
        <f t="shared" si="36"/>
        <v>200</v>
      </c>
      <c r="M533" s="67">
        <v>500</v>
      </c>
      <c r="N533" s="82"/>
      <c r="O533" s="82">
        <f t="shared" si="37"/>
        <v>1100</v>
      </c>
      <c r="P533" s="82">
        <f t="shared" si="38"/>
        <v>200</v>
      </c>
      <c r="Q533" s="67">
        <v>1100</v>
      </c>
      <c r="R533" s="82">
        <v>200</v>
      </c>
      <c r="S533" s="67"/>
      <c r="T533" s="82"/>
      <c r="U533" s="67"/>
      <c r="V533" s="82"/>
      <c r="W533" s="82"/>
      <c r="X533" s="82"/>
      <c r="Y533" s="68">
        <v>10</v>
      </c>
      <c r="Z533" s="82"/>
      <c r="AA533" s="18">
        <v>44287</v>
      </c>
      <c r="AB533" s="74"/>
      <c r="AC533" s="75"/>
      <c r="AD533" s="70" t="s">
        <v>1</v>
      </c>
    </row>
    <row r="534" spans="1:30" s="76" customFormat="1" ht="37.5">
      <c r="A534" s="82">
        <f>+SUBTOTAL(3,$B$7:B534)</f>
        <v>528</v>
      </c>
      <c r="B534" s="82" t="s">
        <v>444</v>
      </c>
      <c r="C534" s="82" t="s">
        <v>111</v>
      </c>
      <c r="D534" s="66" t="s">
        <v>243</v>
      </c>
      <c r="E534" s="82">
        <v>1</v>
      </c>
      <c r="F534" s="67">
        <v>307651751</v>
      </c>
      <c r="G534" s="66" t="s">
        <v>1218</v>
      </c>
      <c r="H534" s="66" t="s">
        <v>274</v>
      </c>
      <c r="I534" s="66" t="s">
        <v>9</v>
      </c>
      <c r="J534" s="82" t="s">
        <v>37</v>
      </c>
      <c r="K534" s="67">
        <v>1600</v>
      </c>
      <c r="L534" s="82">
        <f t="shared" si="36"/>
        <v>200</v>
      </c>
      <c r="M534" s="67">
        <v>500</v>
      </c>
      <c r="N534" s="82"/>
      <c r="O534" s="82">
        <f t="shared" si="37"/>
        <v>1100</v>
      </c>
      <c r="P534" s="82">
        <f t="shared" si="38"/>
        <v>200</v>
      </c>
      <c r="Q534" s="67">
        <v>1100</v>
      </c>
      <c r="R534" s="82">
        <v>200</v>
      </c>
      <c r="S534" s="67"/>
      <c r="T534" s="82"/>
      <c r="U534" s="67"/>
      <c r="V534" s="82"/>
      <c r="W534" s="82"/>
      <c r="X534" s="82"/>
      <c r="Y534" s="68">
        <v>10</v>
      </c>
      <c r="Z534" s="82"/>
      <c r="AA534" s="18">
        <v>44287</v>
      </c>
      <c r="AB534" s="74"/>
      <c r="AC534" s="75"/>
      <c r="AD534" s="70" t="s">
        <v>1</v>
      </c>
    </row>
    <row r="535" spans="1:30" s="76" customFormat="1" ht="37.5">
      <c r="A535" s="82">
        <f>+SUBTOTAL(3,$B$7:B535)</f>
        <v>529</v>
      </c>
      <c r="B535" s="82" t="s">
        <v>444</v>
      </c>
      <c r="C535" s="82" t="s">
        <v>111</v>
      </c>
      <c r="D535" s="66" t="s">
        <v>243</v>
      </c>
      <c r="E535" s="82">
        <v>1</v>
      </c>
      <c r="F535" s="67">
        <v>307362178</v>
      </c>
      <c r="G535" s="66" t="s">
        <v>1219</v>
      </c>
      <c r="H535" s="66" t="s">
        <v>274</v>
      </c>
      <c r="I535" s="66" t="s">
        <v>9</v>
      </c>
      <c r="J535" s="82" t="s">
        <v>37</v>
      </c>
      <c r="K535" s="67">
        <v>1600</v>
      </c>
      <c r="L535" s="82">
        <f t="shared" si="36"/>
        <v>200</v>
      </c>
      <c r="M535" s="67">
        <v>500</v>
      </c>
      <c r="N535" s="82"/>
      <c r="O535" s="82">
        <f t="shared" si="37"/>
        <v>1100</v>
      </c>
      <c r="P535" s="82">
        <f t="shared" si="38"/>
        <v>200</v>
      </c>
      <c r="Q535" s="67">
        <v>1100</v>
      </c>
      <c r="R535" s="82">
        <v>200</v>
      </c>
      <c r="S535" s="67"/>
      <c r="T535" s="82"/>
      <c r="U535" s="67"/>
      <c r="V535" s="82"/>
      <c r="W535" s="82"/>
      <c r="X535" s="82"/>
      <c r="Y535" s="68">
        <v>10</v>
      </c>
      <c r="Z535" s="82"/>
      <c r="AA535" s="18">
        <v>44287</v>
      </c>
      <c r="AB535" s="74"/>
      <c r="AC535" s="75"/>
      <c r="AD535" s="70" t="s">
        <v>1</v>
      </c>
    </row>
    <row r="536" spans="1:30" s="76" customFormat="1" ht="37.5">
      <c r="A536" s="82">
        <f>+SUBTOTAL(3,$B$7:B536)</f>
        <v>530</v>
      </c>
      <c r="B536" s="82" t="s">
        <v>444</v>
      </c>
      <c r="C536" s="82" t="s">
        <v>111</v>
      </c>
      <c r="D536" s="66" t="s">
        <v>243</v>
      </c>
      <c r="E536" s="82">
        <v>1</v>
      </c>
      <c r="F536" s="67">
        <v>307674034</v>
      </c>
      <c r="G536" s="66" t="s">
        <v>1220</v>
      </c>
      <c r="H536" s="66" t="s">
        <v>274</v>
      </c>
      <c r="I536" s="66" t="s">
        <v>9</v>
      </c>
      <c r="J536" s="82" t="s">
        <v>37</v>
      </c>
      <c r="K536" s="67">
        <v>1600</v>
      </c>
      <c r="L536" s="82">
        <f t="shared" si="36"/>
        <v>440</v>
      </c>
      <c r="M536" s="67">
        <v>500</v>
      </c>
      <c r="N536" s="82"/>
      <c r="O536" s="82">
        <f t="shared" si="37"/>
        <v>1100</v>
      </c>
      <c r="P536" s="82">
        <f t="shared" si="38"/>
        <v>440</v>
      </c>
      <c r="Q536" s="67">
        <v>1100</v>
      </c>
      <c r="R536" s="82">
        <v>440</v>
      </c>
      <c r="S536" s="67"/>
      <c r="T536" s="82"/>
      <c r="U536" s="67"/>
      <c r="V536" s="82"/>
      <c r="W536" s="82"/>
      <c r="X536" s="82"/>
      <c r="Y536" s="68">
        <v>10</v>
      </c>
      <c r="Z536" s="82"/>
      <c r="AA536" s="18">
        <v>44287</v>
      </c>
      <c r="AB536" s="74"/>
      <c r="AC536" s="75"/>
      <c r="AD536" s="70" t="s">
        <v>1</v>
      </c>
    </row>
    <row r="537" spans="1:30" s="76" customFormat="1" ht="37.5">
      <c r="A537" s="82">
        <f>+SUBTOTAL(3,$B$7:B537)</f>
        <v>531</v>
      </c>
      <c r="B537" s="82" t="s">
        <v>444</v>
      </c>
      <c r="C537" s="82" t="s">
        <v>111</v>
      </c>
      <c r="D537" s="66" t="s">
        <v>243</v>
      </c>
      <c r="E537" s="82">
        <v>1</v>
      </c>
      <c r="F537" s="67">
        <v>301014527</v>
      </c>
      <c r="G537" s="66" t="s">
        <v>1221</v>
      </c>
      <c r="H537" s="66" t="s">
        <v>274</v>
      </c>
      <c r="I537" s="66" t="s">
        <v>9</v>
      </c>
      <c r="J537" s="82" t="s">
        <v>37</v>
      </c>
      <c r="K537" s="67">
        <v>1600</v>
      </c>
      <c r="L537" s="82">
        <f t="shared" si="36"/>
        <v>0</v>
      </c>
      <c r="M537" s="67">
        <v>500</v>
      </c>
      <c r="N537" s="82"/>
      <c r="O537" s="82">
        <f t="shared" si="37"/>
        <v>1100</v>
      </c>
      <c r="P537" s="82">
        <f t="shared" si="38"/>
        <v>0</v>
      </c>
      <c r="Q537" s="67">
        <v>1100</v>
      </c>
      <c r="R537" s="82"/>
      <c r="S537" s="67"/>
      <c r="T537" s="82"/>
      <c r="U537" s="67"/>
      <c r="V537" s="82"/>
      <c r="W537" s="82"/>
      <c r="X537" s="82"/>
      <c r="Y537" s="68">
        <v>10</v>
      </c>
      <c r="Z537" s="82"/>
      <c r="AA537" s="18">
        <v>44287</v>
      </c>
      <c r="AB537" s="74"/>
      <c r="AC537" s="75"/>
      <c r="AD537" s="70" t="s">
        <v>1</v>
      </c>
    </row>
    <row r="538" spans="1:30" s="76" customFormat="1" ht="37.5">
      <c r="A538" s="82">
        <f>+SUBTOTAL(3,$B$7:B538)</f>
        <v>532</v>
      </c>
      <c r="B538" s="82" t="s">
        <v>444</v>
      </c>
      <c r="C538" s="82" t="s">
        <v>111</v>
      </c>
      <c r="D538" s="66" t="s">
        <v>243</v>
      </c>
      <c r="E538" s="82">
        <v>1</v>
      </c>
      <c r="F538" s="67">
        <v>307981123</v>
      </c>
      <c r="G538" s="66" t="s">
        <v>1222</v>
      </c>
      <c r="H538" s="66" t="s">
        <v>150</v>
      </c>
      <c r="I538" s="66" t="s">
        <v>9</v>
      </c>
      <c r="J538" s="82" t="s">
        <v>38</v>
      </c>
      <c r="K538" s="67">
        <v>800</v>
      </c>
      <c r="L538" s="82">
        <f t="shared" si="36"/>
        <v>800</v>
      </c>
      <c r="M538" s="67">
        <v>300</v>
      </c>
      <c r="N538" s="82">
        <v>300</v>
      </c>
      <c r="O538" s="82">
        <f t="shared" si="37"/>
        <v>500</v>
      </c>
      <c r="P538" s="82">
        <f t="shared" si="38"/>
        <v>500</v>
      </c>
      <c r="Q538" s="67">
        <v>500</v>
      </c>
      <c r="R538" s="82">
        <v>500</v>
      </c>
      <c r="S538" s="67"/>
      <c r="T538" s="82"/>
      <c r="U538" s="67"/>
      <c r="V538" s="82"/>
      <c r="W538" s="82"/>
      <c r="X538" s="82"/>
      <c r="Y538" s="68">
        <v>10</v>
      </c>
      <c r="Z538" s="82">
        <v>10</v>
      </c>
      <c r="AA538" s="18">
        <v>44409</v>
      </c>
      <c r="AB538" s="74">
        <v>44210</v>
      </c>
      <c r="AC538" s="75" t="s">
        <v>2079</v>
      </c>
      <c r="AD538" s="70" t="s">
        <v>4</v>
      </c>
    </row>
    <row r="539" spans="1:30" s="76" customFormat="1" ht="37.5">
      <c r="A539" s="82">
        <f>+SUBTOTAL(3,$B$7:B539)</f>
        <v>533</v>
      </c>
      <c r="B539" s="82" t="s">
        <v>444</v>
      </c>
      <c r="C539" s="82" t="s">
        <v>111</v>
      </c>
      <c r="D539" s="66" t="s">
        <v>243</v>
      </c>
      <c r="E539" s="82">
        <v>4</v>
      </c>
      <c r="F539" s="67">
        <v>306382304</v>
      </c>
      <c r="G539" s="66" t="s">
        <v>1223</v>
      </c>
      <c r="H539" s="66" t="s">
        <v>164</v>
      </c>
      <c r="I539" s="66" t="s">
        <v>10</v>
      </c>
      <c r="J539" s="82" t="s">
        <v>45</v>
      </c>
      <c r="K539" s="67">
        <v>2290</v>
      </c>
      <c r="L539" s="82">
        <v>1760.5199999999998</v>
      </c>
      <c r="M539" s="67">
        <v>350</v>
      </c>
      <c r="N539" s="82"/>
      <c r="O539" s="82">
        <f t="shared" si="37"/>
        <v>1940</v>
      </c>
      <c r="P539" s="82">
        <f t="shared" si="38"/>
        <v>1760.5199999999998</v>
      </c>
      <c r="Q539" s="67">
        <v>1940</v>
      </c>
      <c r="R539" s="82"/>
      <c r="S539" s="67"/>
      <c r="T539" s="82">
        <v>172.6</v>
      </c>
      <c r="U539" s="67">
        <v>0</v>
      </c>
      <c r="V539" s="82"/>
      <c r="W539" s="82"/>
      <c r="X539" s="82"/>
      <c r="Y539" s="68">
        <v>2</v>
      </c>
      <c r="Z539" s="82"/>
      <c r="AA539" s="18">
        <v>44287</v>
      </c>
      <c r="AB539" s="74"/>
      <c r="AC539" s="75"/>
      <c r="AD539" s="70" t="s">
        <v>445</v>
      </c>
    </row>
    <row r="540" spans="1:30" s="76" customFormat="1" ht="37.5">
      <c r="A540" s="82">
        <f>+SUBTOTAL(3,$B$7:B540)</f>
        <v>534</v>
      </c>
      <c r="B540" s="82" t="s">
        <v>444</v>
      </c>
      <c r="C540" s="82" t="s">
        <v>111</v>
      </c>
      <c r="D540" s="66" t="s">
        <v>243</v>
      </c>
      <c r="E540" s="82">
        <v>4</v>
      </c>
      <c r="F540" s="67">
        <v>306408768</v>
      </c>
      <c r="G540" s="66" t="s">
        <v>260</v>
      </c>
      <c r="H540" s="66" t="s">
        <v>261</v>
      </c>
      <c r="I540" s="66" t="s">
        <v>6</v>
      </c>
      <c r="J540" s="82" t="s">
        <v>13</v>
      </c>
      <c r="K540" s="67">
        <v>500</v>
      </c>
      <c r="L540" s="82">
        <f t="shared" ref="L540:L571" si="39">+N540+R540+T540*10.2+V540*10.2</f>
        <v>500</v>
      </c>
      <c r="M540" s="67">
        <v>300</v>
      </c>
      <c r="N540" s="82">
        <v>300</v>
      </c>
      <c r="O540" s="82">
        <f t="shared" si="37"/>
        <v>200</v>
      </c>
      <c r="P540" s="82">
        <f t="shared" si="38"/>
        <v>200</v>
      </c>
      <c r="Q540" s="67">
        <v>200</v>
      </c>
      <c r="R540" s="82">
        <v>200</v>
      </c>
      <c r="S540" s="67">
        <v>0</v>
      </c>
      <c r="T540" s="82"/>
      <c r="U540" s="67">
        <v>0</v>
      </c>
      <c r="V540" s="82"/>
      <c r="W540" s="82"/>
      <c r="X540" s="82"/>
      <c r="Y540" s="68">
        <v>2</v>
      </c>
      <c r="Z540" s="82">
        <v>2</v>
      </c>
      <c r="AA540" s="18">
        <v>44285</v>
      </c>
      <c r="AB540" s="74">
        <v>44032</v>
      </c>
      <c r="AC540" s="75" t="s">
        <v>1892</v>
      </c>
      <c r="AD540" s="70" t="s">
        <v>4</v>
      </c>
    </row>
    <row r="541" spans="1:30" s="76" customFormat="1" ht="37.5">
      <c r="A541" s="82">
        <f>+SUBTOTAL(3,$B$7:B541)</f>
        <v>535</v>
      </c>
      <c r="B541" s="82" t="s">
        <v>444</v>
      </c>
      <c r="C541" s="82" t="s">
        <v>111</v>
      </c>
      <c r="D541" s="66" t="s">
        <v>243</v>
      </c>
      <c r="E541" s="82">
        <v>4</v>
      </c>
      <c r="F541" s="67">
        <v>202457452</v>
      </c>
      <c r="G541" s="66" t="s">
        <v>2106</v>
      </c>
      <c r="H541" s="66" t="s">
        <v>1224</v>
      </c>
      <c r="I541" s="66" t="s">
        <v>10</v>
      </c>
      <c r="J541" s="82" t="s">
        <v>30</v>
      </c>
      <c r="K541" s="67">
        <v>1500</v>
      </c>
      <c r="L541" s="82">
        <f t="shared" si="39"/>
        <v>1900</v>
      </c>
      <c r="M541" s="67">
        <v>500</v>
      </c>
      <c r="N541" s="82">
        <v>500</v>
      </c>
      <c r="O541" s="82">
        <f t="shared" si="37"/>
        <v>1000</v>
      </c>
      <c r="P541" s="82">
        <f t="shared" si="38"/>
        <v>1400</v>
      </c>
      <c r="Q541" s="67">
        <v>1000</v>
      </c>
      <c r="R541" s="82">
        <v>1400</v>
      </c>
      <c r="S541" s="67"/>
      <c r="T541" s="82"/>
      <c r="U541" s="67"/>
      <c r="V541" s="82"/>
      <c r="W541" s="82"/>
      <c r="X541" s="82"/>
      <c r="Y541" s="68">
        <v>21</v>
      </c>
      <c r="Z541" s="82">
        <v>21</v>
      </c>
      <c r="AA541" s="18">
        <v>44197</v>
      </c>
      <c r="AB541" s="74">
        <v>44209</v>
      </c>
      <c r="AC541" s="75" t="s">
        <v>2076</v>
      </c>
      <c r="AD541" s="70" t="s">
        <v>543</v>
      </c>
    </row>
    <row r="542" spans="1:30" s="76" customFormat="1" ht="37.5">
      <c r="A542" s="82">
        <f>+SUBTOTAL(3,$B$7:B542)</f>
        <v>536</v>
      </c>
      <c r="B542" s="82" t="s">
        <v>444</v>
      </c>
      <c r="C542" s="82" t="s">
        <v>111</v>
      </c>
      <c r="D542" s="66" t="s">
        <v>243</v>
      </c>
      <c r="E542" s="82">
        <v>1</v>
      </c>
      <c r="F542" s="67">
        <v>307650738</v>
      </c>
      <c r="G542" s="66" t="s">
        <v>1225</v>
      </c>
      <c r="H542" s="66" t="s">
        <v>274</v>
      </c>
      <c r="I542" s="66" t="s">
        <v>9</v>
      </c>
      <c r="J542" s="82" t="s">
        <v>37</v>
      </c>
      <c r="K542" s="67">
        <v>4090</v>
      </c>
      <c r="L542" s="82">
        <f t="shared" si="39"/>
        <v>102</v>
      </c>
      <c r="M542" s="67">
        <v>1000</v>
      </c>
      <c r="N542" s="82"/>
      <c r="O542" s="82">
        <f t="shared" si="37"/>
        <v>3060</v>
      </c>
      <c r="P542" s="82">
        <f t="shared" si="38"/>
        <v>102</v>
      </c>
      <c r="Q542" s="67"/>
      <c r="R542" s="82"/>
      <c r="S542" s="67">
        <v>300</v>
      </c>
      <c r="T542" s="82">
        <v>10</v>
      </c>
      <c r="U542" s="67"/>
      <c r="V542" s="82"/>
      <c r="W542" s="82"/>
      <c r="X542" s="82"/>
      <c r="Y542" s="68">
        <v>10</v>
      </c>
      <c r="Z542" s="82"/>
      <c r="AA542" s="18">
        <v>44531</v>
      </c>
      <c r="AB542" s="74"/>
      <c r="AC542" s="75"/>
      <c r="AD542" s="70" t="s">
        <v>1</v>
      </c>
    </row>
    <row r="543" spans="1:30" s="76" customFormat="1" ht="37.5">
      <c r="A543" s="82">
        <f>+SUBTOTAL(3,$B$7:B543)</f>
        <v>537</v>
      </c>
      <c r="B543" s="82" t="s">
        <v>444</v>
      </c>
      <c r="C543" s="82" t="s">
        <v>111</v>
      </c>
      <c r="D543" s="66" t="s">
        <v>243</v>
      </c>
      <c r="E543" s="82">
        <v>1</v>
      </c>
      <c r="F543" s="67">
        <v>307585264</v>
      </c>
      <c r="G543" s="66" t="s">
        <v>1226</v>
      </c>
      <c r="H543" s="66" t="s">
        <v>274</v>
      </c>
      <c r="I543" s="66" t="s">
        <v>9</v>
      </c>
      <c r="J543" s="82" t="s">
        <v>37</v>
      </c>
      <c r="K543" s="67">
        <v>4090</v>
      </c>
      <c r="L543" s="82">
        <f t="shared" si="39"/>
        <v>440</v>
      </c>
      <c r="M543" s="67">
        <v>1000</v>
      </c>
      <c r="N543" s="82"/>
      <c r="O543" s="82">
        <f t="shared" si="37"/>
        <v>3060</v>
      </c>
      <c r="P543" s="82">
        <f t="shared" si="38"/>
        <v>440</v>
      </c>
      <c r="Q543" s="67"/>
      <c r="R543" s="82">
        <v>440</v>
      </c>
      <c r="S543" s="67">
        <v>300</v>
      </c>
      <c r="T543" s="82"/>
      <c r="U543" s="67"/>
      <c r="V543" s="82"/>
      <c r="W543" s="82"/>
      <c r="X543" s="82"/>
      <c r="Y543" s="68">
        <v>10</v>
      </c>
      <c r="Z543" s="82"/>
      <c r="AA543" s="69">
        <v>44531</v>
      </c>
      <c r="AB543" s="74"/>
      <c r="AC543" s="75"/>
      <c r="AD543" s="70" t="s">
        <v>1</v>
      </c>
    </row>
    <row r="544" spans="1:30" s="76" customFormat="1" ht="37.5">
      <c r="A544" s="82">
        <f>+SUBTOTAL(3,$B$7:B544)</f>
        <v>538</v>
      </c>
      <c r="B544" s="82" t="s">
        <v>444</v>
      </c>
      <c r="C544" s="82" t="s">
        <v>111</v>
      </c>
      <c r="D544" s="66" t="s">
        <v>243</v>
      </c>
      <c r="E544" s="82">
        <v>1</v>
      </c>
      <c r="F544" s="67">
        <v>203499448</v>
      </c>
      <c r="G544" s="66" t="s">
        <v>255</v>
      </c>
      <c r="H544" s="66" t="s">
        <v>253</v>
      </c>
      <c r="I544" s="66" t="s">
        <v>9</v>
      </c>
      <c r="J544" s="82" t="s">
        <v>40</v>
      </c>
      <c r="K544" s="67">
        <v>4000</v>
      </c>
      <c r="L544" s="82">
        <f t="shared" si="39"/>
        <v>1400</v>
      </c>
      <c r="M544" s="67">
        <v>2000</v>
      </c>
      <c r="N544" s="82"/>
      <c r="O544" s="82">
        <f t="shared" si="37"/>
        <v>2000</v>
      </c>
      <c r="P544" s="82">
        <f t="shared" si="38"/>
        <v>1400</v>
      </c>
      <c r="Q544" s="67">
        <v>2000</v>
      </c>
      <c r="R544" s="82">
        <v>1400</v>
      </c>
      <c r="S544" s="67"/>
      <c r="T544" s="82"/>
      <c r="U544" s="67">
        <v>0</v>
      </c>
      <c r="V544" s="82"/>
      <c r="W544" s="82"/>
      <c r="X544" s="82"/>
      <c r="Y544" s="68">
        <v>8</v>
      </c>
      <c r="Z544" s="82"/>
      <c r="AA544" s="69">
        <v>44440</v>
      </c>
      <c r="AB544" s="74"/>
      <c r="AC544" s="75"/>
      <c r="AD544" s="70" t="s">
        <v>3</v>
      </c>
    </row>
    <row r="545" spans="1:30" s="76" customFormat="1" ht="56.25">
      <c r="A545" s="82">
        <f>+SUBTOTAL(3,$B$7:B545)</f>
        <v>539</v>
      </c>
      <c r="B545" s="82" t="s">
        <v>444</v>
      </c>
      <c r="C545" s="82" t="s">
        <v>111</v>
      </c>
      <c r="D545" s="66" t="s">
        <v>243</v>
      </c>
      <c r="E545" s="82">
        <v>4</v>
      </c>
      <c r="F545" s="67">
        <v>306835546</v>
      </c>
      <c r="G545" s="66" t="s">
        <v>270</v>
      </c>
      <c r="H545" s="66" t="s">
        <v>271</v>
      </c>
      <c r="I545" s="66" t="s">
        <v>6</v>
      </c>
      <c r="J545" s="82" t="s">
        <v>12</v>
      </c>
      <c r="K545" s="67">
        <v>5305</v>
      </c>
      <c r="L545" s="82">
        <f t="shared" si="39"/>
        <v>3569.9999999999995</v>
      </c>
      <c r="M545" s="67">
        <v>1700</v>
      </c>
      <c r="N545" s="82"/>
      <c r="O545" s="82">
        <f t="shared" si="37"/>
        <v>3569.9999999999995</v>
      </c>
      <c r="P545" s="82">
        <f t="shared" si="38"/>
        <v>3569.9999999999995</v>
      </c>
      <c r="Q545" s="67"/>
      <c r="R545" s="82"/>
      <c r="S545" s="67">
        <v>350</v>
      </c>
      <c r="T545" s="82">
        <v>350</v>
      </c>
      <c r="U545" s="67"/>
      <c r="V545" s="82"/>
      <c r="W545" s="82"/>
      <c r="X545" s="82"/>
      <c r="Y545" s="68">
        <v>10</v>
      </c>
      <c r="Z545" s="82"/>
      <c r="AA545" s="69">
        <v>44409</v>
      </c>
      <c r="AB545" s="74"/>
      <c r="AC545" s="75"/>
      <c r="AD545" s="70" t="s">
        <v>3</v>
      </c>
    </row>
    <row r="546" spans="1:30" s="76" customFormat="1" ht="37.5">
      <c r="A546" s="82">
        <f>+SUBTOTAL(3,$B$7:B546)</f>
        <v>540</v>
      </c>
      <c r="B546" s="82" t="s">
        <v>444</v>
      </c>
      <c r="C546" s="82" t="s">
        <v>111</v>
      </c>
      <c r="D546" s="66" t="s">
        <v>243</v>
      </c>
      <c r="E546" s="82">
        <v>1</v>
      </c>
      <c r="F546" s="67">
        <v>307981123</v>
      </c>
      <c r="G546" s="66" t="s">
        <v>1222</v>
      </c>
      <c r="H546" s="66" t="s">
        <v>40</v>
      </c>
      <c r="I546" s="66" t="s">
        <v>9</v>
      </c>
      <c r="J546" s="82" t="s">
        <v>40</v>
      </c>
      <c r="K546" s="67">
        <v>500</v>
      </c>
      <c r="L546" s="82">
        <f t="shared" si="39"/>
        <v>500</v>
      </c>
      <c r="M546" s="67">
        <v>500</v>
      </c>
      <c r="N546" s="82">
        <v>500</v>
      </c>
      <c r="O546" s="82">
        <f t="shared" si="37"/>
        <v>0</v>
      </c>
      <c r="P546" s="82">
        <f t="shared" si="38"/>
        <v>0</v>
      </c>
      <c r="Q546" s="67"/>
      <c r="R546" s="82"/>
      <c r="S546" s="67"/>
      <c r="T546" s="82"/>
      <c r="U546" s="67"/>
      <c r="V546" s="82"/>
      <c r="W546" s="82"/>
      <c r="X546" s="82"/>
      <c r="Y546" s="68">
        <v>10</v>
      </c>
      <c r="Z546" s="82">
        <v>10</v>
      </c>
      <c r="AA546" s="69">
        <v>44166</v>
      </c>
      <c r="AB546" s="74">
        <v>44170</v>
      </c>
      <c r="AC546" s="75" t="s">
        <v>2050</v>
      </c>
      <c r="AD546" s="70" t="s">
        <v>3</v>
      </c>
    </row>
    <row r="547" spans="1:30" s="76" customFormat="1" ht="37.5">
      <c r="A547" s="82">
        <f>+SUBTOTAL(3,$B$7:B547)</f>
        <v>541</v>
      </c>
      <c r="B547" s="82" t="s">
        <v>444</v>
      </c>
      <c r="C547" s="82" t="s">
        <v>111</v>
      </c>
      <c r="D547" s="66" t="s">
        <v>243</v>
      </c>
      <c r="E547" s="82">
        <v>1</v>
      </c>
      <c r="F547" s="67">
        <v>302002003</v>
      </c>
      <c r="G547" s="66" t="s">
        <v>1227</v>
      </c>
      <c r="H547" s="66" t="s">
        <v>1228</v>
      </c>
      <c r="I547" s="66" t="s">
        <v>9</v>
      </c>
      <c r="J547" s="82" t="s">
        <v>1777</v>
      </c>
      <c r="K547" s="67">
        <v>1000</v>
      </c>
      <c r="L547" s="82">
        <f t="shared" si="39"/>
        <v>0</v>
      </c>
      <c r="M547" s="67">
        <v>1000</v>
      </c>
      <c r="N547" s="82"/>
      <c r="O547" s="82">
        <f t="shared" si="37"/>
        <v>0</v>
      </c>
      <c r="P547" s="82">
        <f t="shared" si="38"/>
        <v>0</v>
      </c>
      <c r="Q547" s="67"/>
      <c r="R547" s="82"/>
      <c r="S547" s="67">
        <v>0</v>
      </c>
      <c r="T547" s="82"/>
      <c r="U547" s="67"/>
      <c r="V547" s="82"/>
      <c r="W547" s="82"/>
      <c r="X547" s="82"/>
      <c r="Y547" s="68">
        <v>25</v>
      </c>
      <c r="Z547" s="82"/>
      <c r="AA547" s="69">
        <v>44317</v>
      </c>
      <c r="AB547" s="74"/>
      <c r="AC547" s="75"/>
      <c r="AD547" s="70" t="s">
        <v>453</v>
      </c>
    </row>
    <row r="548" spans="1:30" s="76" customFormat="1" ht="37.5">
      <c r="A548" s="82">
        <f>+SUBTOTAL(3,$B$7:B548)</f>
        <v>542</v>
      </c>
      <c r="B548" s="82" t="s">
        <v>444</v>
      </c>
      <c r="C548" s="82" t="s">
        <v>111</v>
      </c>
      <c r="D548" s="66" t="s">
        <v>243</v>
      </c>
      <c r="E548" s="82">
        <v>3</v>
      </c>
      <c r="F548" s="67">
        <v>306403704</v>
      </c>
      <c r="G548" s="66" t="s">
        <v>1229</v>
      </c>
      <c r="H548" s="66" t="s">
        <v>36</v>
      </c>
      <c r="I548" s="66" t="s">
        <v>9</v>
      </c>
      <c r="J548" s="82" t="s">
        <v>36</v>
      </c>
      <c r="K548" s="67">
        <v>650</v>
      </c>
      <c r="L548" s="82">
        <f t="shared" si="39"/>
        <v>750</v>
      </c>
      <c r="M548" s="67">
        <v>150</v>
      </c>
      <c r="N548" s="82">
        <v>250</v>
      </c>
      <c r="O548" s="82">
        <f t="shared" si="37"/>
        <v>500</v>
      </c>
      <c r="P548" s="82">
        <f t="shared" si="38"/>
        <v>500</v>
      </c>
      <c r="Q548" s="67">
        <v>500</v>
      </c>
      <c r="R548" s="82">
        <v>500</v>
      </c>
      <c r="S548" s="67">
        <v>0</v>
      </c>
      <c r="T548" s="82"/>
      <c r="U548" s="67"/>
      <c r="V548" s="82"/>
      <c r="W548" s="82"/>
      <c r="X548" s="82"/>
      <c r="Y548" s="68">
        <v>4</v>
      </c>
      <c r="Z548" s="82">
        <v>2</v>
      </c>
      <c r="AA548" s="69">
        <v>44265</v>
      </c>
      <c r="AB548" s="74">
        <v>44021</v>
      </c>
      <c r="AC548" s="75" t="s">
        <v>1893</v>
      </c>
      <c r="AD548" s="70" t="s">
        <v>445</v>
      </c>
    </row>
    <row r="549" spans="1:30" s="76" customFormat="1" ht="37.5">
      <c r="A549" s="82">
        <f>+SUBTOTAL(3,$B$7:B549)</f>
        <v>543</v>
      </c>
      <c r="B549" s="82" t="s">
        <v>444</v>
      </c>
      <c r="C549" s="82" t="s">
        <v>111</v>
      </c>
      <c r="D549" s="66" t="s">
        <v>243</v>
      </c>
      <c r="E549" s="82">
        <v>3</v>
      </c>
      <c r="F549" s="67">
        <v>306960867</v>
      </c>
      <c r="G549" s="66" t="s">
        <v>1230</v>
      </c>
      <c r="H549" s="66" t="s">
        <v>1231</v>
      </c>
      <c r="I549" s="66" t="s">
        <v>6</v>
      </c>
      <c r="J549" s="82" t="s">
        <v>13</v>
      </c>
      <c r="K549" s="67">
        <v>350</v>
      </c>
      <c r="L549" s="82">
        <f t="shared" si="39"/>
        <v>300</v>
      </c>
      <c r="M549" s="67">
        <v>100</v>
      </c>
      <c r="N549" s="82"/>
      <c r="O549" s="82">
        <f t="shared" si="37"/>
        <v>250</v>
      </c>
      <c r="P549" s="82">
        <f t="shared" si="38"/>
        <v>300</v>
      </c>
      <c r="Q549" s="67">
        <v>250</v>
      </c>
      <c r="R549" s="82">
        <v>300</v>
      </c>
      <c r="S549" s="67"/>
      <c r="T549" s="82"/>
      <c r="U549" s="67"/>
      <c r="V549" s="82"/>
      <c r="W549" s="82"/>
      <c r="X549" s="82"/>
      <c r="Y549" s="68">
        <v>10</v>
      </c>
      <c r="Z549" s="82"/>
      <c r="AA549" s="69">
        <v>44328</v>
      </c>
      <c r="AB549" s="74"/>
      <c r="AC549" s="75"/>
      <c r="AD549" s="70" t="s">
        <v>0</v>
      </c>
    </row>
    <row r="550" spans="1:30" s="76" customFormat="1" ht="37.5">
      <c r="A550" s="82">
        <f>+SUBTOTAL(3,$B$7:B550)</f>
        <v>544</v>
      </c>
      <c r="B550" s="82" t="s">
        <v>444</v>
      </c>
      <c r="C550" s="82" t="s">
        <v>111</v>
      </c>
      <c r="D550" s="66" t="s">
        <v>243</v>
      </c>
      <c r="E550" s="82">
        <v>2</v>
      </c>
      <c r="F550" s="67">
        <v>307479592</v>
      </c>
      <c r="G550" s="66" t="s">
        <v>1232</v>
      </c>
      <c r="H550" s="66" t="s">
        <v>154</v>
      </c>
      <c r="I550" s="66" t="s">
        <v>6</v>
      </c>
      <c r="J550" s="82" t="s">
        <v>13</v>
      </c>
      <c r="K550" s="67">
        <v>300</v>
      </c>
      <c r="L550" s="82">
        <f t="shared" si="39"/>
        <v>300</v>
      </c>
      <c r="M550" s="67">
        <v>100</v>
      </c>
      <c r="N550" s="82">
        <v>100</v>
      </c>
      <c r="O550" s="82">
        <f t="shared" si="37"/>
        <v>200</v>
      </c>
      <c r="P550" s="82">
        <f t="shared" si="38"/>
        <v>200</v>
      </c>
      <c r="Q550" s="67">
        <v>200</v>
      </c>
      <c r="R550" s="82">
        <v>200</v>
      </c>
      <c r="S550" s="67"/>
      <c r="T550" s="82"/>
      <c r="U550" s="67"/>
      <c r="V550" s="82"/>
      <c r="W550" s="82"/>
      <c r="X550" s="82"/>
      <c r="Y550" s="68">
        <v>6</v>
      </c>
      <c r="Z550" s="82">
        <v>6</v>
      </c>
      <c r="AA550" s="69">
        <v>44256</v>
      </c>
      <c r="AB550" s="74">
        <v>44144</v>
      </c>
      <c r="AC550" s="75" t="s">
        <v>1894</v>
      </c>
      <c r="AD550" s="70" t="s">
        <v>453</v>
      </c>
    </row>
    <row r="551" spans="1:30" s="76" customFormat="1" ht="37.5">
      <c r="A551" s="82">
        <f>+SUBTOTAL(3,$B$7:B551)</f>
        <v>545</v>
      </c>
      <c r="B551" s="82" t="s">
        <v>444</v>
      </c>
      <c r="C551" s="82" t="s">
        <v>111</v>
      </c>
      <c r="D551" s="66" t="s">
        <v>243</v>
      </c>
      <c r="E551" s="82">
        <v>1</v>
      </c>
      <c r="F551" s="67">
        <v>603463133</v>
      </c>
      <c r="G551" s="66" t="s">
        <v>1233</v>
      </c>
      <c r="H551" s="66" t="s">
        <v>170</v>
      </c>
      <c r="I551" s="66" t="s">
        <v>9</v>
      </c>
      <c r="J551" s="82" t="s">
        <v>37</v>
      </c>
      <c r="K551" s="67">
        <v>1227</v>
      </c>
      <c r="L551" s="82">
        <f t="shared" si="39"/>
        <v>500</v>
      </c>
      <c r="M551" s="67">
        <v>300</v>
      </c>
      <c r="N551" s="82">
        <v>300</v>
      </c>
      <c r="O551" s="82">
        <f t="shared" si="37"/>
        <v>917.99999999999989</v>
      </c>
      <c r="P551" s="82">
        <f t="shared" si="38"/>
        <v>200</v>
      </c>
      <c r="Q551" s="67"/>
      <c r="R551" s="82">
        <v>200</v>
      </c>
      <c r="S551" s="67">
        <v>90</v>
      </c>
      <c r="T551" s="82"/>
      <c r="U551" s="67"/>
      <c r="V551" s="82"/>
      <c r="W551" s="82"/>
      <c r="X551" s="82"/>
      <c r="Y551" s="68">
        <v>8</v>
      </c>
      <c r="Z551" s="82"/>
      <c r="AA551" s="18">
        <v>44228</v>
      </c>
      <c r="AB551" s="74">
        <v>44225</v>
      </c>
      <c r="AC551" s="75" t="s">
        <v>2009</v>
      </c>
      <c r="AD551" s="70" t="s">
        <v>453</v>
      </c>
    </row>
    <row r="552" spans="1:30" s="76" customFormat="1" ht="37.5">
      <c r="A552" s="82">
        <f>+SUBTOTAL(3,$B$7:B552)</f>
        <v>546</v>
      </c>
      <c r="B552" s="82" t="s">
        <v>444</v>
      </c>
      <c r="C552" s="82" t="s">
        <v>111</v>
      </c>
      <c r="D552" s="66" t="s">
        <v>243</v>
      </c>
      <c r="E552" s="82">
        <v>2</v>
      </c>
      <c r="F552" s="67">
        <v>307491889</v>
      </c>
      <c r="G552" s="66" t="s">
        <v>1234</v>
      </c>
      <c r="H552" s="66" t="s">
        <v>140</v>
      </c>
      <c r="I552" s="66" t="s">
        <v>9</v>
      </c>
      <c r="J552" s="82" t="s">
        <v>1777</v>
      </c>
      <c r="K552" s="67">
        <v>2200</v>
      </c>
      <c r="L552" s="82">
        <f t="shared" si="39"/>
        <v>2200</v>
      </c>
      <c r="M552" s="67">
        <v>200</v>
      </c>
      <c r="N552" s="82">
        <v>1200</v>
      </c>
      <c r="O552" s="82">
        <f t="shared" si="37"/>
        <v>2000</v>
      </c>
      <c r="P552" s="82">
        <f t="shared" si="38"/>
        <v>1000</v>
      </c>
      <c r="Q552" s="67">
        <v>2000</v>
      </c>
      <c r="R552" s="82">
        <v>1000</v>
      </c>
      <c r="S552" s="67"/>
      <c r="T552" s="82"/>
      <c r="U552" s="67"/>
      <c r="V552" s="82"/>
      <c r="W552" s="82"/>
      <c r="X552" s="82"/>
      <c r="Y552" s="68">
        <v>7</v>
      </c>
      <c r="Z552" s="82">
        <v>7</v>
      </c>
      <c r="AA552" s="18">
        <v>44287</v>
      </c>
      <c r="AB552" s="74">
        <v>44144</v>
      </c>
      <c r="AC552" s="75" t="s">
        <v>1983</v>
      </c>
      <c r="AD552" s="70" t="s">
        <v>453</v>
      </c>
    </row>
    <row r="553" spans="1:30" s="76" customFormat="1" ht="37.5">
      <c r="A553" s="82">
        <f>+SUBTOTAL(3,$B$7:B553)</f>
        <v>547</v>
      </c>
      <c r="B553" s="82" t="s">
        <v>444</v>
      </c>
      <c r="C553" s="82" t="s">
        <v>111</v>
      </c>
      <c r="D553" s="66" t="s">
        <v>243</v>
      </c>
      <c r="E553" s="82">
        <v>1</v>
      </c>
      <c r="F553" s="67">
        <v>304828223</v>
      </c>
      <c r="G553" s="66" t="s">
        <v>1235</v>
      </c>
      <c r="H553" s="66" t="s">
        <v>1236</v>
      </c>
      <c r="I553" s="66" t="s">
        <v>9</v>
      </c>
      <c r="J553" s="82" t="s">
        <v>36</v>
      </c>
      <c r="K553" s="67">
        <v>3590</v>
      </c>
      <c r="L553" s="82">
        <f t="shared" si="39"/>
        <v>0</v>
      </c>
      <c r="M553" s="67">
        <v>500</v>
      </c>
      <c r="N553" s="82"/>
      <c r="O553" s="82">
        <f t="shared" si="37"/>
        <v>3060</v>
      </c>
      <c r="P553" s="82">
        <f t="shared" si="38"/>
        <v>0</v>
      </c>
      <c r="Q553" s="67"/>
      <c r="R553" s="82"/>
      <c r="S553" s="67">
        <v>300</v>
      </c>
      <c r="T553" s="82"/>
      <c r="U553" s="67"/>
      <c r="V553" s="82"/>
      <c r="W553" s="82"/>
      <c r="X553" s="82"/>
      <c r="Y553" s="68">
        <v>15</v>
      </c>
      <c r="Z553" s="82"/>
      <c r="AA553" s="69">
        <v>44531</v>
      </c>
      <c r="AB553" s="74"/>
      <c r="AC553" s="75"/>
      <c r="AD553" s="70" t="s">
        <v>445</v>
      </c>
    </row>
    <row r="554" spans="1:30" s="76" customFormat="1" ht="37.5">
      <c r="A554" s="82">
        <f>+SUBTOTAL(3,$B$7:B554)</f>
        <v>548</v>
      </c>
      <c r="B554" s="82" t="s">
        <v>444</v>
      </c>
      <c r="C554" s="82" t="s">
        <v>111</v>
      </c>
      <c r="D554" s="66" t="s">
        <v>243</v>
      </c>
      <c r="E554" s="82">
        <v>1</v>
      </c>
      <c r="F554" s="67">
        <v>307540787</v>
      </c>
      <c r="G554" s="66" t="s">
        <v>1237</v>
      </c>
      <c r="H554" s="66" t="s">
        <v>1238</v>
      </c>
      <c r="I554" s="66" t="s">
        <v>9</v>
      </c>
      <c r="J554" s="82" t="s">
        <v>1777</v>
      </c>
      <c r="K554" s="67">
        <v>1200</v>
      </c>
      <c r="L554" s="82">
        <f t="shared" si="39"/>
        <v>550</v>
      </c>
      <c r="M554" s="67">
        <v>300</v>
      </c>
      <c r="N554" s="82">
        <v>100</v>
      </c>
      <c r="O554" s="82">
        <f t="shared" si="37"/>
        <v>900</v>
      </c>
      <c r="P554" s="82">
        <f t="shared" si="38"/>
        <v>450</v>
      </c>
      <c r="Q554" s="67">
        <v>900</v>
      </c>
      <c r="R554" s="82">
        <v>450</v>
      </c>
      <c r="S554" s="67"/>
      <c r="T554" s="82"/>
      <c r="U554" s="67"/>
      <c r="V554" s="82"/>
      <c r="W554" s="82"/>
      <c r="X554" s="82"/>
      <c r="Y554" s="68">
        <v>20</v>
      </c>
      <c r="Z554" s="82">
        <v>2</v>
      </c>
      <c r="AA554" s="69">
        <v>44228</v>
      </c>
      <c r="AB554" s="74">
        <v>44236</v>
      </c>
      <c r="AC554" s="75" t="s">
        <v>2013</v>
      </c>
      <c r="AD554" s="70" t="s">
        <v>453</v>
      </c>
    </row>
    <row r="555" spans="1:30" s="76" customFormat="1" ht="37.5">
      <c r="A555" s="82">
        <f>+SUBTOTAL(3,$B$7:B555)</f>
        <v>549</v>
      </c>
      <c r="B555" s="82" t="s">
        <v>444</v>
      </c>
      <c r="C555" s="82" t="s">
        <v>111</v>
      </c>
      <c r="D555" s="66" t="s">
        <v>243</v>
      </c>
      <c r="E555" s="82">
        <v>3</v>
      </c>
      <c r="F555" s="67">
        <v>307838232</v>
      </c>
      <c r="G555" s="66" t="s">
        <v>1239</v>
      </c>
      <c r="H555" s="66" t="s">
        <v>1240</v>
      </c>
      <c r="I555" s="66" t="s">
        <v>10</v>
      </c>
      <c r="J555" s="82" t="s">
        <v>59</v>
      </c>
      <c r="K555" s="67">
        <v>1200</v>
      </c>
      <c r="L555" s="82">
        <f t="shared" si="39"/>
        <v>0</v>
      </c>
      <c r="M555" s="67">
        <v>200</v>
      </c>
      <c r="N555" s="82"/>
      <c r="O555" s="82">
        <f t="shared" si="37"/>
        <v>1000</v>
      </c>
      <c r="P555" s="82">
        <f t="shared" si="38"/>
        <v>0</v>
      </c>
      <c r="Q555" s="67">
        <v>1000</v>
      </c>
      <c r="R555" s="82"/>
      <c r="S555" s="67"/>
      <c r="T555" s="82"/>
      <c r="U555" s="67"/>
      <c r="V555" s="82"/>
      <c r="W555" s="82"/>
      <c r="X555" s="82"/>
      <c r="Y555" s="68">
        <v>10</v>
      </c>
      <c r="Z555" s="82"/>
      <c r="AA555" s="69">
        <v>44287</v>
      </c>
      <c r="AB555" s="74"/>
      <c r="AC555" s="75"/>
      <c r="AD555" s="70" t="s">
        <v>460</v>
      </c>
    </row>
    <row r="556" spans="1:30" s="76" customFormat="1" ht="37.5">
      <c r="A556" s="82">
        <f>+SUBTOTAL(3,$B$7:B556)</f>
        <v>550</v>
      </c>
      <c r="B556" s="82" t="s">
        <v>444</v>
      </c>
      <c r="C556" s="82" t="s">
        <v>111</v>
      </c>
      <c r="D556" s="66" t="s">
        <v>243</v>
      </c>
      <c r="E556" s="82">
        <v>3</v>
      </c>
      <c r="F556" s="67">
        <v>307218402</v>
      </c>
      <c r="G556" s="66" t="s">
        <v>1241</v>
      </c>
      <c r="H556" s="66" t="s">
        <v>1242</v>
      </c>
      <c r="I556" s="66" t="s">
        <v>10</v>
      </c>
      <c r="J556" s="82" t="s">
        <v>30</v>
      </c>
      <c r="K556" s="67">
        <v>1000</v>
      </c>
      <c r="L556" s="82">
        <f t="shared" si="39"/>
        <v>700</v>
      </c>
      <c r="M556" s="67">
        <v>400</v>
      </c>
      <c r="N556" s="82">
        <v>400</v>
      </c>
      <c r="O556" s="82">
        <f t="shared" si="37"/>
        <v>600</v>
      </c>
      <c r="P556" s="82">
        <f t="shared" si="38"/>
        <v>300</v>
      </c>
      <c r="Q556" s="67">
        <v>600</v>
      </c>
      <c r="R556" s="82">
        <v>300</v>
      </c>
      <c r="S556" s="67"/>
      <c r="T556" s="82"/>
      <c r="U556" s="67"/>
      <c r="V556" s="82"/>
      <c r="W556" s="82"/>
      <c r="X556" s="82"/>
      <c r="Y556" s="68">
        <v>8</v>
      </c>
      <c r="Z556" s="82">
        <v>8</v>
      </c>
      <c r="AA556" s="69">
        <v>44378</v>
      </c>
      <c r="AB556" s="74">
        <v>44273</v>
      </c>
      <c r="AC556" s="75" t="s">
        <v>2103</v>
      </c>
      <c r="AD556" s="70" t="s">
        <v>453</v>
      </c>
    </row>
    <row r="557" spans="1:30" s="76" customFormat="1" ht="37.5">
      <c r="A557" s="82">
        <f>+SUBTOTAL(3,$B$7:B557)</f>
        <v>551</v>
      </c>
      <c r="B557" s="82" t="s">
        <v>444</v>
      </c>
      <c r="C557" s="82" t="s">
        <v>111</v>
      </c>
      <c r="D557" s="66" t="s">
        <v>243</v>
      </c>
      <c r="E557" s="82">
        <v>3</v>
      </c>
      <c r="F557" s="67">
        <v>307596020</v>
      </c>
      <c r="G557" s="66" t="s">
        <v>1243</v>
      </c>
      <c r="H557" s="66" t="s">
        <v>1244</v>
      </c>
      <c r="I557" s="66" t="s">
        <v>6</v>
      </c>
      <c r="J557" s="82" t="s">
        <v>12</v>
      </c>
      <c r="K557" s="67">
        <v>8300</v>
      </c>
      <c r="L557" s="82">
        <f t="shared" si="39"/>
        <v>0</v>
      </c>
      <c r="M557" s="67">
        <v>5800</v>
      </c>
      <c r="N557" s="82"/>
      <c r="O557" s="82">
        <f t="shared" si="37"/>
        <v>2500</v>
      </c>
      <c r="P557" s="82">
        <f t="shared" si="38"/>
        <v>0</v>
      </c>
      <c r="Q557" s="67">
        <v>2500</v>
      </c>
      <c r="R557" s="82"/>
      <c r="S557" s="67"/>
      <c r="T557" s="82"/>
      <c r="U557" s="67"/>
      <c r="V557" s="82"/>
      <c r="W557" s="82"/>
      <c r="X557" s="82"/>
      <c r="Y557" s="68">
        <v>15</v>
      </c>
      <c r="Z557" s="82"/>
      <c r="AA557" s="18">
        <v>44713</v>
      </c>
      <c r="AB557" s="74"/>
      <c r="AC557" s="75"/>
      <c r="AD557" s="70" t="s">
        <v>543</v>
      </c>
    </row>
    <row r="558" spans="1:30" s="76" customFormat="1" ht="93.75">
      <c r="A558" s="82">
        <f>+SUBTOTAL(3,$B$7:B558)</f>
        <v>552</v>
      </c>
      <c r="B558" s="82" t="s">
        <v>444</v>
      </c>
      <c r="C558" s="82" t="s">
        <v>111</v>
      </c>
      <c r="D558" s="66" t="s">
        <v>243</v>
      </c>
      <c r="E558" s="82">
        <v>1</v>
      </c>
      <c r="F558" s="67">
        <v>307596044</v>
      </c>
      <c r="G558" s="66" t="s">
        <v>1245</v>
      </c>
      <c r="H558" s="66" t="s">
        <v>1246</v>
      </c>
      <c r="I558" s="66" t="s">
        <v>6</v>
      </c>
      <c r="J558" s="82" t="s">
        <v>12</v>
      </c>
      <c r="K558" s="67">
        <v>9120</v>
      </c>
      <c r="L558" s="82">
        <f t="shared" si="39"/>
        <v>0</v>
      </c>
      <c r="M558" s="67">
        <v>5000</v>
      </c>
      <c r="N558" s="82"/>
      <c r="O558" s="82">
        <f t="shared" si="37"/>
        <v>4079.9999999999995</v>
      </c>
      <c r="P558" s="82">
        <f t="shared" si="38"/>
        <v>0</v>
      </c>
      <c r="Q558" s="67"/>
      <c r="R558" s="82"/>
      <c r="S558" s="67">
        <v>400</v>
      </c>
      <c r="T558" s="82"/>
      <c r="U558" s="67"/>
      <c r="V558" s="82"/>
      <c r="W558" s="82"/>
      <c r="X558" s="82"/>
      <c r="Y558" s="68">
        <v>45</v>
      </c>
      <c r="Z558" s="82"/>
      <c r="AA558" s="69">
        <v>44713</v>
      </c>
      <c r="AB558" s="74"/>
      <c r="AC558" s="75"/>
      <c r="AD558" s="70" t="s">
        <v>543</v>
      </c>
    </row>
    <row r="559" spans="1:30" s="76" customFormat="1" ht="56.25">
      <c r="A559" s="82">
        <f>+SUBTOTAL(3,$B$7:B559)</f>
        <v>553</v>
      </c>
      <c r="B559" s="82" t="s">
        <v>444</v>
      </c>
      <c r="C559" s="82" t="s">
        <v>111</v>
      </c>
      <c r="D559" s="66" t="s">
        <v>243</v>
      </c>
      <c r="E559" s="82">
        <v>1</v>
      </c>
      <c r="F559" s="67">
        <v>203399191</v>
      </c>
      <c r="G559" s="66" t="s">
        <v>257</v>
      </c>
      <c r="H559" s="66" t="s">
        <v>251</v>
      </c>
      <c r="I559" s="66" t="s">
        <v>9</v>
      </c>
      <c r="J559" s="82" t="s">
        <v>37</v>
      </c>
      <c r="K559" s="67">
        <v>1115</v>
      </c>
      <c r="L559" s="82">
        <f t="shared" si="39"/>
        <v>1115</v>
      </c>
      <c r="M559" s="67">
        <v>500</v>
      </c>
      <c r="N559" s="82">
        <v>500</v>
      </c>
      <c r="O559" s="82">
        <f t="shared" si="37"/>
        <v>615</v>
      </c>
      <c r="P559" s="82">
        <f t="shared" si="38"/>
        <v>615</v>
      </c>
      <c r="Q559" s="67">
        <v>615</v>
      </c>
      <c r="R559" s="82">
        <v>615</v>
      </c>
      <c r="S559" s="67">
        <v>0</v>
      </c>
      <c r="T559" s="82"/>
      <c r="U559" s="67">
        <v>0</v>
      </c>
      <c r="V559" s="82"/>
      <c r="W559" s="82"/>
      <c r="X559" s="82"/>
      <c r="Y559" s="68">
        <v>5</v>
      </c>
      <c r="Z559" s="82">
        <v>5</v>
      </c>
      <c r="AA559" s="69">
        <v>44409</v>
      </c>
      <c r="AB559" s="74">
        <v>44148</v>
      </c>
      <c r="AC559" s="75" t="s">
        <v>1895</v>
      </c>
      <c r="AD559" s="70" t="s">
        <v>7</v>
      </c>
    </row>
    <row r="560" spans="1:30" s="76" customFormat="1" ht="37.5">
      <c r="A560" s="82">
        <f>+SUBTOTAL(3,$B$7:B560)</f>
        <v>554</v>
      </c>
      <c r="B560" s="82" t="s">
        <v>444</v>
      </c>
      <c r="C560" s="82" t="s">
        <v>111</v>
      </c>
      <c r="D560" s="66" t="s">
        <v>243</v>
      </c>
      <c r="E560" s="82">
        <v>1</v>
      </c>
      <c r="F560" s="67">
        <v>300182366</v>
      </c>
      <c r="G560" s="66" t="s">
        <v>264</v>
      </c>
      <c r="H560" s="66" t="s">
        <v>254</v>
      </c>
      <c r="I560" s="66" t="s">
        <v>10</v>
      </c>
      <c r="J560" s="82" t="s">
        <v>44</v>
      </c>
      <c r="K560" s="67">
        <v>1500</v>
      </c>
      <c r="L560" s="82">
        <f t="shared" si="39"/>
        <v>690</v>
      </c>
      <c r="M560" s="67">
        <v>500</v>
      </c>
      <c r="N560" s="82">
        <v>500</v>
      </c>
      <c r="O560" s="82">
        <f t="shared" si="37"/>
        <v>1000</v>
      </c>
      <c r="P560" s="82">
        <f t="shared" si="38"/>
        <v>190</v>
      </c>
      <c r="Q560" s="67">
        <v>1000</v>
      </c>
      <c r="R560" s="82">
        <v>190</v>
      </c>
      <c r="S560" s="67">
        <v>0</v>
      </c>
      <c r="T560" s="82"/>
      <c r="U560" s="67">
        <v>0</v>
      </c>
      <c r="V560" s="82"/>
      <c r="W560" s="82"/>
      <c r="X560" s="82"/>
      <c r="Y560" s="68">
        <v>4</v>
      </c>
      <c r="Z560" s="82">
        <v>4</v>
      </c>
      <c r="AA560" s="18">
        <v>44166</v>
      </c>
      <c r="AB560" s="74">
        <v>44148</v>
      </c>
      <c r="AC560" s="75" t="s">
        <v>1896</v>
      </c>
      <c r="AD560" s="70" t="s">
        <v>7</v>
      </c>
    </row>
    <row r="561" spans="1:30" s="76" customFormat="1" ht="37.5">
      <c r="A561" s="82">
        <f>+SUBTOTAL(3,$B$7:B561)</f>
        <v>555</v>
      </c>
      <c r="B561" s="82" t="s">
        <v>444</v>
      </c>
      <c r="C561" s="82" t="s">
        <v>111</v>
      </c>
      <c r="D561" s="66" t="s">
        <v>243</v>
      </c>
      <c r="E561" s="82">
        <v>2</v>
      </c>
      <c r="F561" s="67">
        <v>304123911</v>
      </c>
      <c r="G561" s="66" t="s">
        <v>1247</v>
      </c>
      <c r="H561" s="66" t="s">
        <v>1779</v>
      </c>
      <c r="I561" s="66" t="s">
        <v>10</v>
      </c>
      <c r="J561" s="82" t="s">
        <v>30</v>
      </c>
      <c r="K561" s="67">
        <v>625</v>
      </c>
      <c r="L561" s="82">
        <f t="shared" si="39"/>
        <v>495</v>
      </c>
      <c r="M561" s="67">
        <v>100</v>
      </c>
      <c r="N561" s="82"/>
      <c r="O561" s="82">
        <f t="shared" si="37"/>
        <v>525</v>
      </c>
      <c r="P561" s="82">
        <f t="shared" si="38"/>
        <v>495</v>
      </c>
      <c r="Q561" s="67">
        <v>525</v>
      </c>
      <c r="R561" s="82">
        <v>495</v>
      </c>
      <c r="S561" s="67"/>
      <c r="T561" s="82"/>
      <c r="U561" s="67"/>
      <c r="V561" s="82"/>
      <c r="W561" s="82"/>
      <c r="X561" s="82"/>
      <c r="Y561" s="68">
        <v>2</v>
      </c>
      <c r="Z561" s="82"/>
      <c r="AA561" s="18">
        <v>44256</v>
      </c>
      <c r="AB561" s="74"/>
      <c r="AC561" s="75"/>
      <c r="AD561" s="70" t="s">
        <v>7</v>
      </c>
    </row>
    <row r="562" spans="1:30" s="76" customFormat="1" ht="56.25">
      <c r="A562" s="82">
        <f>+SUBTOTAL(3,$B$7:B562)</f>
        <v>556</v>
      </c>
      <c r="B562" s="82" t="s">
        <v>444</v>
      </c>
      <c r="C562" s="82" t="s">
        <v>111</v>
      </c>
      <c r="D562" s="66" t="s">
        <v>243</v>
      </c>
      <c r="E562" s="82">
        <v>1</v>
      </c>
      <c r="F562" s="67">
        <v>307470985</v>
      </c>
      <c r="G562" s="66" t="s">
        <v>1248</v>
      </c>
      <c r="H562" s="66" t="s">
        <v>1249</v>
      </c>
      <c r="I562" s="66" t="s">
        <v>9</v>
      </c>
      <c r="J562" s="82" t="s">
        <v>37</v>
      </c>
      <c r="K562" s="67">
        <v>10000</v>
      </c>
      <c r="L562" s="82">
        <f t="shared" si="39"/>
        <v>0</v>
      </c>
      <c r="M562" s="67">
        <v>1500</v>
      </c>
      <c r="N562" s="82"/>
      <c r="O562" s="82">
        <f t="shared" si="37"/>
        <v>8500</v>
      </c>
      <c r="P562" s="82">
        <f t="shared" si="38"/>
        <v>0</v>
      </c>
      <c r="Q562" s="67">
        <v>8500</v>
      </c>
      <c r="R562" s="82"/>
      <c r="S562" s="67"/>
      <c r="T562" s="82"/>
      <c r="U562" s="67"/>
      <c r="V562" s="82"/>
      <c r="W562" s="82"/>
      <c r="X562" s="82"/>
      <c r="Y562" s="68">
        <v>20</v>
      </c>
      <c r="Z562" s="82"/>
      <c r="AA562" s="18">
        <v>44713</v>
      </c>
      <c r="AB562" s="74"/>
      <c r="AC562" s="75"/>
      <c r="AD562" s="70" t="s">
        <v>445</v>
      </c>
    </row>
    <row r="563" spans="1:30" s="76" customFormat="1" ht="37.5">
      <c r="A563" s="82">
        <f>+SUBTOTAL(3,$B$7:B563)</f>
        <v>557</v>
      </c>
      <c r="B563" s="82" t="s">
        <v>444</v>
      </c>
      <c r="C563" s="82" t="s">
        <v>111</v>
      </c>
      <c r="D563" s="66" t="s">
        <v>243</v>
      </c>
      <c r="E563" s="82">
        <v>2</v>
      </c>
      <c r="F563" s="67">
        <v>513317426</v>
      </c>
      <c r="G563" s="66" t="s">
        <v>1250</v>
      </c>
      <c r="H563" s="66" t="s">
        <v>136</v>
      </c>
      <c r="I563" s="66" t="s">
        <v>9</v>
      </c>
      <c r="J563" s="82" t="s">
        <v>36</v>
      </c>
      <c r="K563" s="67">
        <v>3000</v>
      </c>
      <c r="L563" s="82">
        <f t="shared" si="39"/>
        <v>0</v>
      </c>
      <c r="M563" s="67">
        <v>1000</v>
      </c>
      <c r="N563" s="82"/>
      <c r="O563" s="82">
        <f t="shared" si="37"/>
        <v>2000</v>
      </c>
      <c r="P563" s="82">
        <f t="shared" si="38"/>
        <v>0</v>
      </c>
      <c r="Q563" s="67">
        <v>2000</v>
      </c>
      <c r="R563" s="82"/>
      <c r="S563" s="67"/>
      <c r="T563" s="82"/>
      <c r="U563" s="67"/>
      <c r="V563" s="82"/>
      <c r="W563" s="82"/>
      <c r="X563" s="82"/>
      <c r="Y563" s="68">
        <v>12</v>
      </c>
      <c r="Z563" s="82"/>
      <c r="AA563" s="69">
        <v>44440</v>
      </c>
      <c r="AB563" s="74"/>
      <c r="AC563" s="75"/>
      <c r="AD563" s="70" t="s">
        <v>7</v>
      </c>
    </row>
    <row r="564" spans="1:30" s="76" customFormat="1" ht="37.5">
      <c r="A564" s="82">
        <f>+SUBTOTAL(3,$B$7:B564)</f>
        <v>558</v>
      </c>
      <c r="B564" s="82" t="s">
        <v>444</v>
      </c>
      <c r="C564" s="82" t="s">
        <v>111</v>
      </c>
      <c r="D564" s="66" t="s">
        <v>243</v>
      </c>
      <c r="E564" s="82">
        <v>1</v>
      </c>
      <c r="F564" s="67">
        <v>303688960</v>
      </c>
      <c r="G564" s="66" t="s">
        <v>1251</v>
      </c>
      <c r="H564" s="66" t="s">
        <v>1252</v>
      </c>
      <c r="I564" s="66" t="s">
        <v>10</v>
      </c>
      <c r="J564" s="82" t="s">
        <v>30</v>
      </c>
      <c r="K564" s="67">
        <v>350</v>
      </c>
      <c r="L564" s="82">
        <f t="shared" si="39"/>
        <v>0</v>
      </c>
      <c r="M564" s="67">
        <v>100</v>
      </c>
      <c r="N564" s="82"/>
      <c r="O564" s="82">
        <f t="shared" si="37"/>
        <v>250</v>
      </c>
      <c r="P564" s="82">
        <f t="shared" si="38"/>
        <v>0</v>
      </c>
      <c r="Q564" s="67">
        <v>250</v>
      </c>
      <c r="R564" s="82"/>
      <c r="S564" s="67"/>
      <c r="T564" s="82"/>
      <c r="U564" s="67"/>
      <c r="V564" s="82"/>
      <c r="W564" s="82"/>
      <c r="X564" s="82"/>
      <c r="Y564" s="68">
        <v>3</v>
      </c>
      <c r="Z564" s="82"/>
      <c r="AA564" s="69">
        <v>44378</v>
      </c>
      <c r="AB564" s="74"/>
      <c r="AC564" s="75"/>
      <c r="AD564" s="70" t="s">
        <v>7</v>
      </c>
    </row>
    <row r="565" spans="1:30" s="76" customFormat="1" ht="37.5">
      <c r="A565" s="82">
        <f>+SUBTOTAL(3,$B$7:B565)</f>
        <v>559</v>
      </c>
      <c r="B565" s="82" t="s">
        <v>444</v>
      </c>
      <c r="C565" s="82" t="s">
        <v>111</v>
      </c>
      <c r="D565" s="66" t="s">
        <v>243</v>
      </c>
      <c r="E565" s="82">
        <v>3</v>
      </c>
      <c r="F565" s="67">
        <v>3045636444</v>
      </c>
      <c r="G565" s="66" t="s">
        <v>1253</v>
      </c>
      <c r="H565" s="66" t="s">
        <v>1254</v>
      </c>
      <c r="I565" s="66" t="s">
        <v>10</v>
      </c>
      <c r="J565" s="82" t="s">
        <v>30</v>
      </c>
      <c r="K565" s="67">
        <v>700</v>
      </c>
      <c r="L565" s="82">
        <f t="shared" si="39"/>
        <v>0</v>
      </c>
      <c r="M565" s="67">
        <v>200</v>
      </c>
      <c r="N565" s="82"/>
      <c r="O565" s="82">
        <f t="shared" si="37"/>
        <v>500</v>
      </c>
      <c r="P565" s="82">
        <f t="shared" si="38"/>
        <v>0</v>
      </c>
      <c r="Q565" s="67">
        <v>500</v>
      </c>
      <c r="R565" s="82"/>
      <c r="S565" s="67"/>
      <c r="T565" s="82"/>
      <c r="U565" s="67"/>
      <c r="V565" s="82"/>
      <c r="W565" s="82"/>
      <c r="X565" s="82"/>
      <c r="Y565" s="68">
        <v>3</v>
      </c>
      <c r="Z565" s="82"/>
      <c r="AA565" s="18">
        <v>44661</v>
      </c>
      <c r="AB565" s="74"/>
      <c r="AC565" s="75"/>
      <c r="AD565" s="70" t="s">
        <v>7</v>
      </c>
    </row>
    <row r="566" spans="1:30" s="76" customFormat="1" ht="56.25">
      <c r="A566" s="82">
        <f>+SUBTOTAL(3,$B$7:B566)</f>
        <v>560</v>
      </c>
      <c r="B566" s="82" t="s">
        <v>444</v>
      </c>
      <c r="C566" s="82" t="s">
        <v>111</v>
      </c>
      <c r="D566" s="66" t="s">
        <v>281</v>
      </c>
      <c r="E566" s="82">
        <v>3</v>
      </c>
      <c r="F566" s="67">
        <v>305274178</v>
      </c>
      <c r="G566" s="66" t="s">
        <v>1255</v>
      </c>
      <c r="H566" s="66" t="s">
        <v>1256</v>
      </c>
      <c r="I566" s="66" t="s">
        <v>10</v>
      </c>
      <c r="J566" s="82" t="s">
        <v>56</v>
      </c>
      <c r="K566" s="67">
        <v>2991.1000000000004</v>
      </c>
      <c r="L566" s="82">
        <f t="shared" si="39"/>
        <v>2991.1000000000004</v>
      </c>
      <c r="M566" s="67">
        <v>747.8</v>
      </c>
      <c r="N566" s="82">
        <v>747.8</v>
      </c>
      <c r="O566" s="82">
        <f t="shared" si="37"/>
        <v>2243.3000000000002</v>
      </c>
      <c r="P566" s="82">
        <f t="shared" si="38"/>
        <v>2243.3000000000002</v>
      </c>
      <c r="Q566" s="67">
        <v>2243.3000000000002</v>
      </c>
      <c r="R566" s="82">
        <v>2243.3000000000002</v>
      </c>
      <c r="S566" s="67"/>
      <c r="T566" s="82"/>
      <c r="U566" s="67"/>
      <c r="V566" s="82"/>
      <c r="W566" s="82"/>
      <c r="X566" s="82"/>
      <c r="Y566" s="68">
        <v>19</v>
      </c>
      <c r="Z566" s="82">
        <v>19</v>
      </c>
      <c r="AA566" s="69">
        <v>44409</v>
      </c>
      <c r="AB566" s="74">
        <v>44141</v>
      </c>
      <c r="AC566" s="75" t="s">
        <v>1897</v>
      </c>
      <c r="AD566" s="70" t="s">
        <v>4</v>
      </c>
    </row>
    <row r="567" spans="1:30" s="76" customFormat="1" ht="37.5">
      <c r="A567" s="82">
        <f>+SUBTOTAL(3,$B$7:B567)</f>
        <v>561</v>
      </c>
      <c r="B567" s="82" t="s">
        <v>444</v>
      </c>
      <c r="C567" s="82" t="s">
        <v>111</v>
      </c>
      <c r="D567" s="66" t="s">
        <v>281</v>
      </c>
      <c r="E567" s="82">
        <v>3</v>
      </c>
      <c r="F567" s="67">
        <v>303113624</v>
      </c>
      <c r="G567" s="66" t="s">
        <v>282</v>
      </c>
      <c r="H567" s="66" t="s">
        <v>152</v>
      </c>
      <c r="I567" s="66" t="s">
        <v>10</v>
      </c>
      <c r="J567" s="82" t="s">
        <v>66</v>
      </c>
      <c r="K567" s="67">
        <v>700</v>
      </c>
      <c r="L567" s="82">
        <f t="shared" si="39"/>
        <v>0</v>
      </c>
      <c r="M567" s="67">
        <v>400</v>
      </c>
      <c r="N567" s="82"/>
      <c r="O567" s="82">
        <f t="shared" si="37"/>
        <v>300</v>
      </c>
      <c r="P567" s="82">
        <f t="shared" si="38"/>
        <v>0</v>
      </c>
      <c r="Q567" s="67">
        <v>300</v>
      </c>
      <c r="R567" s="82"/>
      <c r="S567" s="67">
        <v>0</v>
      </c>
      <c r="T567" s="82"/>
      <c r="U567" s="67"/>
      <c r="V567" s="82"/>
      <c r="W567" s="82"/>
      <c r="X567" s="82"/>
      <c r="Y567" s="68">
        <v>10</v>
      </c>
      <c r="Z567" s="82"/>
      <c r="AA567" s="69">
        <v>44470</v>
      </c>
      <c r="AB567" s="74"/>
      <c r="AC567" s="75"/>
      <c r="AD567" s="70" t="s">
        <v>446</v>
      </c>
    </row>
    <row r="568" spans="1:30" s="76" customFormat="1" ht="37.5">
      <c r="A568" s="82">
        <f>+SUBTOTAL(3,$B$7:B568)</f>
        <v>562</v>
      </c>
      <c r="B568" s="95" t="s">
        <v>2100</v>
      </c>
      <c r="C568" s="82" t="s">
        <v>111</v>
      </c>
      <c r="D568" s="66" t="s">
        <v>281</v>
      </c>
      <c r="E568" s="82">
        <v>4</v>
      </c>
      <c r="F568" s="67">
        <v>305045098</v>
      </c>
      <c r="G568" s="66" t="s">
        <v>285</v>
      </c>
      <c r="H568" s="66" t="s">
        <v>137</v>
      </c>
      <c r="I568" s="66" t="s">
        <v>9</v>
      </c>
      <c r="J568" s="82" t="s">
        <v>36</v>
      </c>
      <c r="K568" s="67">
        <v>92100</v>
      </c>
      <c r="L568" s="82">
        <f t="shared" si="39"/>
        <v>0</v>
      </c>
      <c r="M568" s="67">
        <v>20000</v>
      </c>
      <c r="N568" s="82"/>
      <c r="O568" s="82">
        <f t="shared" si="37"/>
        <v>71400</v>
      </c>
      <c r="P568" s="82">
        <f t="shared" si="38"/>
        <v>0</v>
      </c>
      <c r="Q568" s="67"/>
      <c r="R568" s="82"/>
      <c r="S568" s="67">
        <v>7000</v>
      </c>
      <c r="T568" s="82"/>
      <c r="U568" s="67"/>
      <c r="V568" s="82"/>
      <c r="W568" s="82"/>
      <c r="X568" s="82"/>
      <c r="Y568" s="68">
        <v>110</v>
      </c>
      <c r="Z568" s="82"/>
      <c r="AA568" s="69">
        <v>44531</v>
      </c>
      <c r="AB568" s="74"/>
      <c r="AC568" s="75"/>
      <c r="AD568" s="70" t="s">
        <v>453</v>
      </c>
    </row>
    <row r="569" spans="1:30" s="76" customFormat="1" ht="37.5">
      <c r="A569" s="82">
        <f>+SUBTOTAL(3,$B$7:B569)</f>
        <v>563</v>
      </c>
      <c r="B569" s="82" t="s">
        <v>444</v>
      </c>
      <c r="C569" s="82" t="s">
        <v>111</v>
      </c>
      <c r="D569" s="66" t="s">
        <v>281</v>
      </c>
      <c r="E569" s="82">
        <v>3</v>
      </c>
      <c r="F569" s="67">
        <v>305146885</v>
      </c>
      <c r="G569" s="66" t="s">
        <v>1257</v>
      </c>
      <c r="H569" s="66" t="s">
        <v>136</v>
      </c>
      <c r="I569" s="66" t="s">
        <v>9</v>
      </c>
      <c r="J569" s="82" t="s">
        <v>36</v>
      </c>
      <c r="K569" s="67">
        <v>3379.5</v>
      </c>
      <c r="L569" s="82">
        <f t="shared" si="39"/>
        <v>0</v>
      </c>
      <c r="M569" s="67">
        <v>650</v>
      </c>
      <c r="N569" s="82"/>
      <c r="O569" s="82">
        <f t="shared" si="37"/>
        <v>2703</v>
      </c>
      <c r="P569" s="82">
        <f t="shared" si="38"/>
        <v>0</v>
      </c>
      <c r="Q569" s="67"/>
      <c r="R569" s="82"/>
      <c r="S569" s="67">
        <v>265</v>
      </c>
      <c r="T569" s="82"/>
      <c r="U569" s="67"/>
      <c r="V569" s="82"/>
      <c r="W569" s="82"/>
      <c r="X569" s="82"/>
      <c r="Y569" s="68">
        <v>15</v>
      </c>
      <c r="Z569" s="82"/>
      <c r="AA569" s="18">
        <v>44555</v>
      </c>
      <c r="AB569" s="74"/>
      <c r="AC569" s="75"/>
      <c r="AD569" s="70" t="s">
        <v>445</v>
      </c>
    </row>
    <row r="570" spans="1:30" s="76" customFormat="1" ht="37.5">
      <c r="A570" s="82">
        <f>+SUBTOTAL(3,$B$7:B570)</f>
        <v>564</v>
      </c>
      <c r="B570" s="82" t="s">
        <v>444</v>
      </c>
      <c r="C570" s="82" t="s">
        <v>111</v>
      </c>
      <c r="D570" s="66" t="s">
        <v>281</v>
      </c>
      <c r="E570" s="82">
        <v>3</v>
      </c>
      <c r="F570" s="67">
        <v>306050464</v>
      </c>
      <c r="G570" s="66" t="s">
        <v>1258</v>
      </c>
      <c r="H570" s="66" t="s">
        <v>369</v>
      </c>
      <c r="I570" s="66" t="s">
        <v>9</v>
      </c>
      <c r="J570" s="82" t="s">
        <v>1777</v>
      </c>
      <c r="K570" s="67">
        <v>350</v>
      </c>
      <c r="L570" s="82">
        <f t="shared" si="39"/>
        <v>450</v>
      </c>
      <c r="M570" s="67">
        <v>250</v>
      </c>
      <c r="N570" s="82">
        <v>250</v>
      </c>
      <c r="O570" s="82">
        <f t="shared" si="37"/>
        <v>100</v>
      </c>
      <c r="P570" s="82">
        <f t="shared" si="38"/>
        <v>200</v>
      </c>
      <c r="Q570" s="67">
        <v>100</v>
      </c>
      <c r="R570" s="82">
        <v>200</v>
      </c>
      <c r="S570" s="67">
        <v>0</v>
      </c>
      <c r="T570" s="82"/>
      <c r="U570" s="67"/>
      <c r="V570" s="82"/>
      <c r="W570" s="82"/>
      <c r="X570" s="82"/>
      <c r="Y570" s="68">
        <v>4</v>
      </c>
      <c r="Z570" s="82">
        <v>4</v>
      </c>
      <c r="AA570" s="18">
        <v>44169</v>
      </c>
      <c r="AB570" s="74">
        <v>44124</v>
      </c>
      <c r="AC570" s="75" t="s">
        <v>1898</v>
      </c>
      <c r="AD570" s="70" t="s">
        <v>453</v>
      </c>
    </row>
    <row r="571" spans="1:30" s="76" customFormat="1" ht="75">
      <c r="A571" s="82">
        <f>+SUBTOTAL(3,$B$7:B571)</f>
        <v>565</v>
      </c>
      <c r="B571" s="82" t="s">
        <v>444</v>
      </c>
      <c r="C571" s="82" t="s">
        <v>111</v>
      </c>
      <c r="D571" s="66" t="s">
        <v>281</v>
      </c>
      <c r="E571" s="82">
        <v>1</v>
      </c>
      <c r="F571" s="67">
        <v>203359676</v>
      </c>
      <c r="G571" s="66" t="s">
        <v>1259</v>
      </c>
      <c r="H571" s="66" t="s">
        <v>1260</v>
      </c>
      <c r="I571" s="66" t="s">
        <v>10</v>
      </c>
      <c r="J571" s="82" t="s">
        <v>45</v>
      </c>
      <c r="K571" s="67">
        <v>2017.0000000000002</v>
      </c>
      <c r="L571" s="82">
        <f t="shared" si="39"/>
        <v>2538</v>
      </c>
      <c r="M571" s="67">
        <v>60</v>
      </c>
      <c r="N571" s="82">
        <v>600</v>
      </c>
      <c r="O571" s="82">
        <f t="shared" si="37"/>
        <v>1937.9999999999998</v>
      </c>
      <c r="P571" s="82">
        <f t="shared" si="38"/>
        <v>1937.9999999999998</v>
      </c>
      <c r="Q571" s="67"/>
      <c r="R571" s="82"/>
      <c r="S571" s="67">
        <v>190</v>
      </c>
      <c r="T571" s="82">
        <v>190</v>
      </c>
      <c r="U571" s="67"/>
      <c r="V571" s="82"/>
      <c r="W571" s="82"/>
      <c r="X571" s="82"/>
      <c r="Y571" s="68">
        <v>4</v>
      </c>
      <c r="Z571" s="82">
        <v>2</v>
      </c>
      <c r="AA571" s="69">
        <v>44196</v>
      </c>
      <c r="AB571" s="74">
        <v>44146</v>
      </c>
      <c r="AC571" s="75" t="s">
        <v>1899</v>
      </c>
      <c r="AD571" s="70" t="s">
        <v>453</v>
      </c>
    </row>
    <row r="572" spans="1:30" s="76" customFormat="1" ht="37.5">
      <c r="A572" s="82">
        <f>+SUBTOTAL(3,$B$7:B572)</f>
        <v>566</v>
      </c>
      <c r="B572" s="82" t="s">
        <v>444</v>
      </c>
      <c r="C572" s="82" t="s">
        <v>111</v>
      </c>
      <c r="D572" s="66" t="s">
        <v>281</v>
      </c>
      <c r="E572" s="82">
        <v>1</v>
      </c>
      <c r="F572" s="67">
        <v>306263436</v>
      </c>
      <c r="G572" s="66" t="s">
        <v>1261</v>
      </c>
      <c r="H572" s="66" t="s">
        <v>205</v>
      </c>
      <c r="I572" s="66" t="s">
        <v>6</v>
      </c>
      <c r="J572" s="82" t="s">
        <v>13</v>
      </c>
      <c r="K572" s="67">
        <v>2000</v>
      </c>
      <c r="L572" s="82">
        <f t="shared" ref="L572:L603" si="40">+N572+R572+T572*10.2+V572*10.2</f>
        <v>2000</v>
      </c>
      <c r="M572" s="67">
        <v>350</v>
      </c>
      <c r="N572" s="82">
        <v>350</v>
      </c>
      <c r="O572" s="82">
        <f t="shared" si="37"/>
        <v>1650</v>
      </c>
      <c r="P572" s="82">
        <f t="shared" si="38"/>
        <v>1650</v>
      </c>
      <c r="Q572" s="67">
        <v>1650</v>
      </c>
      <c r="R572" s="82">
        <v>1650</v>
      </c>
      <c r="S572" s="67"/>
      <c r="T572" s="82"/>
      <c r="U572" s="67"/>
      <c r="V572" s="82"/>
      <c r="W572" s="82"/>
      <c r="X572" s="82"/>
      <c r="Y572" s="68">
        <v>10</v>
      </c>
      <c r="Z572" s="82">
        <v>10</v>
      </c>
      <c r="AA572" s="69">
        <v>44196</v>
      </c>
      <c r="AB572" s="74">
        <v>44169</v>
      </c>
      <c r="AC572" s="75" t="s">
        <v>2044</v>
      </c>
      <c r="AD572" s="70" t="s">
        <v>445</v>
      </c>
    </row>
    <row r="573" spans="1:30" s="76" customFormat="1" ht="37.5">
      <c r="A573" s="82">
        <f>+SUBTOTAL(3,$B$7:B573)</f>
        <v>567</v>
      </c>
      <c r="B573" s="82" t="s">
        <v>444</v>
      </c>
      <c r="C573" s="82" t="s">
        <v>111</v>
      </c>
      <c r="D573" s="66" t="s">
        <v>281</v>
      </c>
      <c r="E573" s="82">
        <v>3</v>
      </c>
      <c r="F573" s="67">
        <v>305445755</v>
      </c>
      <c r="G573" s="66" t="s">
        <v>1262</v>
      </c>
      <c r="H573" s="66" t="s">
        <v>37</v>
      </c>
      <c r="I573" s="66" t="s">
        <v>9</v>
      </c>
      <c r="J573" s="82" t="s">
        <v>37</v>
      </c>
      <c r="K573" s="67">
        <v>2900</v>
      </c>
      <c r="L573" s="82">
        <f t="shared" si="40"/>
        <v>4000</v>
      </c>
      <c r="M573" s="67">
        <v>400</v>
      </c>
      <c r="N573" s="82">
        <v>1500</v>
      </c>
      <c r="O573" s="82">
        <f t="shared" si="37"/>
        <v>2500</v>
      </c>
      <c r="P573" s="82">
        <f t="shared" si="38"/>
        <v>2500</v>
      </c>
      <c r="Q573" s="67">
        <v>2500</v>
      </c>
      <c r="R573" s="82">
        <v>2500</v>
      </c>
      <c r="S573" s="67"/>
      <c r="T573" s="82"/>
      <c r="U573" s="67"/>
      <c r="V573" s="82"/>
      <c r="W573" s="82"/>
      <c r="X573" s="82"/>
      <c r="Y573" s="68">
        <v>20</v>
      </c>
      <c r="Z573" s="82">
        <v>35</v>
      </c>
      <c r="AA573" s="69">
        <v>44196</v>
      </c>
      <c r="AB573" s="74">
        <v>44063</v>
      </c>
      <c r="AC573" s="75" t="s">
        <v>1977</v>
      </c>
      <c r="AD573" s="70" t="s">
        <v>453</v>
      </c>
    </row>
    <row r="574" spans="1:30" s="76" customFormat="1" ht="37.5">
      <c r="A574" s="82">
        <f>+SUBTOTAL(3,$B$7:B574)</f>
        <v>568</v>
      </c>
      <c r="B574" s="82" t="s">
        <v>444</v>
      </c>
      <c r="C574" s="82" t="s">
        <v>111</v>
      </c>
      <c r="D574" s="66" t="s">
        <v>281</v>
      </c>
      <c r="E574" s="82">
        <v>3</v>
      </c>
      <c r="F574" s="67">
        <v>301531668</v>
      </c>
      <c r="G574" s="66" t="s">
        <v>1263</v>
      </c>
      <c r="H574" s="66" t="s">
        <v>1264</v>
      </c>
      <c r="I574" s="66" t="s">
        <v>6</v>
      </c>
      <c r="J574" s="82" t="s">
        <v>14</v>
      </c>
      <c r="K574" s="67">
        <v>31900.000000000004</v>
      </c>
      <c r="L574" s="82">
        <f t="shared" si="40"/>
        <v>12750</v>
      </c>
      <c r="M574" s="67">
        <v>1000</v>
      </c>
      <c r="N574" s="82"/>
      <c r="O574" s="82">
        <f t="shared" si="37"/>
        <v>30599.999999999996</v>
      </c>
      <c r="P574" s="82">
        <f t="shared" si="38"/>
        <v>12750</v>
      </c>
      <c r="Q574" s="67"/>
      <c r="R574" s="82"/>
      <c r="S574" s="67">
        <v>3000</v>
      </c>
      <c r="T574" s="82">
        <v>1250</v>
      </c>
      <c r="U574" s="67"/>
      <c r="V574" s="82"/>
      <c r="W574" s="82"/>
      <c r="X574" s="82"/>
      <c r="Y574" s="68">
        <v>50</v>
      </c>
      <c r="Z574" s="82"/>
      <c r="AA574" s="69">
        <v>44287</v>
      </c>
      <c r="AB574" s="74"/>
      <c r="AC574" s="75"/>
      <c r="AD574" s="70" t="s">
        <v>453</v>
      </c>
    </row>
    <row r="575" spans="1:30" s="76" customFormat="1" ht="37.5">
      <c r="A575" s="82">
        <f>+SUBTOTAL(3,$B$7:B575)</f>
        <v>569</v>
      </c>
      <c r="B575" s="82" t="s">
        <v>444</v>
      </c>
      <c r="C575" s="82" t="s">
        <v>111</v>
      </c>
      <c r="D575" s="66" t="s">
        <v>281</v>
      </c>
      <c r="E575" s="82">
        <v>1</v>
      </c>
      <c r="F575" s="67">
        <v>304236552</v>
      </c>
      <c r="G575" s="66" t="s">
        <v>1265</v>
      </c>
      <c r="H575" s="66" t="s">
        <v>1266</v>
      </c>
      <c r="I575" s="66" t="s">
        <v>10</v>
      </c>
      <c r="J575" s="82" t="s">
        <v>45</v>
      </c>
      <c r="K575" s="67">
        <v>600</v>
      </c>
      <c r="L575" s="82">
        <f t="shared" si="40"/>
        <v>600</v>
      </c>
      <c r="M575" s="67">
        <v>400</v>
      </c>
      <c r="N575" s="82">
        <v>400</v>
      </c>
      <c r="O575" s="82">
        <f t="shared" si="37"/>
        <v>200</v>
      </c>
      <c r="P575" s="82">
        <f t="shared" si="38"/>
        <v>200</v>
      </c>
      <c r="Q575" s="67">
        <v>200</v>
      </c>
      <c r="R575" s="82">
        <v>200</v>
      </c>
      <c r="S575" s="67"/>
      <c r="T575" s="82"/>
      <c r="U575" s="67"/>
      <c r="V575" s="82"/>
      <c r="W575" s="82"/>
      <c r="X575" s="82"/>
      <c r="Y575" s="68">
        <v>3</v>
      </c>
      <c r="Z575" s="82">
        <v>3</v>
      </c>
      <c r="AA575" s="18">
        <v>44166</v>
      </c>
      <c r="AB575" s="74">
        <v>44142</v>
      </c>
      <c r="AC575" s="75" t="s">
        <v>1900</v>
      </c>
      <c r="AD575" s="70" t="s">
        <v>84</v>
      </c>
    </row>
    <row r="576" spans="1:30" s="76" customFormat="1" ht="56.25">
      <c r="A576" s="82">
        <f>+SUBTOTAL(3,$B$7:B576)</f>
        <v>570</v>
      </c>
      <c r="B576" s="82" t="s">
        <v>444</v>
      </c>
      <c r="C576" s="82" t="s">
        <v>111</v>
      </c>
      <c r="D576" s="66" t="s">
        <v>281</v>
      </c>
      <c r="E576" s="82">
        <v>3</v>
      </c>
      <c r="F576" s="67">
        <v>305045098</v>
      </c>
      <c r="G576" s="66" t="s">
        <v>1267</v>
      </c>
      <c r="H576" s="66" t="s">
        <v>1268</v>
      </c>
      <c r="I576" s="66" t="s">
        <v>6</v>
      </c>
      <c r="J576" s="82" t="s">
        <v>12</v>
      </c>
      <c r="K576" s="67">
        <v>201617.6</v>
      </c>
      <c r="L576" s="82">
        <f t="shared" si="40"/>
        <v>72185.399999999994</v>
      </c>
      <c r="M576" s="67">
        <v>128724.5</v>
      </c>
      <c r="N576" s="82"/>
      <c r="O576" s="82">
        <f t="shared" si="37"/>
        <v>72185.399999999994</v>
      </c>
      <c r="P576" s="82">
        <f t="shared" si="38"/>
        <v>72185.399999999994</v>
      </c>
      <c r="Q576" s="67"/>
      <c r="R576" s="82"/>
      <c r="S576" s="67">
        <v>7077</v>
      </c>
      <c r="T576" s="82">
        <v>7077</v>
      </c>
      <c r="U576" s="67"/>
      <c r="V576" s="82"/>
      <c r="W576" s="82"/>
      <c r="X576" s="82"/>
      <c r="Y576" s="68">
        <v>30</v>
      </c>
      <c r="Z576" s="82"/>
      <c r="AA576" s="18">
        <v>44531</v>
      </c>
      <c r="AB576" s="74"/>
      <c r="AC576" s="75"/>
      <c r="AD576" s="70" t="s">
        <v>543</v>
      </c>
    </row>
    <row r="577" spans="1:30" s="76" customFormat="1" ht="37.5">
      <c r="A577" s="82">
        <f>+SUBTOTAL(3,$B$7:B577)</f>
        <v>571</v>
      </c>
      <c r="B577" s="82" t="s">
        <v>444</v>
      </c>
      <c r="C577" s="82" t="s">
        <v>111</v>
      </c>
      <c r="D577" s="66" t="s">
        <v>281</v>
      </c>
      <c r="E577" s="82">
        <v>3</v>
      </c>
      <c r="F577" s="67">
        <v>305669821</v>
      </c>
      <c r="G577" s="66" t="s">
        <v>1269</v>
      </c>
      <c r="H577" s="66" t="s">
        <v>1270</v>
      </c>
      <c r="I577" s="66" t="s">
        <v>6</v>
      </c>
      <c r="J577" s="82" t="s">
        <v>12</v>
      </c>
      <c r="K577" s="67">
        <v>1180</v>
      </c>
      <c r="L577" s="82">
        <f t="shared" si="40"/>
        <v>220</v>
      </c>
      <c r="M577" s="67">
        <v>960</v>
      </c>
      <c r="N577" s="82"/>
      <c r="O577" s="82">
        <f t="shared" si="37"/>
        <v>220</v>
      </c>
      <c r="P577" s="82">
        <f t="shared" si="38"/>
        <v>220</v>
      </c>
      <c r="Q577" s="67">
        <v>220</v>
      </c>
      <c r="R577" s="82">
        <v>220</v>
      </c>
      <c r="S577" s="67"/>
      <c r="T577" s="82"/>
      <c r="U577" s="67"/>
      <c r="V577" s="82"/>
      <c r="W577" s="82"/>
      <c r="X577" s="82"/>
      <c r="Y577" s="68">
        <v>10</v>
      </c>
      <c r="Z577" s="82"/>
      <c r="AA577" s="18">
        <v>44347</v>
      </c>
      <c r="AB577" s="74"/>
      <c r="AC577" s="75"/>
      <c r="AD577" s="70" t="s">
        <v>543</v>
      </c>
    </row>
    <row r="578" spans="1:30" s="76" customFormat="1" ht="37.5">
      <c r="A578" s="82">
        <f>+SUBTOTAL(3,$B$7:B578)</f>
        <v>572</v>
      </c>
      <c r="B578" s="82" t="s">
        <v>444</v>
      </c>
      <c r="C578" s="82" t="s">
        <v>111</v>
      </c>
      <c r="D578" s="66" t="s">
        <v>281</v>
      </c>
      <c r="E578" s="82">
        <v>2</v>
      </c>
      <c r="F578" s="67">
        <v>307398077</v>
      </c>
      <c r="G578" s="66" t="s">
        <v>1271</v>
      </c>
      <c r="H578" s="66" t="s">
        <v>1272</v>
      </c>
      <c r="I578" s="66" t="s">
        <v>6</v>
      </c>
      <c r="J578" s="82" t="s">
        <v>13</v>
      </c>
      <c r="K578" s="67">
        <v>1500</v>
      </c>
      <c r="L578" s="82">
        <f t="shared" si="40"/>
        <v>1500</v>
      </c>
      <c r="M578" s="67">
        <v>500</v>
      </c>
      <c r="N578" s="82">
        <v>500</v>
      </c>
      <c r="O578" s="82">
        <f t="shared" si="37"/>
        <v>1000</v>
      </c>
      <c r="P578" s="82">
        <f t="shared" si="38"/>
        <v>1000</v>
      </c>
      <c r="Q578" s="67">
        <v>1000</v>
      </c>
      <c r="R578" s="82">
        <v>1000</v>
      </c>
      <c r="S578" s="67"/>
      <c r="T578" s="82"/>
      <c r="U578" s="67"/>
      <c r="V578" s="82"/>
      <c r="W578" s="82"/>
      <c r="X578" s="82"/>
      <c r="Y578" s="68">
        <v>5</v>
      </c>
      <c r="Z578" s="82">
        <v>5</v>
      </c>
      <c r="AA578" s="18">
        <v>44196</v>
      </c>
      <c r="AB578" s="74">
        <v>44165</v>
      </c>
      <c r="AC578" s="75" t="s">
        <v>1998</v>
      </c>
      <c r="AD578" s="70" t="s">
        <v>453</v>
      </c>
    </row>
    <row r="579" spans="1:30" s="76" customFormat="1" ht="37.5">
      <c r="A579" s="82">
        <f>+SUBTOTAL(3,$B$7:B579)</f>
        <v>573</v>
      </c>
      <c r="B579" s="82" t="s">
        <v>444</v>
      </c>
      <c r="C579" s="82" t="s">
        <v>111</v>
      </c>
      <c r="D579" s="66" t="s">
        <v>281</v>
      </c>
      <c r="E579" s="82">
        <v>3</v>
      </c>
      <c r="F579" s="67">
        <v>307473253</v>
      </c>
      <c r="G579" s="66" t="s">
        <v>1273</v>
      </c>
      <c r="H579" s="66" t="s">
        <v>1274</v>
      </c>
      <c r="I579" s="66" t="s">
        <v>10</v>
      </c>
      <c r="J579" s="82" t="s">
        <v>45</v>
      </c>
      <c r="K579" s="67">
        <v>1400</v>
      </c>
      <c r="L579" s="82">
        <f t="shared" si="40"/>
        <v>1400</v>
      </c>
      <c r="M579" s="67">
        <v>400</v>
      </c>
      <c r="N579" s="82">
        <v>400</v>
      </c>
      <c r="O579" s="82">
        <f t="shared" si="37"/>
        <v>1000</v>
      </c>
      <c r="P579" s="82">
        <f t="shared" si="38"/>
        <v>1000</v>
      </c>
      <c r="Q579" s="67">
        <v>1000</v>
      </c>
      <c r="R579" s="82">
        <v>1000</v>
      </c>
      <c r="S579" s="67"/>
      <c r="T579" s="82"/>
      <c r="U579" s="67"/>
      <c r="V579" s="82"/>
      <c r="W579" s="82"/>
      <c r="X579" s="82"/>
      <c r="Y579" s="68">
        <v>3</v>
      </c>
      <c r="Z579" s="82">
        <v>3</v>
      </c>
      <c r="AA579" s="69">
        <v>44196</v>
      </c>
      <c r="AB579" s="74">
        <v>44141</v>
      </c>
      <c r="AC579" s="75" t="s">
        <v>1901</v>
      </c>
      <c r="AD579" s="70" t="s">
        <v>453</v>
      </c>
    </row>
    <row r="580" spans="1:30" s="76" customFormat="1" ht="37.5">
      <c r="A580" s="82">
        <f>+SUBTOTAL(3,$B$7:B580)</f>
        <v>574</v>
      </c>
      <c r="B580" s="82" t="s">
        <v>444</v>
      </c>
      <c r="C580" s="82" t="s">
        <v>111</v>
      </c>
      <c r="D580" s="66" t="s">
        <v>281</v>
      </c>
      <c r="E580" s="82">
        <v>2</v>
      </c>
      <c r="F580" s="67">
        <v>307436084</v>
      </c>
      <c r="G580" s="66" t="s">
        <v>1275</v>
      </c>
      <c r="H580" s="66" t="s">
        <v>369</v>
      </c>
      <c r="I580" s="66" t="s">
        <v>9</v>
      </c>
      <c r="J580" s="82" t="s">
        <v>1777</v>
      </c>
      <c r="K580" s="67">
        <v>1500</v>
      </c>
      <c r="L580" s="82">
        <f t="shared" si="40"/>
        <v>1500</v>
      </c>
      <c r="M580" s="67">
        <v>1000</v>
      </c>
      <c r="N580" s="82">
        <v>1000</v>
      </c>
      <c r="O580" s="82">
        <f t="shared" si="37"/>
        <v>500</v>
      </c>
      <c r="P580" s="82">
        <f t="shared" si="38"/>
        <v>500</v>
      </c>
      <c r="Q580" s="67">
        <v>500</v>
      </c>
      <c r="R580" s="82">
        <v>500</v>
      </c>
      <c r="S580" s="67"/>
      <c r="T580" s="82"/>
      <c r="U580" s="67"/>
      <c r="V580" s="82"/>
      <c r="W580" s="82"/>
      <c r="X580" s="82"/>
      <c r="Y580" s="68">
        <v>5</v>
      </c>
      <c r="Z580" s="82">
        <v>5</v>
      </c>
      <c r="AA580" s="69">
        <v>44196</v>
      </c>
      <c r="AB580" s="74">
        <v>44146</v>
      </c>
      <c r="AC580" s="75" t="s">
        <v>1902</v>
      </c>
      <c r="AD580" s="70" t="s">
        <v>453</v>
      </c>
    </row>
    <row r="581" spans="1:30" s="76" customFormat="1" ht="37.5">
      <c r="A581" s="82">
        <f>+SUBTOTAL(3,$B$7:B581)</f>
        <v>575</v>
      </c>
      <c r="B581" s="82" t="s">
        <v>444</v>
      </c>
      <c r="C581" s="82" t="s">
        <v>111</v>
      </c>
      <c r="D581" s="66" t="s">
        <v>281</v>
      </c>
      <c r="E581" s="82">
        <v>3</v>
      </c>
      <c r="F581" s="67">
        <v>305479824</v>
      </c>
      <c r="G581" s="66" t="s">
        <v>1276</v>
      </c>
      <c r="H581" s="66" t="s">
        <v>1277</v>
      </c>
      <c r="I581" s="66" t="s">
        <v>10</v>
      </c>
      <c r="J581" s="82" t="s">
        <v>44</v>
      </c>
      <c r="K581" s="67">
        <v>900</v>
      </c>
      <c r="L581" s="82">
        <f t="shared" si="40"/>
        <v>900</v>
      </c>
      <c r="M581" s="67">
        <v>300</v>
      </c>
      <c r="N581" s="82">
        <v>300</v>
      </c>
      <c r="O581" s="82">
        <f t="shared" si="37"/>
        <v>600</v>
      </c>
      <c r="P581" s="82">
        <f t="shared" si="38"/>
        <v>600</v>
      </c>
      <c r="Q581" s="67">
        <v>600</v>
      </c>
      <c r="R581" s="82">
        <v>600</v>
      </c>
      <c r="S581" s="67"/>
      <c r="T581" s="82"/>
      <c r="U581" s="67"/>
      <c r="V581" s="82"/>
      <c r="W581" s="82"/>
      <c r="X581" s="82"/>
      <c r="Y581" s="68">
        <v>3</v>
      </c>
      <c r="Z581" s="82">
        <v>3</v>
      </c>
      <c r="AA581" s="69">
        <v>44196</v>
      </c>
      <c r="AB581" s="74">
        <v>44141</v>
      </c>
      <c r="AC581" s="75" t="s">
        <v>1903</v>
      </c>
      <c r="AD581" s="70" t="s">
        <v>453</v>
      </c>
    </row>
    <row r="582" spans="1:30" s="76" customFormat="1" ht="37.5">
      <c r="A582" s="82">
        <f>+SUBTOTAL(3,$B$7:B582)</f>
        <v>576</v>
      </c>
      <c r="B582" s="82" t="s">
        <v>444</v>
      </c>
      <c r="C582" s="82" t="s">
        <v>111</v>
      </c>
      <c r="D582" s="66" t="s">
        <v>281</v>
      </c>
      <c r="E582" s="82">
        <v>2</v>
      </c>
      <c r="F582" s="67">
        <v>307362763</v>
      </c>
      <c r="G582" s="66" t="s">
        <v>1278</v>
      </c>
      <c r="H582" s="66" t="s">
        <v>1279</v>
      </c>
      <c r="I582" s="66" t="s">
        <v>10</v>
      </c>
      <c r="J582" s="82" t="s">
        <v>30</v>
      </c>
      <c r="K582" s="67">
        <v>1000</v>
      </c>
      <c r="L582" s="82">
        <f t="shared" si="40"/>
        <v>1000</v>
      </c>
      <c r="M582" s="67">
        <v>500</v>
      </c>
      <c r="N582" s="82">
        <v>500</v>
      </c>
      <c r="O582" s="82">
        <f t="shared" si="37"/>
        <v>500</v>
      </c>
      <c r="P582" s="82">
        <f t="shared" si="38"/>
        <v>500</v>
      </c>
      <c r="Q582" s="67">
        <v>500</v>
      </c>
      <c r="R582" s="82">
        <v>500</v>
      </c>
      <c r="S582" s="67"/>
      <c r="T582" s="82"/>
      <c r="U582" s="67"/>
      <c r="V582" s="82"/>
      <c r="W582" s="82"/>
      <c r="X582" s="82"/>
      <c r="Y582" s="68">
        <v>5</v>
      </c>
      <c r="Z582" s="82">
        <v>5</v>
      </c>
      <c r="AA582" s="69">
        <v>44196</v>
      </c>
      <c r="AB582" s="74">
        <v>44136</v>
      </c>
      <c r="AC582" s="75" t="s">
        <v>1904</v>
      </c>
      <c r="AD582" s="70" t="s">
        <v>453</v>
      </c>
    </row>
    <row r="583" spans="1:30" s="76" customFormat="1" ht="37.5">
      <c r="A583" s="82">
        <f>+SUBTOTAL(3,$B$7:B583)</f>
        <v>577</v>
      </c>
      <c r="B583" s="82" t="s">
        <v>444</v>
      </c>
      <c r="C583" s="82" t="s">
        <v>111</v>
      </c>
      <c r="D583" s="66" t="s">
        <v>281</v>
      </c>
      <c r="E583" s="82">
        <v>3</v>
      </c>
      <c r="F583" s="67">
        <v>200484714</v>
      </c>
      <c r="G583" s="66" t="s">
        <v>1280</v>
      </c>
      <c r="H583" s="66" t="s">
        <v>302</v>
      </c>
      <c r="I583" s="66" t="s">
        <v>6</v>
      </c>
      <c r="J583" s="82" t="s">
        <v>53</v>
      </c>
      <c r="K583" s="67">
        <v>700</v>
      </c>
      <c r="L583" s="82">
        <f t="shared" si="40"/>
        <v>700</v>
      </c>
      <c r="M583" s="67">
        <v>400</v>
      </c>
      <c r="N583" s="82">
        <v>400</v>
      </c>
      <c r="O583" s="82">
        <f t="shared" ref="O583:O646" si="41">+Q583+S583*10.2</f>
        <v>300</v>
      </c>
      <c r="P583" s="82">
        <f t="shared" ref="P583:P646" si="42">+R583+T583*10.2</f>
        <v>300</v>
      </c>
      <c r="Q583" s="67">
        <v>300</v>
      </c>
      <c r="R583" s="82">
        <v>300</v>
      </c>
      <c r="S583" s="67"/>
      <c r="T583" s="82"/>
      <c r="U583" s="67"/>
      <c r="V583" s="82"/>
      <c r="W583" s="82"/>
      <c r="X583" s="82"/>
      <c r="Y583" s="68">
        <v>3</v>
      </c>
      <c r="Z583" s="82">
        <v>3</v>
      </c>
      <c r="AA583" s="18">
        <v>44196</v>
      </c>
      <c r="AB583" s="74">
        <v>44142</v>
      </c>
      <c r="AC583" s="75" t="s">
        <v>1905</v>
      </c>
      <c r="AD583" s="70" t="s">
        <v>453</v>
      </c>
    </row>
    <row r="584" spans="1:30" s="76" customFormat="1" ht="37.5">
      <c r="A584" s="82">
        <f>+SUBTOTAL(3,$B$7:B584)</f>
        <v>578</v>
      </c>
      <c r="B584" s="82" t="s">
        <v>444</v>
      </c>
      <c r="C584" s="82" t="s">
        <v>111</v>
      </c>
      <c r="D584" s="66" t="s">
        <v>281</v>
      </c>
      <c r="E584" s="82">
        <v>3</v>
      </c>
      <c r="F584" s="67">
        <v>301246856</v>
      </c>
      <c r="G584" s="66" t="s">
        <v>1281</v>
      </c>
      <c r="H584" s="66" t="s">
        <v>1282</v>
      </c>
      <c r="I584" s="66" t="s">
        <v>10</v>
      </c>
      <c r="J584" s="82" t="s">
        <v>30</v>
      </c>
      <c r="K584" s="67">
        <v>4500</v>
      </c>
      <c r="L584" s="82">
        <f t="shared" si="40"/>
        <v>4500</v>
      </c>
      <c r="M584" s="67">
        <v>1500</v>
      </c>
      <c r="N584" s="82">
        <v>1500</v>
      </c>
      <c r="O584" s="82">
        <f t="shared" si="41"/>
        <v>3000</v>
      </c>
      <c r="P584" s="82">
        <f t="shared" si="42"/>
        <v>3000</v>
      </c>
      <c r="Q584" s="67">
        <v>3000</v>
      </c>
      <c r="R584" s="82">
        <v>3000</v>
      </c>
      <c r="S584" s="67"/>
      <c r="T584" s="82"/>
      <c r="U584" s="67"/>
      <c r="V584" s="82"/>
      <c r="W584" s="82"/>
      <c r="X584" s="82"/>
      <c r="Y584" s="68">
        <v>12</v>
      </c>
      <c r="Z584" s="82">
        <v>10</v>
      </c>
      <c r="AA584" s="18">
        <v>44256</v>
      </c>
      <c r="AB584" s="74">
        <v>44235</v>
      </c>
      <c r="AC584" s="75" t="s">
        <v>2108</v>
      </c>
      <c r="AD584" s="70" t="s">
        <v>8</v>
      </c>
    </row>
    <row r="585" spans="1:30" s="76" customFormat="1" ht="37.5">
      <c r="A585" s="82">
        <f>+SUBTOTAL(3,$B$7:B585)</f>
        <v>579</v>
      </c>
      <c r="B585" s="82" t="s">
        <v>444</v>
      </c>
      <c r="C585" s="82" t="s">
        <v>111</v>
      </c>
      <c r="D585" s="66" t="s">
        <v>281</v>
      </c>
      <c r="E585" s="82">
        <v>4</v>
      </c>
      <c r="F585" s="67">
        <v>303845773</v>
      </c>
      <c r="G585" s="66" t="s">
        <v>1283</v>
      </c>
      <c r="H585" s="66" t="s">
        <v>131</v>
      </c>
      <c r="I585" s="66" t="s">
        <v>9</v>
      </c>
      <c r="J585" s="82" t="s">
        <v>37</v>
      </c>
      <c r="K585" s="67">
        <v>300</v>
      </c>
      <c r="L585" s="82">
        <f t="shared" si="40"/>
        <v>300</v>
      </c>
      <c r="M585" s="67">
        <v>100</v>
      </c>
      <c r="N585" s="82">
        <v>100</v>
      </c>
      <c r="O585" s="82">
        <f t="shared" si="41"/>
        <v>200</v>
      </c>
      <c r="P585" s="82">
        <f t="shared" si="42"/>
        <v>200</v>
      </c>
      <c r="Q585" s="67">
        <v>200</v>
      </c>
      <c r="R585" s="82">
        <v>200</v>
      </c>
      <c r="S585" s="67"/>
      <c r="T585" s="82"/>
      <c r="U585" s="67"/>
      <c r="V585" s="82"/>
      <c r="W585" s="82"/>
      <c r="X585" s="82"/>
      <c r="Y585" s="68">
        <v>3</v>
      </c>
      <c r="Z585" s="82">
        <v>3</v>
      </c>
      <c r="AA585" s="18">
        <v>44166</v>
      </c>
      <c r="AB585" s="74">
        <v>44155</v>
      </c>
      <c r="AC585" s="75" t="s">
        <v>1906</v>
      </c>
      <c r="AD585" s="70" t="s">
        <v>453</v>
      </c>
    </row>
    <row r="586" spans="1:30" s="76" customFormat="1" ht="37.5">
      <c r="A586" s="82">
        <f>+SUBTOTAL(3,$B$7:B586)</f>
        <v>580</v>
      </c>
      <c r="B586" s="82" t="s">
        <v>444</v>
      </c>
      <c r="C586" s="82" t="s">
        <v>111</v>
      </c>
      <c r="D586" s="66" t="s">
        <v>281</v>
      </c>
      <c r="E586" s="82">
        <v>1</v>
      </c>
      <c r="F586" s="67">
        <v>301558931</v>
      </c>
      <c r="G586" s="66" t="s">
        <v>1284</v>
      </c>
      <c r="H586" s="66" t="s">
        <v>1285</v>
      </c>
      <c r="I586" s="66" t="s">
        <v>9</v>
      </c>
      <c r="J586" s="82" t="s">
        <v>63</v>
      </c>
      <c r="K586" s="67">
        <v>3700</v>
      </c>
      <c r="L586" s="82">
        <f t="shared" si="40"/>
        <v>2000</v>
      </c>
      <c r="M586" s="67">
        <v>1500</v>
      </c>
      <c r="N586" s="82"/>
      <c r="O586" s="82">
        <f t="shared" si="41"/>
        <v>2200</v>
      </c>
      <c r="P586" s="82">
        <f t="shared" si="42"/>
        <v>2000</v>
      </c>
      <c r="Q586" s="67">
        <v>2200</v>
      </c>
      <c r="R586" s="82">
        <v>2000</v>
      </c>
      <c r="S586" s="67"/>
      <c r="T586" s="82"/>
      <c r="U586" s="67"/>
      <c r="V586" s="82"/>
      <c r="W586" s="82"/>
      <c r="X586" s="82"/>
      <c r="Y586" s="68">
        <v>20</v>
      </c>
      <c r="Z586" s="82"/>
      <c r="AA586" s="18">
        <v>44501</v>
      </c>
      <c r="AB586" s="74"/>
      <c r="AC586" s="75"/>
      <c r="AD586" s="70" t="s">
        <v>84</v>
      </c>
    </row>
    <row r="587" spans="1:30" s="76" customFormat="1" ht="37.5">
      <c r="A587" s="82">
        <f>+SUBTOTAL(3,$B$7:B587)</f>
        <v>581</v>
      </c>
      <c r="B587" s="82" t="s">
        <v>444</v>
      </c>
      <c r="C587" s="82" t="s">
        <v>111</v>
      </c>
      <c r="D587" s="66" t="s">
        <v>281</v>
      </c>
      <c r="E587" s="82">
        <v>2</v>
      </c>
      <c r="F587" s="67">
        <v>305247297</v>
      </c>
      <c r="G587" s="66" t="s">
        <v>283</v>
      </c>
      <c r="H587" s="66" t="s">
        <v>284</v>
      </c>
      <c r="I587" s="66" t="s">
        <v>10</v>
      </c>
      <c r="J587" s="82" t="s">
        <v>66</v>
      </c>
      <c r="K587" s="67">
        <v>1500</v>
      </c>
      <c r="L587" s="82">
        <f t="shared" si="40"/>
        <v>2000</v>
      </c>
      <c r="M587" s="67">
        <v>500</v>
      </c>
      <c r="N587" s="82"/>
      <c r="O587" s="82">
        <f t="shared" si="41"/>
        <v>1000</v>
      </c>
      <c r="P587" s="82">
        <f t="shared" si="42"/>
        <v>2000</v>
      </c>
      <c r="Q587" s="67">
        <v>1000</v>
      </c>
      <c r="R587" s="82">
        <v>2000</v>
      </c>
      <c r="S587" s="67">
        <v>0</v>
      </c>
      <c r="T587" s="82"/>
      <c r="U587" s="67"/>
      <c r="V587" s="82"/>
      <c r="W587" s="82"/>
      <c r="X587" s="82"/>
      <c r="Y587" s="68">
        <v>18</v>
      </c>
      <c r="Z587" s="82"/>
      <c r="AA587" s="18">
        <v>44531</v>
      </c>
      <c r="AB587" s="74"/>
      <c r="AC587" s="75"/>
      <c r="AD587" s="70" t="s">
        <v>4</v>
      </c>
    </row>
    <row r="588" spans="1:30" s="76" customFormat="1" ht="75">
      <c r="A588" s="82">
        <f>+SUBTOTAL(3,$B$7:B588)</f>
        <v>582</v>
      </c>
      <c r="B588" s="82" t="s">
        <v>444</v>
      </c>
      <c r="C588" s="82" t="s">
        <v>111</v>
      </c>
      <c r="D588" s="66" t="s">
        <v>281</v>
      </c>
      <c r="E588" s="82">
        <v>3</v>
      </c>
      <c r="F588" s="67">
        <v>301496789</v>
      </c>
      <c r="G588" s="66" t="s">
        <v>2037</v>
      </c>
      <c r="H588" s="66" t="s">
        <v>1286</v>
      </c>
      <c r="I588" s="66" t="s">
        <v>10</v>
      </c>
      <c r="J588" s="82" t="s">
        <v>56</v>
      </c>
      <c r="K588" s="67">
        <v>650</v>
      </c>
      <c r="L588" s="82">
        <f t="shared" si="40"/>
        <v>300</v>
      </c>
      <c r="M588" s="67">
        <v>150</v>
      </c>
      <c r="N588" s="82"/>
      <c r="O588" s="82">
        <f t="shared" si="41"/>
        <v>500</v>
      </c>
      <c r="P588" s="82">
        <f t="shared" si="42"/>
        <v>300</v>
      </c>
      <c r="Q588" s="67">
        <v>500</v>
      </c>
      <c r="R588" s="82">
        <v>300</v>
      </c>
      <c r="S588" s="67"/>
      <c r="T588" s="82"/>
      <c r="U588" s="67"/>
      <c r="V588" s="82"/>
      <c r="W588" s="82"/>
      <c r="X588" s="82"/>
      <c r="Y588" s="68">
        <v>7</v>
      </c>
      <c r="Z588" s="82"/>
      <c r="AA588" s="69">
        <v>44531</v>
      </c>
      <c r="AB588" s="74"/>
      <c r="AC588" s="75"/>
      <c r="AD588" s="70" t="s">
        <v>445</v>
      </c>
    </row>
    <row r="589" spans="1:30" s="76" customFormat="1" ht="37.5">
      <c r="A589" s="82">
        <f>+SUBTOTAL(3,$B$7:B589)</f>
        <v>583</v>
      </c>
      <c r="B589" s="82" t="s">
        <v>444</v>
      </c>
      <c r="C589" s="82" t="s">
        <v>111</v>
      </c>
      <c r="D589" s="66" t="s">
        <v>281</v>
      </c>
      <c r="E589" s="82">
        <v>3</v>
      </c>
      <c r="F589" s="67">
        <v>307594024</v>
      </c>
      <c r="G589" s="66" t="s">
        <v>1287</v>
      </c>
      <c r="H589" s="66" t="s">
        <v>1288</v>
      </c>
      <c r="I589" s="66" t="s">
        <v>10</v>
      </c>
      <c r="J589" s="82" t="s">
        <v>59</v>
      </c>
      <c r="K589" s="67">
        <v>250</v>
      </c>
      <c r="L589" s="82">
        <f t="shared" si="40"/>
        <v>250</v>
      </c>
      <c r="M589" s="67">
        <v>50</v>
      </c>
      <c r="N589" s="82">
        <v>50</v>
      </c>
      <c r="O589" s="82">
        <f t="shared" si="41"/>
        <v>200</v>
      </c>
      <c r="P589" s="82">
        <f t="shared" si="42"/>
        <v>200</v>
      </c>
      <c r="Q589" s="67">
        <v>200</v>
      </c>
      <c r="R589" s="82">
        <v>200</v>
      </c>
      <c r="S589" s="67"/>
      <c r="T589" s="82"/>
      <c r="U589" s="67"/>
      <c r="V589" s="82"/>
      <c r="W589" s="82"/>
      <c r="X589" s="82"/>
      <c r="Y589" s="68">
        <v>3</v>
      </c>
      <c r="Z589" s="82">
        <v>3</v>
      </c>
      <c r="AA589" s="18">
        <v>44196</v>
      </c>
      <c r="AB589" s="74">
        <v>44146</v>
      </c>
      <c r="AC589" s="75" t="s">
        <v>1907</v>
      </c>
      <c r="AD589" s="70" t="s">
        <v>453</v>
      </c>
    </row>
    <row r="590" spans="1:30" s="76" customFormat="1" ht="75">
      <c r="A590" s="82">
        <f>+SUBTOTAL(3,$B$7:B590)</f>
        <v>584</v>
      </c>
      <c r="B590" s="82" t="s">
        <v>444</v>
      </c>
      <c r="C590" s="82" t="s">
        <v>111</v>
      </c>
      <c r="D590" s="66" t="s">
        <v>281</v>
      </c>
      <c r="E590" s="82">
        <v>2</v>
      </c>
      <c r="F590" s="67">
        <v>305203112</v>
      </c>
      <c r="G590" s="66" t="s">
        <v>1289</v>
      </c>
      <c r="H590" s="66" t="s">
        <v>1290</v>
      </c>
      <c r="I590" s="66" t="s">
        <v>10</v>
      </c>
      <c r="J590" s="82" t="s">
        <v>30</v>
      </c>
      <c r="K590" s="67">
        <v>300</v>
      </c>
      <c r="L590" s="82">
        <f t="shared" si="40"/>
        <v>300</v>
      </c>
      <c r="M590" s="67">
        <v>100</v>
      </c>
      <c r="N590" s="82">
        <v>100</v>
      </c>
      <c r="O590" s="82">
        <f t="shared" si="41"/>
        <v>200</v>
      </c>
      <c r="P590" s="82">
        <f t="shared" si="42"/>
        <v>200</v>
      </c>
      <c r="Q590" s="67">
        <v>200</v>
      </c>
      <c r="R590" s="82">
        <v>200</v>
      </c>
      <c r="S590" s="67"/>
      <c r="T590" s="82"/>
      <c r="U590" s="67"/>
      <c r="V590" s="82"/>
      <c r="W590" s="82"/>
      <c r="X590" s="82"/>
      <c r="Y590" s="68">
        <v>3</v>
      </c>
      <c r="Z590" s="82">
        <v>3</v>
      </c>
      <c r="AA590" s="69">
        <v>44166</v>
      </c>
      <c r="AB590" s="74">
        <v>44155</v>
      </c>
      <c r="AC590" s="75" t="s">
        <v>1908</v>
      </c>
      <c r="AD590" s="70" t="s">
        <v>460</v>
      </c>
    </row>
    <row r="591" spans="1:30" s="76" customFormat="1" ht="37.5">
      <c r="A591" s="82">
        <f>+SUBTOTAL(3,$B$7:B591)</f>
        <v>585</v>
      </c>
      <c r="B591" s="82" t="s">
        <v>444</v>
      </c>
      <c r="C591" s="82" t="s">
        <v>111</v>
      </c>
      <c r="D591" s="66" t="s">
        <v>281</v>
      </c>
      <c r="E591" s="82">
        <v>3</v>
      </c>
      <c r="F591" s="67">
        <v>307533898</v>
      </c>
      <c r="G591" s="66" t="s">
        <v>1291</v>
      </c>
      <c r="H591" s="66" t="s">
        <v>1292</v>
      </c>
      <c r="I591" s="66" t="s">
        <v>10</v>
      </c>
      <c r="J591" s="82" t="s">
        <v>30</v>
      </c>
      <c r="K591" s="67">
        <v>700</v>
      </c>
      <c r="L591" s="82">
        <f t="shared" si="40"/>
        <v>700</v>
      </c>
      <c r="M591" s="67">
        <v>200</v>
      </c>
      <c r="N591" s="82">
        <v>200</v>
      </c>
      <c r="O591" s="82">
        <f t="shared" si="41"/>
        <v>500</v>
      </c>
      <c r="P591" s="82">
        <f t="shared" si="42"/>
        <v>500</v>
      </c>
      <c r="Q591" s="67">
        <v>500</v>
      </c>
      <c r="R591" s="82">
        <v>500</v>
      </c>
      <c r="S591" s="67"/>
      <c r="T591" s="82"/>
      <c r="U591" s="67"/>
      <c r="V591" s="82"/>
      <c r="W591" s="82"/>
      <c r="X591" s="82"/>
      <c r="Y591" s="68">
        <v>3</v>
      </c>
      <c r="Z591" s="82">
        <v>3</v>
      </c>
      <c r="AA591" s="69">
        <v>44196</v>
      </c>
      <c r="AB591" s="74">
        <v>44136</v>
      </c>
      <c r="AC591" s="75" t="s">
        <v>1909</v>
      </c>
      <c r="AD591" s="70" t="s">
        <v>453</v>
      </c>
    </row>
    <row r="592" spans="1:30" s="76" customFormat="1" ht="37.5">
      <c r="A592" s="82">
        <f>+SUBTOTAL(3,$B$7:B592)</f>
        <v>586</v>
      </c>
      <c r="B592" s="82" t="s">
        <v>444</v>
      </c>
      <c r="C592" s="82" t="s">
        <v>111</v>
      </c>
      <c r="D592" s="66" t="s">
        <v>281</v>
      </c>
      <c r="E592" s="82">
        <v>2</v>
      </c>
      <c r="F592" s="67">
        <v>307473253</v>
      </c>
      <c r="G592" s="66" t="s">
        <v>1293</v>
      </c>
      <c r="H592" s="66" t="s">
        <v>1294</v>
      </c>
      <c r="I592" s="66" t="s">
        <v>10</v>
      </c>
      <c r="J592" s="82" t="s">
        <v>45</v>
      </c>
      <c r="K592" s="67">
        <v>1500</v>
      </c>
      <c r="L592" s="82">
        <f t="shared" si="40"/>
        <v>1400</v>
      </c>
      <c r="M592" s="67">
        <v>300</v>
      </c>
      <c r="N592" s="82">
        <v>400</v>
      </c>
      <c r="O592" s="82">
        <f t="shared" si="41"/>
        <v>1200</v>
      </c>
      <c r="P592" s="82">
        <f t="shared" si="42"/>
        <v>1000</v>
      </c>
      <c r="Q592" s="67">
        <v>1200</v>
      </c>
      <c r="R592" s="82">
        <v>1000</v>
      </c>
      <c r="S592" s="67"/>
      <c r="T592" s="82"/>
      <c r="U592" s="67"/>
      <c r="V592" s="82"/>
      <c r="W592" s="82"/>
      <c r="X592" s="82"/>
      <c r="Y592" s="68">
        <v>3</v>
      </c>
      <c r="Z592" s="82">
        <v>3</v>
      </c>
      <c r="AA592" s="69">
        <v>44175</v>
      </c>
      <c r="AB592" s="74">
        <v>44141</v>
      </c>
      <c r="AC592" s="75" t="s">
        <v>1901</v>
      </c>
      <c r="AD592" s="70" t="s">
        <v>453</v>
      </c>
    </row>
    <row r="593" spans="1:30" s="76" customFormat="1" ht="37.5">
      <c r="A593" s="82">
        <f>+SUBTOTAL(3,$B$7:B593)</f>
        <v>587</v>
      </c>
      <c r="B593" s="82" t="s">
        <v>444</v>
      </c>
      <c r="C593" s="82" t="s">
        <v>111</v>
      </c>
      <c r="D593" s="66" t="s">
        <v>281</v>
      </c>
      <c r="E593" s="82">
        <v>3</v>
      </c>
      <c r="F593" s="67">
        <v>306326593</v>
      </c>
      <c r="G593" s="66" t="s">
        <v>1295</v>
      </c>
      <c r="H593" s="66" t="s">
        <v>1296</v>
      </c>
      <c r="I593" s="66" t="s">
        <v>10</v>
      </c>
      <c r="J593" s="82" t="s">
        <v>30</v>
      </c>
      <c r="K593" s="67">
        <v>350</v>
      </c>
      <c r="L593" s="82">
        <f t="shared" si="40"/>
        <v>350</v>
      </c>
      <c r="M593" s="67">
        <v>100</v>
      </c>
      <c r="N593" s="82">
        <v>100</v>
      </c>
      <c r="O593" s="82">
        <f t="shared" si="41"/>
        <v>250</v>
      </c>
      <c r="P593" s="82">
        <f t="shared" si="42"/>
        <v>250</v>
      </c>
      <c r="Q593" s="67">
        <v>250</v>
      </c>
      <c r="R593" s="82">
        <v>250</v>
      </c>
      <c r="S593" s="67"/>
      <c r="T593" s="82"/>
      <c r="U593" s="67"/>
      <c r="V593" s="82"/>
      <c r="W593" s="82"/>
      <c r="X593" s="82"/>
      <c r="Y593" s="68">
        <v>7</v>
      </c>
      <c r="Z593" s="82">
        <v>7</v>
      </c>
      <c r="AA593" s="18">
        <v>44196</v>
      </c>
      <c r="AB593" s="74">
        <v>44146</v>
      </c>
      <c r="AC593" s="75" t="s">
        <v>1910</v>
      </c>
      <c r="AD593" s="70" t="s">
        <v>453</v>
      </c>
    </row>
    <row r="594" spans="1:30" s="76" customFormat="1" ht="37.5">
      <c r="A594" s="82">
        <f>+SUBTOTAL(3,$B$7:B594)</f>
        <v>588</v>
      </c>
      <c r="B594" s="82" t="s">
        <v>444</v>
      </c>
      <c r="C594" s="82" t="s">
        <v>111</v>
      </c>
      <c r="D594" s="66" t="s">
        <v>281</v>
      </c>
      <c r="E594" s="82">
        <v>1</v>
      </c>
      <c r="F594" s="67">
        <v>307410441</v>
      </c>
      <c r="G594" s="66" t="s">
        <v>1297</v>
      </c>
      <c r="H594" s="66" t="s">
        <v>1298</v>
      </c>
      <c r="I594" s="66" t="s">
        <v>10</v>
      </c>
      <c r="J594" s="82" t="s">
        <v>30</v>
      </c>
      <c r="K594" s="67">
        <v>400</v>
      </c>
      <c r="L594" s="82">
        <f t="shared" si="40"/>
        <v>400</v>
      </c>
      <c r="M594" s="67">
        <v>200</v>
      </c>
      <c r="N594" s="82">
        <v>200</v>
      </c>
      <c r="O594" s="82">
        <f t="shared" si="41"/>
        <v>200</v>
      </c>
      <c r="P594" s="82">
        <f t="shared" si="42"/>
        <v>200</v>
      </c>
      <c r="Q594" s="67">
        <v>200</v>
      </c>
      <c r="R594" s="82">
        <v>200</v>
      </c>
      <c r="S594" s="67"/>
      <c r="T594" s="82"/>
      <c r="U594" s="67"/>
      <c r="V594" s="82"/>
      <c r="W594" s="82"/>
      <c r="X594" s="82"/>
      <c r="Y594" s="68">
        <v>4</v>
      </c>
      <c r="Z594" s="82">
        <v>4</v>
      </c>
      <c r="AA594" s="18">
        <v>44196</v>
      </c>
      <c r="AB594" s="74">
        <v>44142</v>
      </c>
      <c r="AC594" s="75" t="s">
        <v>1911</v>
      </c>
      <c r="AD594" s="70" t="s">
        <v>453</v>
      </c>
    </row>
    <row r="595" spans="1:30" s="76" customFormat="1" ht="37.5">
      <c r="A595" s="82">
        <f>+SUBTOTAL(3,$B$7:B595)</f>
        <v>589</v>
      </c>
      <c r="B595" s="82" t="s">
        <v>444</v>
      </c>
      <c r="C595" s="82" t="s">
        <v>111</v>
      </c>
      <c r="D595" s="66" t="s">
        <v>281</v>
      </c>
      <c r="E595" s="82">
        <v>3</v>
      </c>
      <c r="F595" s="67">
        <v>306483147</v>
      </c>
      <c r="G595" s="66" t="s">
        <v>1299</v>
      </c>
      <c r="H595" s="66" t="s">
        <v>1300</v>
      </c>
      <c r="I595" s="66" t="s">
        <v>10</v>
      </c>
      <c r="J595" s="82" t="s">
        <v>44</v>
      </c>
      <c r="K595" s="67">
        <v>600</v>
      </c>
      <c r="L595" s="82">
        <f t="shared" si="40"/>
        <v>600</v>
      </c>
      <c r="M595" s="67">
        <v>200</v>
      </c>
      <c r="N595" s="82">
        <v>200</v>
      </c>
      <c r="O595" s="82">
        <f t="shared" si="41"/>
        <v>400</v>
      </c>
      <c r="P595" s="82">
        <f t="shared" si="42"/>
        <v>400</v>
      </c>
      <c r="Q595" s="67">
        <v>400</v>
      </c>
      <c r="R595" s="82">
        <v>400</v>
      </c>
      <c r="S595" s="67"/>
      <c r="T595" s="82"/>
      <c r="U595" s="67"/>
      <c r="V595" s="82"/>
      <c r="W595" s="82"/>
      <c r="X595" s="82"/>
      <c r="Y595" s="68">
        <v>5</v>
      </c>
      <c r="Z595" s="82">
        <v>5</v>
      </c>
      <c r="AA595" s="69">
        <v>44196</v>
      </c>
      <c r="AB595" s="74">
        <v>44141</v>
      </c>
      <c r="AC595" s="75" t="s">
        <v>1912</v>
      </c>
      <c r="AD595" s="70" t="s">
        <v>453</v>
      </c>
    </row>
    <row r="596" spans="1:30" s="76" customFormat="1" ht="37.5">
      <c r="A596" s="82">
        <f>+SUBTOTAL(3,$B$7:B596)</f>
        <v>590</v>
      </c>
      <c r="B596" s="82" t="s">
        <v>444</v>
      </c>
      <c r="C596" s="82" t="s">
        <v>111</v>
      </c>
      <c r="D596" s="66" t="s">
        <v>281</v>
      </c>
      <c r="E596" s="82">
        <v>2</v>
      </c>
      <c r="F596" s="67">
        <v>203744277</v>
      </c>
      <c r="G596" s="66" t="s">
        <v>1301</v>
      </c>
      <c r="H596" s="66" t="s">
        <v>1302</v>
      </c>
      <c r="I596" s="66" t="s">
        <v>10</v>
      </c>
      <c r="J596" s="82" t="s">
        <v>44</v>
      </c>
      <c r="K596" s="67">
        <v>500</v>
      </c>
      <c r="L596" s="82">
        <f t="shared" si="40"/>
        <v>500</v>
      </c>
      <c r="M596" s="67">
        <v>100</v>
      </c>
      <c r="N596" s="82">
        <v>100</v>
      </c>
      <c r="O596" s="82">
        <f t="shared" si="41"/>
        <v>400</v>
      </c>
      <c r="P596" s="82">
        <f t="shared" si="42"/>
        <v>400</v>
      </c>
      <c r="Q596" s="67">
        <v>400</v>
      </c>
      <c r="R596" s="82">
        <v>400</v>
      </c>
      <c r="S596" s="67"/>
      <c r="T596" s="82"/>
      <c r="U596" s="67"/>
      <c r="V596" s="82"/>
      <c r="W596" s="82"/>
      <c r="X596" s="82"/>
      <c r="Y596" s="68">
        <v>3</v>
      </c>
      <c r="Z596" s="82">
        <v>3</v>
      </c>
      <c r="AA596" s="18">
        <v>44196</v>
      </c>
      <c r="AB596" s="74">
        <v>44146</v>
      </c>
      <c r="AC596" s="75" t="s">
        <v>1913</v>
      </c>
      <c r="AD596" s="70" t="s">
        <v>453</v>
      </c>
    </row>
    <row r="597" spans="1:30" s="76" customFormat="1" ht="37.5">
      <c r="A597" s="82">
        <f>+SUBTOTAL(3,$B$7:B597)</f>
        <v>591</v>
      </c>
      <c r="B597" s="82" t="s">
        <v>444</v>
      </c>
      <c r="C597" s="82" t="s">
        <v>111</v>
      </c>
      <c r="D597" s="66" t="s">
        <v>281</v>
      </c>
      <c r="E597" s="82">
        <v>1</v>
      </c>
      <c r="F597" s="67">
        <v>304366539</v>
      </c>
      <c r="G597" s="66" t="s">
        <v>1303</v>
      </c>
      <c r="H597" s="66" t="s">
        <v>1304</v>
      </c>
      <c r="I597" s="66" t="s">
        <v>10</v>
      </c>
      <c r="J597" s="82" t="s">
        <v>30</v>
      </c>
      <c r="K597" s="67">
        <v>400</v>
      </c>
      <c r="L597" s="82">
        <f t="shared" si="40"/>
        <v>400</v>
      </c>
      <c r="M597" s="67">
        <v>50</v>
      </c>
      <c r="N597" s="82">
        <v>50</v>
      </c>
      <c r="O597" s="82">
        <f t="shared" si="41"/>
        <v>350</v>
      </c>
      <c r="P597" s="82">
        <f t="shared" si="42"/>
        <v>350</v>
      </c>
      <c r="Q597" s="67">
        <v>350</v>
      </c>
      <c r="R597" s="82">
        <v>350</v>
      </c>
      <c r="S597" s="67"/>
      <c r="T597" s="82"/>
      <c r="U597" s="67"/>
      <c r="V597" s="82"/>
      <c r="W597" s="82"/>
      <c r="X597" s="82"/>
      <c r="Y597" s="68">
        <v>4</v>
      </c>
      <c r="Z597" s="82">
        <v>4</v>
      </c>
      <c r="AA597" s="69">
        <v>44177</v>
      </c>
      <c r="AB597" s="74">
        <v>44152</v>
      </c>
      <c r="AC597" s="75" t="s">
        <v>1914</v>
      </c>
      <c r="AD597" s="70" t="s">
        <v>453</v>
      </c>
    </row>
    <row r="598" spans="1:30" s="76" customFormat="1" ht="37.5">
      <c r="A598" s="82">
        <f>+SUBTOTAL(3,$B$7:B598)</f>
        <v>592</v>
      </c>
      <c r="B598" s="82" t="s">
        <v>444</v>
      </c>
      <c r="C598" s="82" t="s">
        <v>111</v>
      </c>
      <c r="D598" s="66" t="s">
        <v>281</v>
      </c>
      <c r="E598" s="82">
        <v>3</v>
      </c>
      <c r="F598" s="67">
        <v>304571015</v>
      </c>
      <c r="G598" s="66" t="s">
        <v>1305</v>
      </c>
      <c r="H598" s="66" t="s">
        <v>147</v>
      </c>
      <c r="I598" s="66" t="s">
        <v>9</v>
      </c>
      <c r="J598" s="82" t="s">
        <v>36</v>
      </c>
      <c r="K598" s="67">
        <v>500</v>
      </c>
      <c r="L598" s="82">
        <f t="shared" si="40"/>
        <v>500</v>
      </c>
      <c r="M598" s="67">
        <v>100</v>
      </c>
      <c r="N598" s="82">
        <v>100</v>
      </c>
      <c r="O598" s="82">
        <f t="shared" si="41"/>
        <v>400</v>
      </c>
      <c r="P598" s="82">
        <f t="shared" si="42"/>
        <v>400</v>
      </c>
      <c r="Q598" s="67">
        <v>400</v>
      </c>
      <c r="R598" s="82">
        <v>400</v>
      </c>
      <c r="S598" s="67"/>
      <c r="T598" s="82"/>
      <c r="U598" s="67"/>
      <c r="V598" s="82"/>
      <c r="W598" s="82"/>
      <c r="X598" s="82"/>
      <c r="Y598" s="68">
        <v>4</v>
      </c>
      <c r="Z598" s="82">
        <v>4</v>
      </c>
      <c r="AA598" s="18">
        <v>44196</v>
      </c>
      <c r="AB598" s="74">
        <v>44141</v>
      </c>
      <c r="AC598" s="75" t="s">
        <v>1915</v>
      </c>
      <c r="AD598" s="70" t="s">
        <v>453</v>
      </c>
    </row>
    <row r="599" spans="1:30" s="76" customFormat="1" ht="37.5">
      <c r="A599" s="82">
        <f>+SUBTOTAL(3,$B$7:B599)</f>
        <v>593</v>
      </c>
      <c r="B599" s="82" t="s">
        <v>444</v>
      </c>
      <c r="C599" s="82" t="s">
        <v>111</v>
      </c>
      <c r="D599" s="66" t="s">
        <v>281</v>
      </c>
      <c r="E599" s="82">
        <v>2</v>
      </c>
      <c r="F599" s="67">
        <v>307443424</v>
      </c>
      <c r="G599" s="66" t="s">
        <v>1306</v>
      </c>
      <c r="H599" s="66" t="s">
        <v>147</v>
      </c>
      <c r="I599" s="66" t="s">
        <v>9</v>
      </c>
      <c r="J599" s="82" t="s">
        <v>36</v>
      </c>
      <c r="K599" s="67">
        <v>200</v>
      </c>
      <c r="L599" s="82">
        <f t="shared" si="40"/>
        <v>200</v>
      </c>
      <c r="M599" s="67">
        <v>50</v>
      </c>
      <c r="N599" s="82">
        <v>50</v>
      </c>
      <c r="O599" s="82">
        <f t="shared" si="41"/>
        <v>150</v>
      </c>
      <c r="P599" s="82">
        <f t="shared" si="42"/>
        <v>150</v>
      </c>
      <c r="Q599" s="67">
        <v>150</v>
      </c>
      <c r="R599" s="82">
        <v>150</v>
      </c>
      <c r="S599" s="67"/>
      <c r="T599" s="82"/>
      <c r="U599" s="67"/>
      <c r="V599" s="82"/>
      <c r="W599" s="82"/>
      <c r="X599" s="82"/>
      <c r="Y599" s="68">
        <v>3</v>
      </c>
      <c r="Z599" s="82">
        <v>3</v>
      </c>
      <c r="AA599" s="18">
        <v>44196</v>
      </c>
      <c r="AB599" s="74">
        <v>44141</v>
      </c>
      <c r="AC599" s="75" t="s">
        <v>1916</v>
      </c>
      <c r="AD599" s="70" t="s">
        <v>453</v>
      </c>
    </row>
    <row r="600" spans="1:30" s="76" customFormat="1" ht="37.5">
      <c r="A600" s="82">
        <f>+SUBTOTAL(3,$B$7:B600)</f>
        <v>594</v>
      </c>
      <c r="B600" s="82" t="s">
        <v>444</v>
      </c>
      <c r="C600" s="82" t="s">
        <v>111</v>
      </c>
      <c r="D600" s="66" t="s">
        <v>281</v>
      </c>
      <c r="E600" s="82">
        <v>2</v>
      </c>
      <c r="F600" s="67">
        <v>306691893</v>
      </c>
      <c r="G600" s="66" t="s">
        <v>1307</v>
      </c>
      <c r="H600" s="66" t="s">
        <v>1308</v>
      </c>
      <c r="I600" s="66" t="s">
        <v>6</v>
      </c>
      <c r="J600" s="82" t="s">
        <v>12</v>
      </c>
      <c r="K600" s="67">
        <v>350</v>
      </c>
      <c r="L600" s="82">
        <f t="shared" si="40"/>
        <v>250</v>
      </c>
      <c r="M600" s="67">
        <v>100</v>
      </c>
      <c r="N600" s="82">
        <v>100</v>
      </c>
      <c r="O600" s="82">
        <f t="shared" si="41"/>
        <v>250</v>
      </c>
      <c r="P600" s="82">
        <f t="shared" si="42"/>
        <v>150</v>
      </c>
      <c r="Q600" s="67">
        <v>250</v>
      </c>
      <c r="R600" s="82">
        <v>150</v>
      </c>
      <c r="S600" s="67"/>
      <c r="T600" s="82"/>
      <c r="U600" s="67"/>
      <c r="V600" s="82"/>
      <c r="W600" s="82"/>
      <c r="X600" s="82"/>
      <c r="Y600" s="68">
        <v>6</v>
      </c>
      <c r="Z600" s="82">
        <v>6</v>
      </c>
      <c r="AA600" s="18">
        <v>44196</v>
      </c>
      <c r="AB600" s="74">
        <v>44141</v>
      </c>
      <c r="AC600" s="75" t="s">
        <v>1917</v>
      </c>
      <c r="AD600" s="70" t="s">
        <v>453</v>
      </c>
    </row>
    <row r="601" spans="1:30" s="76" customFormat="1" ht="37.5">
      <c r="A601" s="82">
        <f>+SUBTOTAL(3,$B$7:B601)</f>
        <v>595</v>
      </c>
      <c r="B601" s="82" t="s">
        <v>444</v>
      </c>
      <c r="C601" s="82" t="s">
        <v>111</v>
      </c>
      <c r="D601" s="66" t="s">
        <v>281</v>
      </c>
      <c r="E601" s="82">
        <v>3</v>
      </c>
      <c r="F601" s="67">
        <v>307391625</v>
      </c>
      <c r="G601" s="66" t="s">
        <v>1309</v>
      </c>
      <c r="H601" s="66" t="s">
        <v>159</v>
      </c>
      <c r="I601" s="66" t="s">
        <v>9</v>
      </c>
      <c r="J601" s="82" t="s">
        <v>40</v>
      </c>
      <c r="K601" s="67">
        <v>200</v>
      </c>
      <c r="L601" s="82">
        <f t="shared" si="40"/>
        <v>200</v>
      </c>
      <c r="M601" s="67">
        <v>50</v>
      </c>
      <c r="N601" s="82">
        <v>50</v>
      </c>
      <c r="O601" s="82">
        <f t="shared" si="41"/>
        <v>150</v>
      </c>
      <c r="P601" s="82">
        <f t="shared" si="42"/>
        <v>150</v>
      </c>
      <c r="Q601" s="67">
        <v>150</v>
      </c>
      <c r="R601" s="82">
        <v>150</v>
      </c>
      <c r="S601" s="67"/>
      <c r="T601" s="82"/>
      <c r="U601" s="67"/>
      <c r="V601" s="82"/>
      <c r="W601" s="82"/>
      <c r="X601" s="82"/>
      <c r="Y601" s="68">
        <v>2</v>
      </c>
      <c r="Z601" s="82">
        <v>2</v>
      </c>
      <c r="AA601" s="18">
        <v>44196</v>
      </c>
      <c r="AB601" s="74">
        <v>44141</v>
      </c>
      <c r="AC601" s="75" t="s">
        <v>1918</v>
      </c>
      <c r="AD601" s="70" t="s">
        <v>453</v>
      </c>
    </row>
    <row r="602" spans="1:30" s="76" customFormat="1" ht="56.25">
      <c r="A602" s="82">
        <f>+SUBTOTAL(3,$B$7:B602)</f>
        <v>596</v>
      </c>
      <c r="B602" s="82" t="s">
        <v>444</v>
      </c>
      <c r="C602" s="82" t="s">
        <v>111</v>
      </c>
      <c r="D602" s="66" t="s">
        <v>281</v>
      </c>
      <c r="E602" s="82">
        <v>2</v>
      </c>
      <c r="F602" s="67">
        <v>305290887</v>
      </c>
      <c r="G602" s="66" t="s">
        <v>1310</v>
      </c>
      <c r="H602" s="66" t="s">
        <v>1311</v>
      </c>
      <c r="I602" s="66" t="s">
        <v>6</v>
      </c>
      <c r="J602" s="82" t="s">
        <v>54</v>
      </c>
      <c r="K602" s="67">
        <v>4090</v>
      </c>
      <c r="L602" s="82">
        <f t="shared" si="40"/>
        <v>1600</v>
      </c>
      <c r="M602" s="67">
        <v>1600</v>
      </c>
      <c r="N602" s="82">
        <v>1600</v>
      </c>
      <c r="O602" s="82">
        <f t="shared" si="41"/>
        <v>2490</v>
      </c>
      <c r="P602" s="82">
        <f t="shared" si="42"/>
        <v>0</v>
      </c>
      <c r="Q602" s="67">
        <v>2490</v>
      </c>
      <c r="R602" s="82"/>
      <c r="S602" s="67"/>
      <c r="T602" s="82"/>
      <c r="U602" s="67"/>
      <c r="V602" s="82"/>
      <c r="W602" s="82"/>
      <c r="X602" s="82"/>
      <c r="Y602" s="68">
        <v>5</v>
      </c>
      <c r="Z602" s="82">
        <v>5</v>
      </c>
      <c r="AA602" s="69">
        <v>44531</v>
      </c>
      <c r="AB602" s="74">
        <v>44194</v>
      </c>
      <c r="AC602" s="75" t="s">
        <v>1904</v>
      </c>
      <c r="AD602" s="70" t="s">
        <v>3</v>
      </c>
    </row>
    <row r="603" spans="1:30" s="76" customFormat="1" ht="37.5">
      <c r="A603" s="82">
        <f>+SUBTOTAL(3,$B$7:B603)</f>
        <v>597</v>
      </c>
      <c r="B603" s="82" t="s">
        <v>444</v>
      </c>
      <c r="C603" s="82" t="s">
        <v>111</v>
      </c>
      <c r="D603" s="66" t="s">
        <v>281</v>
      </c>
      <c r="E603" s="82">
        <v>3</v>
      </c>
      <c r="F603" s="67">
        <v>202981768</v>
      </c>
      <c r="G603" s="66" t="s">
        <v>1312</v>
      </c>
      <c r="H603" s="66" t="s">
        <v>139</v>
      </c>
      <c r="I603" s="66" t="s">
        <v>9</v>
      </c>
      <c r="J603" s="82" t="s">
        <v>40</v>
      </c>
      <c r="K603" s="67">
        <v>3000</v>
      </c>
      <c r="L603" s="82">
        <f t="shared" si="40"/>
        <v>0</v>
      </c>
      <c r="M603" s="67">
        <v>1000</v>
      </c>
      <c r="N603" s="82"/>
      <c r="O603" s="82">
        <f t="shared" si="41"/>
        <v>2000</v>
      </c>
      <c r="P603" s="82">
        <f t="shared" si="42"/>
        <v>0</v>
      </c>
      <c r="Q603" s="67">
        <v>2000</v>
      </c>
      <c r="R603" s="82"/>
      <c r="S603" s="67"/>
      <c r="T603" s="82"/>
      <c r="U603" s="67"/>
      <c r="V603" s="82"/>
      <c r="W603" s="82"/>
      <c r="X603" s="82"/>
      <c r="Y603" s="68">
        <v>5</v>
      </c>
      <c r="Z603" s="82"/>
      <c r="AA603" s="18">
        <v>44409</v>
      </c>
      <c r="AB603" s="74"/>
      <c r="AC603" s="75"/>
      <c r="AD603" s="70" t="s">
        <v>3</v>
      </c>
    </row>
    <row r="604" spans="1:30" s="76" customFormat="1" ht="37.5">
      <c r="A604" s="82">
        <f>+SUBTOTAL(3,$B$7:B604)</f>
        <v>598</v>
      </c>
      <c r="B604" s="82" t="s">
        <v>444</v>
      </c>
      <c r="C604" s="82" t="s">
        <v>111</v>
      </c>
      <c r="D604" s="66" t="s">
        <v>281</v>
      </c>
      <c r="E604" s="82">
        <v>2</v>
      </c>
      <c r="F604" s="67">
        <v>305049069</v>
      </c>
      <c r="G604" s="66" t="s">
        <v>1313</v>
      </c>
      <c r="H604" s="66" t="s">
        <v>123</v>
      </c>
      <c r="I604" s="66" t="s">
        <v>10</v>
      </c>
      <c r="J604" s="82" t="s">
        <v>30</v>
      </c>
      <c r="K604" s="67">
        <v>500</v>
      </c>
      <c r="L604" s="82">
        <f t="shared" ref="L604:L635" si="43">+N604+R604+T604*10.2+V604*10.2</f>
        <v>500</v>
      </c>
      <c r="M604" s="67">
        <v>100</v>
      </c>
      <c r="N604" s="82">
        <v>100</v>
      </c>
      <c r="O604" s="82">
        <f t="shared" si="41"/>
        <v>400</v>
      </c>
      <c r="P604" s="82">
        <f t="shared" si="42"/>
        <v>400</v>
      </c>
      <c r="Q604" s="67">
        <v>400</v>
      </c>
      <c r="R604" s="82">
        <v>400</v>
      </c>
      <c r="S604" s="67"/>
      <c r="T604" s="82"/>
      <c r="U604" s="67"/>
      <c r="V604" s="82"/>
      <c r="W604" s="82"/>
      <c r="X604" s="82"/>
      <c r="Y604" s="68">
        <v>3</v>
      </c>
      <c r="Z604" s="82">
        <v>3</v>
      </c>
      <c r="AA604" s="18">
        <v>44166</v>
      </c>
      <c r="AB604" s="74">
        <v>44165</v>
      </c>
      <c r="AC604" s="75" t="s">
        <v>2000</v>
      </c>
      <c r="AD604" s="70" t="s">
        <v>3</v>
      </c>
    </row>
    <row r="605" spans="1:30" s="76" customFormat="1" ht="37.5">
      <c r="A605" s="82">
        <f>+SUBTOTAL(3,$B$7:B605)</f>
        <v>599</v>
      </c>
      <c r="B605" s="82" t="s">
        <v>444</v>
      </c>
      <c r="C605" s="82" t="s">
        <v>111</v>
      </c>
      <c r="D605" s="66" t="s">
        <v>281</v>
      </c>
      <c r="E605" s="82">
        <v>3</v>
      </c>
      <c r="F605" s="67">
        <v>305296830</v>
      </c>
      <c r="G605" s="66" t="s">
        <v>1314</v>
      </c>
      <c r="H605" s="66" t="s">
        <v>1315</v>
      </c>
      <c r="I605" s="66" t="s">
        <v>6</v>
      </c>
      <c r="J605" s="82" t="s">
        <v>13</v>
      </c>
      <c r="K605" s="67">
        <v>30900.000000000004</v>
      </c>
      <c r="L605" s="82">
        <f t="shared" si="43"/>
        <v>0</v>
      </c>
      <c r="M605" s="67">
        <v>0</v>
      </c>
      <c r="N605" s="82"/>
      <c r="O605" s="82">
        <f t="shared" si="41"/>
        <v>0</v>
      </c>
      <c r="P605" s="82">
        <f t="shared" si="42"/>
        <v>0</v>
      </c>
      <c r="Q605" s="67">
        <v>0</v>
      </c>
      <c r="R605" s="82"/>
      <c r="S605" s="67"/>
      <c r="T605" s="82"/>
      <c r="U605" s="67">
        <v>3000</v>
      </c>
      <c r="V605" s="82"/>
      <c r="W605" s="82"/>
      <c r="X605" s="82"/>
      <c r="Y605" s="68">
        <v>10</v>
      </c>
      <c r="Z605" s="82"/>
      <c r="AA605" s="18">
        <v>44531</v>
      </c>
      <c r="AB605" s="74"/>
      <c r="AC605" s="75"/>
      <c r="AD605" s="70" t="s">
        <v>477</v>
      </c>
    </row>
    <row r="606" spans="1:30" s="76" customFormat="1" ht="56.25">
      <c r="A606" s="82">
        <f>+SUBTOTAL(3,$B$7:B606)</f>
        <v>600</v>
      </c>
      <c r="B606" s="95" t="s">
        <v>2100</v>
      </c>
      <c r="C606" s="82" t="s">
        <v>111</v>
      </c>
      <c r="D606" s="66" t="s">
        <v>281</v>
      </c>
      <c r="E606" s="82">
        <v>3</v>
      </c>
      <c r="F606" s="67">
        <v>306946993</v>
      </c>
      <c r="G606" s="66" t="s">
        <v>1316</v>
      </c>
      <c r="H606" s="66" t="s">
        <v>1317</v>
      </c>
      <c r="I606" s="66" t="s">
        <v>6</v>
      </c>
      <c r="J606" s="82" t="s">
        <v>12</v>
      </c>
      <c r="K606" s="67">
        <v>20600</v>
      </c>
      <c r="L606" s="82">
        <f t="shared" si="43"/>
        <v>0</v>
      </c>
      <c r="M606" s="67"/>
      <c r="N606" s="82"/>
      <c r="O606" s="82">
        <f t="shared" si="41"/>
        <v>0</v>
      </c>
      <c r="P606" s="82">
        <f t="shared" si="42"/>
        <v>0</v>
      </c>
      <c r="Q606" s="67"/>
      <c r="R606" s="82"/>
      <c r="S606" s="67"/>
      <c r="T606" s="82"/>
      <c r="U606" s="67">
        <v>2000</v>
      </c>
      <c r="V606" s="82"/>
      <c r="W606" s="82"/>
      <c r="X606" s="82"/>
      <c r="Y606" s="68">
        <v>50</v>
      </c>
      <c r="Z606" s="82"/>
      <c r="AA606" s="69">
        <v>44470</v>
      </c>
      <c r="AB606" s="74"/>
      <c r="AC606" s="75"/>
      <c r="AD606" s="70" t="s">
        <v>3</v>
      </c>
    </row>
    <row r="607" spans="1:30" s="76" customFormat="1" ht="37.5">
      <c r="A607" s="82">
        <f>+SUBTOTAL(3,$B$7:B607)</f>
        <v>601</v>
      </c>
      <c r="B607" s="82" t="s">
        <v>444</v>
      </c>
      <c r="C607" s="82" t="s">
        <v>111</v>
      </c>
      <c r="D607" s="66" t="s">
        <v>281</v>
      </c>
      <c r="E607" s="82">
        <v>3</v>
      </c>
      <c r="F607" s="67">
        <v>305498714</v>
      </c>
      <c r="G607" s="66" t="s">
        <v>1318</v>
      </c>
      <c r="H607" s="66" t="s">
        <v>1319</v>
      </c>
      <c r="I607" s="66" t="s">
        <v>10</v>
      </c>
      <c r="J607" s="82" t="s">
        <v>30</v>
      </c>
      <c r="K607" s="67">
        <v>300</v>
      </c>
      <c r="L607" s="82">
        <f t="shared" si="43"/>
        <v>300</v>
      </c>
      <c r="M607" s="67">
        <v>100</v>
      </c>
      <c r="N607" s="82">
        <v>300</v>
      </c>
      <c r="O607" s="82">
        <f t="shared" si="41"/>
        <v>200</v>
      </c>
      <c r="P607" s="82">
        <f t="shared" si="42"/>
        <v>0</v>
      </c>
      <c r="Q607" s="67">
        <v>200</v>
      </c>
      <c r="R607" s="82"/>
      <c r="S607" s="67"/>
      <c r="T607" s="82"/>
      <c r="U607" s="67"/>
      <c r="V607" s="82"/>
      <c r="W607" s="82"/>
      <c r="X607" s="82"/>
      <c r="Y607" s="68">
        <v>4</v>
      </c>
      <c r="Z607" s="82">
        <v>4</v>
      </c>
      <c r="AA607" s="18">
        <v>44196</v>
      </c>
      <c r="AB607" s="74">
        <v>44057</v>
      </c>
      <c r="AC607" s="75" t="s">
        <v>1901</v>
      </c>
      <c r="AD607" s="70" t="s">
        <v>7</v>
      </c>
    </row>
    <row r="608" spans="1:30" s="76" customFormat="1" ht="37.5">
      <c r="A608" s="82">
        <f>+SUBTOTAL(3,$B$7:B608)</f>
        <v>602</v>
      </c>
      <c r="B608" s="82" t="s">
        <v>444</v>
      </c>
      <c r="C608" s="82" t="s">
        <v>111</v>
      </c>
      <c r="D608" s="66" t="s">
        <v>281</v>
      </c>
      <c r="E608" s="82">
        <v>3</v>
      </c>
      <c r="F608" s="67">
        <v>205325478</v>
      </c>
      <c r="G608" s="66" t="s">
        <v>1320</v>
      </c>
      <c r="H608" s="66" t="s">
        <v>1321</v>
      </c>
      <c r="I608" s="66" t="s">
        <v>10</v>
      </c>
      <c r="J608" s="82" t="s">
        <v>59</v>
      </c>
      <c r="K608" s="67">
        <v>420</v>
      </c>
      <c r="L608" s="82">
        <f t="shared" si="43"/>
        <v>420</v>
      </c>
      <c r="M608" s="67">
        <v>200</v>
      </c>
      <c r="N608" s="82">
        <v>200</v>
      </c>
      <c r="O608" s="82">
        <f t="shared" si="41"/>
        <v>220</v>
      </c>
      <c r="P608" s="82">
        <f t="shared" si="42"/>
        <v>220</v>
      </c>
      <c r="Q608" s="67">
        <v>220</v>
      </c>
      <c r="R608" s="82">
        <v>220</v>
      </c>
      <c r="S608" s="67"/>
      <c r="T608" s="82"/>
      <c r="U608" s="67"/>
      <c r="V608" s="82"/>
      <c r="W608" s="82"/>
      <c r="X608" s="82"/>
      <c r="Y608" s="68">
        <v>3</v>
      </c>
      <c r="Z608" s="82">
        <v>3</v>
      </c>
      <c r="AA608" s="69">
        <v>44166</v>
      </c>
      <c r="AB608" s="74">
        <v>44158</v>
      </c>
      <c r="AC608" s="75" t="s">
        <v>2017</v>
      </c>
      <c r="AD608" s="70" t="s">
        <v>7</v>
      </c>
    </row>
    <row r="609" spans="1:30" s="76" customFormat="1" ht="75">
      <c r="A609" s="82">
        <f>+SUBTOTAL(3,$B$7:B609)</f>
        <v>603</v>
      </c>
      <c r="B609" s="82" t="s">
        <v>444</v>
      </c>
      <c r="C609" s="82" t="s">
        <v>111</v>
      </c>
      <c r="D609" s="66" t="s">
        <v>281</v>
      </c>
      <c r="E609" s="82">
        <v>3</v>
      </c>
      <c r="F609" s="67">
        <v>302555798</v>
      </c>
      <c r="G609" s="66" t="s">
        <v>1322</v>
      </c>
      <c r="H609" s="66" t="s">
        <v>1286</v>
      </c>
      <c r="I609" s="66" t="s">
        <v>10</v>
      </c>
      <c r="J609" s="82" t="s">
        <v>56</v>
      </c>
      <c r="K609" s="67">
        <v>450</v>
      </c>
      <c r="L609" s="82">
        <f t="shared" si="43"/>
        <v>280</v>
      </c>
      <c r="M609" s="67">
        <v>100</v>
      </c>
      <c r="N609" s="82">
        <v>100</v>
      </c>
      <c r="O609" s="82">
        <f t="shared" si="41"/>
        <v>350</v>
      </c>
      <c r="P609" s="82">
        <f t="shared" si="42"/>
        <v>180</v>
      </c>
      <c r="Q609" s="67">
        <v>350</v>
      </c>
      <c r="R609" s="82">
        <v>180</v>
      </c>
      <c r="S609" s="67"/>
      <c r="T609" s="82"/>
      <c r="U609" s="67"/>
      <c r="V609" s="82"/>
      <c r="W609" s="82"/>
      <c r="X609" s="82"/>
      <c r="Y609" s="68">
        <v>15</v>
      </c>
      <c r="Z609" s="82">
        <v>3</v>
      </c>
      <c r="AA609" s="69">
        <v>44166</v>
      </c>
      <c r="AB609" s="74">
        <v>44158</v>
      </c>
      <c r="AC609" s="75" t="s">
        <v>2038</v>
      </c>
      <c r="AD609" s="70" t="s">
        <v>7</v>
      </c>
    </row>
    <row r="610" spans="1:30" s="76" customFormat="1" ht="37.5">
      <c r="A610" s="82">
        <f>+SUBTOTAL(3,$B$7:B610)</f>
        <v>604</v>
      </c>
      <c r="B610" s="82" t="s">
        <v>444</v>
      </c>
      <c r="C610" s="82" t="s">
        <v>111</v>
      </c>
      <c r="D610" s="66" t="s">
        <v>281</v>
      </c>
      <c r="E610" s="82">
        <v>1</v>
      </c>
      <c r="F610" s="67">
        <v>305804213</v>
      </c>
      <c r="G610" s="66" t="s">
        <v>1323</v>
      </c>
      <c r="H610" s="66" t="s">
        <v>1324</v>
      </c>
      <c r="I610" s="66" t="s">
        <v>6</v>
      </c>
      <c r="J610" s="82" t="s">
        <v>12</v>
      </c>
      <c r="K610" s="67">
        <v>348800</v>
      </c>
      <c r="L610" s="82">
        <f t="shared" si="43"/>
        <v>0</v>
      </c>
      <c r="M610" s="67">
        <v>142800</v>
      </c>
      <c r="N610" s="82"/>
      <c r="O610" s="82">
        <f t="shared" si="41"/>
        <v>0</v>
      </c>
      <c r="P610" s="82">
        <f t="shared" si="42"/>
        <v>0</v>
      </c>
      <c r="Q610" s="67"/>
      <c r="R610" s="82"/>
      <c r="S610" s="67">
        <v>0</v>
      </c>
      <c r="T610" s="82"/>
      <c r="U610" s="67">
        <v>20000</v>
      </c>
      <c r="V610" s="82"/>
      <c r="W610" s="82"/>
      <c r="X610" s="82"/>
      <c r="Y610" s="68">
        <v>500</v>
      </c>
      <c r="Z610" s="82"/>
      <c r="AA610" s="69">
        <v>44531</v>
      </c>
      <c r="AB610" s="74"/>
      <c r="AC610" s="75"/>
      <c r="AD610" s="70" t="s">
        <v>477</v>
      </c>
    </row>
    <row r="611" spans="1:30" s="76" customFormat="1" ht="37.5">
      <c r="A611" s="82">
        <f>+SUBTOTAL(3,$B$7:B611)</f>
        <v>605</v>
      </c>
      <c r="B611" s="82" t="s">
        <v>444</v>
      </c>
      <c r="C611" s="82" t="s">
        <v>111</v>
      </c>
      <c r="D611" s="66" t="s">
        <v>281</v>
      </c>
      <c r="E611" s="82">
        <v>1</v>
      </c>
      <c r="F611" s="67">
        <v>305468901</v>
      </c>
      <c r="G611" s="66" t="s">
        <v>1325</v>
      </c>
      <c r="H611" s="66" t="s">
        <v>1326</v>
      </c>
      <c r="I611" s="66" t="s">
        <v>6</v>
      </c>
      <c r="J611" s="82" t="s">
        <v>13</v>
      </c>
      <c r="K611" s="67">
        <v>13000</v>
      </c>
      <c r="L611" s="82">
        <f t="shared" si="43"/>
        <v>0</v>
      </c>
      <c r="M611" s="67">
        <v>5000</v>
      </c>
      <c r="N611" s="82"/>
      <c r="O611" s="82">
        <f t="shared" si="41"/>
        <v>8000</v>
      </c>
      <c r="P611" s="82">
        <f t="shared" si="42"/>
        <v>0</v>
      </c>
      <c r="Q611" s="67">
        <v>8000</v>
      </c>
      <c r="R611" s="82"/>
      <c r="S611" s="67"/>
      <c r="T611" s="82"/>
      <c r="U611" s="67"/>
      <c r="V611" s="82"/>
      <c r="W611" s="82"/>
      <c r="X611" s="82"/>
      <c r="Y611" s="68">
        <v>300</v>
      </c>
      <c r="Z611" s="82"/>
      <c r="AA611" s="69">
        <v>44378</v>
      </c>
      <c r="AB611" s="74"/>
      <c r="AC611" s="75"/>
      <c r="AD611" s="70" t="s">
        <v>453</v>
      </c>
    </row>
    <row r="612" spans="1:30" s="76" customFormat="1" ht="37.5">
      <c r="A612" s="82">
        <f>+SUBTOTAL(3,$B$7:B612)</f>
        <v>606</v>
      </c>
      <c r="B612" s="82" t="s">
        <v>444</v>
      </c>
      <c r="C612" s="82" t="s">
        <v>111</v>
      </c>
      <c r="D612" s="66" t="s">
        <v>286</v>
      </c>
      <c r="E612" s="82">
        <v>4</v>
      </c>
      <c r="F612" s="67">
        <v>307837029</v>
      </c>
      <c r="G612" s="66" t="s">
        <v>1327</v>
      </c>
      <c r="H612" s="66" t="s">
        <v>1048</v>
      </c>
      <c r="I612" s="66" t="s">
        <v>10</v>
      </c>
      <c r="J612" s="82" t="s">
        <v>30</v>
      </c>
      <c r="K612" s="67">
        <v>5090</v>
      </c>
      <c r="L612" s="82">
        <f t="shared" si="43"/>
        <v>0</v>
      </c>
      <c r="M612" s="67">
        <v>2000</v>
      </c>
      <c r="N612" s="82"/>
      <c r="O612" s="82">
        <f t="shared" si="41"/>
        <v>3060</v>
      </c>
      <c r="P612" s="82">
        <f t="shared" si="42"/>
        <v>0</v>
      </c>
      <c r="Q612" s="67"/>
      <c r="R612" s="82"/>
      <c r="S612" s="67">
        <v>300</v>
      </c>
      <c r="T612" s="82"/>
      <c r="U612" s="67"/>
      <c r="V612" s="82"/>
      <c r="W612" s="82"/>
      <c r="X612" s="82"/>
      <c r="Y612" s="68">
        <v>12</v>
      </c>
      <c r="Z612" s="82"/>
      <c r="AA612" s="18">
        <v>44531</v>
      </c>
      <c r="AB612" s="74"/>
      <c r="AC612" s="75"/>
      <c r="AD612" s="70" t="s">
        <v>543</v>
      </c>
    </row>
    <row r="613" spans="1:30" s="76" customFormat="1" ht="37.5">
      <c r="A613" s="82">
        <f>+SUBTOTAL(3,$B$7:B613)</f>
        <v>607</v>
      </c>
      <c r="B613" s="82" t="s">
        <v>444</v>
      </c>
      <c r="C613" s="82" t="s">
        <v>111</v>
      </c>
      <c r="D613" s="66" t="s">
        <v>286</v>
      </c>
      <c r="E613" s="82">
        <v>1</v>
      </c>
      <c r="F613" s="67">
        <v>305260472</v>
      </c>
      <c r="G613" s="66" t="s">
        <v>1328</v>
      </c>
      <c r="H613" s="66" t="s">
        <v>1329</v>
      </c>
      <c r="I613" s="66" t="s">
        <v>10</v>
      </c>
      <c r="J613" s="82" t="s">
        <v>56</v>
      </c>
      <c r="K613" s="67">
        <v>1650</v>
      </c>
      <c r="L613" s="82">
        <f t="shared" si="43"/>
        <v>1100</v>
      </c>
      <c r="M613" s="67">
        <v>400</v>
      </c>
      <c r="N613" s="82"/>
      <c r="O613" s="82">
        <f t="shared" si="41"/>
        <v>1250</v>
      </c>
      <c r="P613" s="82">
        <f t="shared" si="42"/>
        <v>1100</v>
      </c>
      <c r="Q613" s="67">
        <v>1250</v>
      </c>
      <c r="R613" s="82">
        <v>1100</v>
      </c>
      <c r="S613" s="67">
        <v>0</v>
      </c>
      <c r="T613" s="82"/>
      <c r="U613" s="67">
        <v>0</v>
      </c>
      <c r="V613" s="82"/>
      <c r="W613" s="82"/>
      <c r="X613" s="82"/>
      <c r="Y613" s="68">
        <v>11</v>
      </c>
      <c r="Z613" s="82"/>
      <c r="AA613" s="18">
        <v>44440</v>
      </c>
      <c r="AB613" s="74"/>
      <c r="AC613" s="75"/>
      <c r="AD613" s="70" t="s">
        <v>4</v>
      </c>
    </row>
    <row r="614" spans="1:30" s="76" customFormat="1" ht="37.5">
      <c r="A614" s="82">
        <f>+SUBTOTAL(3,$B$7:B614)</f>
        <v>608</v>
      </c>
      <c r="B614" s="82" t="s">
        <v>444</v>
      </c>
      <c r="C614" s="82" t="s">
        <v>111</v>
      </c>
      <c r="D614" s="66" t="s">
        <v>286</v>
      </c>
      <c r="E614" s="82">
        <v>1</v>
      </c>
      <c r="F614" s="67">
        <v>306038414</v>
      </c>
      <c r="G614" s="66" t="s">
        <v>1330</v>
      </c>
      <c r="H614" s="66" t="s">
        <v>290</v>
      </c>
      <c r="I614" s="66" t="s">
        <v>10</v>
      </c>
      <c r="J614" s="82" t="s">
        <v>30</v>
      </c>
      <c r="K614" s="67">
        <v>10000</v>
      </c>
      <c r="L614" s="82">
        <f t="shared" si="43"/>
        <v>6661.7999999999993</v>
      </c>
      <c r="M614" s="67">
        <v>2000</v>
      </c>
      <c r="N614" s="82"/>
      <c r="O614" s="82">
        <f t="shared" si="41"/>
        <v>8000</v>
      </c>
      <c r="P614" s="82">
        <f t="shared" si="42"/>
        <v>6661.7999999999993</v>
      </c>
      <c r="Q614" s="67">
        <v>8000</v>
      </c>
      <c r="R614" s="82">
        <v>3000</v>
      </c>
      <c r="S614" s="67"/>
      <c r="T614" s="82">
        <v>359</v>
      </c>
      <c r="U614" s="67"/>
      <c r="V614" s="82"/>
      <c r="W614" s="82"/>
      <c r="X614" s="82"/>
      <c r="Y614" s="68">
        <v>15</v>
      </c>
      <c r="Z614" s="82"/>
      <c r="AA614" s="18">
        <v>44440</v>
      </c>
      <c r="AB614" s="74"/>
      <c r="AC614" s="75"/>
      <c r="AD614" s="70" t="s">
        <v>4</v>
      </c>
    </row>
    <row r="615" spans="1:30" s="76" customFormat="1" ht="37.5">
      <c r="A615" s="82">
        <f>+SUBTOTAL(3,$B$7:B615)</f>
        <v>609</v>
      </c>
      <c r="B615" s="82" t="s">
        <v>444</v>
      </c>
      <c r="C615" s="82" t="s">
        <v>111</v>
      </c>
      <c r="D615" s="66" t="s">
        <v>286</v>
      </c>
      <c r="E615" s="82">
        <v>4</v>
      </c>
      <c r="F615" s="67">
        <v>305254828</v>
      </c>
      <c r="G615" s="66" t="s">
        <v>1331</v>
      </c>
      <c r="H615" s="66" t="s">
        <v>1329</v>
      </c>
      <c r="I615" s="66" t="s">
        <v>10</v>
      </c>
      <c r="J615" s="82" t="s">
        <v>56</v>
      </c>
      <c r="K615" s="67">
        <v>2200</v>
      </c>
      <c r="L615" s="82">
        <f t="shared" si="43"/>
        <v>1250</v>
      </c>
      <c r="M615" s="67">
        <v>1100</v>
      </c>
      <c r="N615" s="82"/>
      <c r="O615" s="82">
        <f t="shared" si="41"/>
        <v>1100</v>
      </c>
      <c r="P615" s="82">
        <f t="shared" si="42"/>
        <v>1250</v>
      </c>
      <c r="Q615" s="67">
        <v>1100</v>
      </c>
      <c r="R615" s="82">
        <v>1250</v>
      </c>
      <c r="S615" s="67">
        <v>0</v>
      </c>
      <c r="T615" s="82"/>
      <c r="U615" s="67">
        <v>0</v>
      </c>
      <c r="V615" s="82"/>
      <c r="W615" s="82"/>
      <c r="X615" s="82"/>
      <c r="Y615" s="82">
        <v>10</v>
      </c>
      <c r="Z615" s="82"/>
      <c r="AA615" s="18">
        <v>44440</v>
      </c>
      <c r="AB615" s="74"/>
      <c r="AC615" s="75"/>
      <c r="AD615" s="70" t="s">
        <v>4</v>
      </c>
    </row>
    <row r="616" spans="1:30" s="76" customFormat="1" ht="37.5">
      <c r="A616" s="82">
        <f>+SUBTOTAL(3,$B$7:B616)</f>
        <v>610</v>
      </c>
      <c r="B616" s="82" t="s">
        <v>444</v>
      </c>
      <c r="C616" s="82" t="s">
        <v>111</v>
      </c>
      <c r="D616" s="66" t="s">
        <v>286</v>
      </c>
      <c r="E616" s="82">
        <v>4</v>
      </c>
      <c r="F616" s="67">
        <v>305162737</v>
      </c>
      <c r="G616" s="66" t="s">
        <v>1332</v>
      </c>
      <c r="H616" s="66" t="s">
        <v>136</v>
      </c>
      <c r="I616" s="66" t="s">
        <v>9</v>
      </c>
      <c r="J616" s="82" t="s">
        <v>36</v>
      </c>
      <c r="K616" s="67">
        <v>1015</v>
      </c>
      <c r="L616" s="82">
        <f t="shared" si="43"/>
        <v>0</v>
      </c>
      <c r="M616" s="67">
        <v>500</v>
      </c>
      <c r="N616" s="82"/>
      <c r="O616" s="82">
        <f t="shared" si="41"/>
        <v>509.99999999999994</v>
      </c>
      <c r="P616" s="82">
        <f t="shared" si="42"/>
        <v>0</v>
      </c>
      <c r="Q616" s="67"/>
      <c r="R616" s="82"/>
      <c r="S616" s="67">
        <v>50</v>
      </c>
      <c r="T616" s="82"/>
      <c r="U616" s="67"/>
      <c r="V616" s="82"/>
      <c r="W616" s="82"/>
      <c r="X616" s="82"/>
      <c r="Y616" s="82">
        <v>2</v>
      </c>
      <c r="Z616" s="82"/>
      <c r="AA616" s="18">
        <v>44501</v>
      </c>
      <c r="AB616" s="74"/>
      <c r="AC616" s="75"/>
      <c r="AD616" s="70" t="s">
        <v>445</v>
      </c>
    </row>
    <row r="617" spans="1:30" s="76" customFormat="1" ht="37.5">
      <c r="A617" s="82">
        <f>+SUBTOTAL(3,$B$7:B617)</f>
        <v>611</v>
      </c>
      <c r="B617" s="82" t="s">
        <v>444</v>
      </c>
      <c r="C617" s="82" t="s">
        <v>111</v>
      </c>
      <c r="D617" s="66" t="s">
        <v>286</v>
      </c>
      <c r="E617" s="82">
        <v>4</v>
      </c>
      <c r="F617" s="67">
        <v>304230605</v>
      </c>
      <c r="G617" s="66" t="s">
        <v>1333</v>
      </c>
      <c r="H617" s="66" t="s">
        <v>1334</v>
      </c>
      <c r="I617" s="66" t="s">
        <v>9</v>
      </c>
      <c r="J617" s="82" t="s">
        <v>47</v>
      </c>
      <c r="K617" s="67">
        <v>226</v>
      </c>
      <c r="L617" s="82">
        <f t="shared" si="43"/>
        <v>0</v>
      </c>
      <c r="M617" s="67">
        <v>20</v>
      </c>
      <c r="N617" s="82"/>
      <c r="O617" s="82">
        <f t="shared" si="41"/>
        <v>204</v>
      </c>
      <c r="P617" s="82">
        <f t="shared" si="42"/>
        <v>0</v>
      </c>
      <c r="Q617" s="67"/>
      <c r="R617" s="82"/>
      <c r="S617" s="67">
        <v>20</v>
      </c>
      <c r="T617" s="82"/>
      <c r="U617" s="67"/>
      <c r="V617" s="82"/>
      <c r="W617" s="82"/>
      <c r="X617" s="82"/>
      <c r="Y617" s="68">
        <v>2</v>
      </c>
      <c r="Z617" s="82"/>
      <c r="AA617" s="69">
        <v>44531</v>
      </c>
      <c r="AB617" s="74"/>
      <c r="AC617" s="75"/>
      <c r="AD617" s="70" t="s">
        <v>445</v>
      </c>
    </row>
    <row r="618" spans="1:30" s="76" customFormat="1" ht="37.5">
      <c r="A618" s="82">
        <f>+SUBTOTAL(3,$B$7:B618)</f>
        <v>612</v>
      </c>
      <c r="B618" s="82" t="s">
        <v>444</v>
      </c>
      <c r="C618" s="82" t="s">
        <v>111</v>
      </c>
      <c r="D618" s="66" t="s">
        <v>286</v>
      </c>
      <c r="E618" s="82">
        <v>3</v>
      </c>
      <c r="F618" s="67">
        <v>206567510</v>
      </c>
      <c r="G618" s="66" t="s">
        <v>1335</v>
      </c>
      <c r="H618" s="66" t="s">
        <v>128</v>
      </c>
      <c r="I618" s="66" t="s">
        <v>9</v>
      </c>
      <c r="J618" s="82" t="s">
        <v>38</v>
      </c>
      <c r="K618" s="67">
        <v>110</v>
      </c>
      <c r="L618" s="82">
        <f t="shared" si="43"/>
        <v>0</v>
      </c>
      <c r="M618" s="67">
        <v>110</v>
      </c>
      <c r="N618" s="82"/>
      <c r="O618" s="82">
        <f t="shared" si="41"/>
        <v>0</v>
      </c>
      <c r="P618" s="82">
        <f t="shared" si="42"/>
        <v>0</v>
      </c>
      <c r="Q618" s="67"/>
      <c r="R618" s="82"/>
      <c r="S618" s="67"/>
      <c r="T618" s="82"/>
      <c r="U618" s="67"/>
      <c r="V618" s="82"/>
      <c r="W618" s="82"/>
      <c r="X618" s="82"/>
      <c r="Y618" s="68">
        <v>3</v>
      </c>
      <c r="Z618" s="82"/>
      <c r="AA618" s="69">
        <v>44378</v>
      </c>
      <c r="AB618" s="74"/>
      <c r="AC618" s="75"/>
      <c r="AD618" s="70" t="s">
        <v>0</v>
      </c>
    </row>
    <row r="619" spans="1:30" s="76" customFormat="1" ht="37.5">
      <c r="A619" s="82">
        <f>+SUBTOTAL(3,$B$7:B619)</f>
        <v>613</v>
      </c>
      <c r="B619" s="82" t="s">
        <v>444</v>
      </c>
      <c r="C619" s="82" t="s">
        <v>111</v>
      </c>
      <c r="D619" s="66" t="s">
        <v>286</v>
      </c>
      <c r="E619" s="82">
        <v>1</v>
      </c>
      <c r="F619" s="67">
        <v>304839676</v>
      </c>
      <c r="G619" s="66" t="s">
        <v>1336</v>
      </c>
      <c r="H619" s="66" t="s">
        <v>136</v>
      </c>
      <c r="I619" s="66" t="s">
        <v>9</v>
      </c>
      <c r="J619" s="82" t="s">
        <v>36</v>
      </c>
      <c r="K619" s="67">
        <v>1130</v>
      </c>
      <c r="L619" s="82">
        <f t="shared" si="43"/>
        <v>0</v>
      </c>
      <c r="M619" s="67">
        <v>100</v>
      </c>
      <c r="N619" s="82"/>
      <c r="O619" s="82">
        <f t="shared" si="41"/>
        <v>1019.9999999999999</v>
      </c>
      <c r="P619" s="82">
        <f t="shared" si="42"/>
        <v>0</v>
      </c>
      <c r="Q619" s="67"/>
      <c r="R619" s="82"/>
      <c r="S619" s="67">
        <v>100</v>
      </c>
      <c r="T619" s="82"/>
      <c r="U619" s="67">
        <v>0</v>
      </c>
      <c r="V619" s="82"/>
      <c r="W619" s="82"/>
      <c r="X619" s="82"/>
      <c r="Y619" s="68">
        <v>2</v>
      </c>
      <c r="Z619" s="82"/>
      <c r="AA619" s="69">
        <v>44470</v>
      </c>
      <c r="AB619" s="74"/>
      <c r="AC619" s="75"/>
      <c r="AD619" s="70" t="s">
        <v>445</v>
      </c>
    </row>
    <row r="620" spans="1:30" s="76" customFormat="1" ht="37.5">
      <c r="A620" s="82">
        <f>+SUBTOTAL(3,$B$7:B620)</f>
        <v>614</v>
      </c>
      <c r="B620" s="82" t="s">
        <v>444</v>
      </c>
      <c r="C620" s="82" t="s">
        <v>111</v>
      </c>
      <c r="D620" s="66" t="s">
        <v>286</v>
      </c>
      <c r="E620" s="82">
        <v>1</v>
      </c>
      <c r="F620" s="67">
        <v>301689359</v>
      </c>
      <c r="G620" s="66" t="s">
        <v>1337</v>
      </c>
      <c r="H620" s="66" t="s">
        <v>136</v>
      </c>
      <c r="I620" s="66" t="s">
        <v>9</v>
      </c>
      <c r="J620" s="82" t="s">
        <v>36</v>
      </c>
      <c r="K620" s="67">
        <v>918</v>
      </c>
      <c r="L620" s="82">
        <f t="shared" si="43"/>
        <v>0</v>
      </c>
      <c r="M620" s="67">
        <v>300</v>
      </c>
      <c r="N620" s="82"/>
      <c r="O620" s="82">
        <f t="shared" si="41"/>
        <v>612</v>
      </c>
      <c r="P620" s="82">
        <f t="shared" si="42"/>
        <v>0</v>
      </c>
      <c r="Q620" s="67">
        <v>0</v>
      </c>
      <c r="R620" s="82"/>
      <c r="S620" s="67">
        <v>60</v>
      </c>
      <c r="T620" s="82"/>
      <c r="U620" s="67">
        <v>0</v>
      </c>
      <c r="V620" s="82"/>
      <c r="W620" s="82"/>
      <c r="X620" s="82"/>
      <c r="Y620" s="68">
        <v>4</v>
      </c>
      <c r="Z620" s="82"/>
      <c r="AA620" s="69">
        <v>44501</v>
      </c>
      <c r="AB620" s="74"/>
      <c r="AC620" s="75"/>
      <c r="AD620" s="70" t="s">
        <v>445</v>
      </c>
    </row>
    <row r="621" spans="1:30" s="76" customFormat="1" ht="37.5">
      <c r="A621" s="82">
        <f>+SUBTOTAL(3,$B$7:B621)</f>
        <v>615</v>
      </c>
      <c r="B621" s="82" t="s">
        <v>444</v>
      </c>
      <c r="C621" s="82" t="s">
        <v>111</v>
      </c>
      <c r="D621" s="66" t="s">
        <v>286</v>
      </c>
      <c r="E621" s="82">
        <v>3</v>
      </c>
      <c r="F621" s="67">
        <v>300482413</v>
      </c>
      <c r="G621" s="66" t="s">
        <v>1338</v>
      </c>
      <c r="H621" s="66" t="s">
        <v>1339</v>
      </c>
      <c r="I621" s="66" t="s">
        <v>9</v>
      </c>
      <c r="J621" s="82" t="s">
        <v>47</v>
      </c>
      <c r="K621" s="67">
        <v>1300</v>
      </c>
      <c r="L621" s="82">
        <f t="shared" si="43"/>
        <v>0</v>
      </c>
      <c r="M621" s="67">
        <v>300</v>
      </c>
      <c r="N621" s="82"/>
      <c r="O621" s="82">
        <f t="shared" si="41"/>
        <v>1000</v>
      </c>
      <c r="P621" s="82">
        <f t="shared" si="42"/>
        <v>0</v>
      </c>
      <c r="Q621" s="67">
        <v>1000</v>
      </c>
      <c r="R621" s="82"/>
      <c r="S621" s="67"/>
      <c r="T621" s="82"/>
      <c r="U621" s="67"/>
      <c r="V621" s="82"/>
      <c r="W621" s="82"/>
      <c r="X621" s="82"/>
      <c r="Y621" s="68">
        <v>2</v>
      </c>
      <c r="Z621" s="82"/>
      <c r="AA621" s="69">
        <v>44866</v>
      </c>
      <c r="AB621" s="74"/>
      <c r="AC621" s="75"/>
      <c r="AD621" s="70" t="s">
        <v>445</v>
      </c>
    </row>
    <row r="622" spans="1:30" s="76" customFormat="1" ht="75">
      <c r="A622" s="82">
        <f>+SUBTOTAL(3,$B$7:B622)</f>
        <v>616</v>
      </c>
      <c r="B622" s="82" t="s">
        <v>444</v>
      </c>
      <c r="C622" s="82" t="s">
        <v>111</v>
      </c>
      <c r="D622" s="66" t="s">
        <v>286</v>
      </c>
      <c r="E622" s="82">
        <v>4</v>
      </c>
      <c r="F622" s="67">
        <v>202467764</v>
      </c>
      <c r="G622" s="66" t="s">
        <v>1340</v>
      </c>
      <c r="H622" s="66" t="s">
        <v>291</v>
      </c>
      <c r="I622" s="66" t="s">
        <v>9</v>
      </c>
      <c r="J622" s="82" t="s">
        <v>38</v>
      </c>
      <c r="K622" s="67">
        <v>700</v>
      </c>
      <c r="L622" s="82">
        <f t="shared" si="43"/>
        <v>500</v>
      </c>
      <c r="M622" s="67">
        <v>300</v>
      </c>
      <c r="N622" s="82">
        <v>300</v>
      </c>
      <c r="O622" s="82">
        <f t="shared" si="41"/>
        <v>400</v>
      </c>
      <c r="P622" s="82">
        <f t="shared" si="42"/>
        <v>200</v>
      </c>
      <c r="Q622" s="67">
        <v>400</v>
      </c>
      <c r="R622" s="82">
        <v>200</v>
      </c>
      <c r="S622" s="67"/>
      <c r="T622" s="82"/>
      <c r="U622" s="67"/>
      <c r="V622" s="82"/>
      <c r="W622" s="82"/>
      <c r="X622" s="82"/>
      <c r="Y622" s="68">
        <v>3</v>
      </c>
      <c r="Z622" s="82">
        <v>2</v>
      </c>
      <c r="AA622" s="69">
        <v>44196</v>
      </c>
      <c r="AB622" s="74">
        <v>44134</v>
      </c>
      <c r="AC622" s="75" t="s">
        <v>1967</v>
      </c>
      <c r="AD622" s="70" t="s">
        <v>0</v>
      </c>
    </row>
    <row r="623" spans="1:30" s="76" customFormat="1" ht="37.5">
      <c r="A623" s="82">
        <f>+SUBTOTAL(3,$B$7:B623)</f>
        <v>617</v>
      </c>
      <c r="B623" s="82" t="s">
        <v>444</v>
      </c>
      <c r="C623" s="82" t="s">
        <v>111</v>
      </c>
      <c r="D623" s="66" t="s">
        <v>286</v>
      </c>
      <c r="E623" s="82">
        <v>2</v>
      </c>
      <c r="F623" s="67">
        <v>305191106</v>
      </c>
      <c r="G623" s="66" t="s">
        <v>1341</v>
      </c>
      <c r="H623" s="66" t="s">
        <v>288</v>
      </c>
      <c r="I623" s="66" t="s">
        <v>6</v>
      </c>
      <c r="J623" s="82" t="s">
        <v>13</v>
      </c>
      <c r="K623" s="67">
        <v>2600</v>
      </c>
      <c r="L623" s="82">
        <f t="shared" si="43"/>
        <v>453.9</v>
      </c>
      <c r="M623" s="67">
        <v>1000</v>
      </c>
      <c r="N623" s="82"/>
      <c r="O623" s="82">
        <f t="shared" si="41"/>
        <v>1600</v>
      </c>
      <c r="P623" s="82">
        <f t="shared" si="42"/>
        <v>453.9</v>
      </c>
      <c r="Q623" s="67">
        <v>1600</v>
      </c>
      <c r="R623" s="82"/>
      <c r="S623" s="67">
        <v>0</v>
      </c>
      <c r="T623" s="82">
        <v>44.5</v>
      </c>
      <c r="U623" s="67">
        <v>0</v>
      </c>
      <c r="V623" s="82"/>
      <c r="W623" s="82"/>
      <c r="X623" s="82"/>
      <c r="Y623" s="68">
        <v>15</v>
      </c>
      <c r="Z623" s="82"/>
      <c r="AA623" s="69">
        <v>44440</v>
      </c>
      <c r="AB623" s="74"/>
      <c r="AC623" s="75"/>
      <c r="AD623" s="70" t="s">
        <v>445</v>
      </c>
    </row>
    <row r="624" spans="1:30" s="76" customFormat="1" ht="37.5">
      <c r="A624" s="82">
        <f>+SUBTOTAL(3,$B$7:B624)</f>
        <v>618</v>
      </c>
      <c r="B624" s="82" t="s">
        <v>444</v>
      </c>
      <c r="C624" s="82" t="s">
        <v>111</v>
      </c>
      <c r="D624" s="66" t="s">
        <v>286</v>
      </c>
      <c r="E624" s="82">
        <v>1</v>
      </c>
      <c r="F624" s="67">
        <v>304725534</v>
      </c>
      <c r="G624" s="66" t="s">
        <v>1342</v>
      </c>
      <c r="H624" s="66" t="s">
        <v>136</v>
      </c>
      <c r="I624" s="66" t="s">
        <v>9</v>
      </c>
      <c r="J624" s="82" t="s">
        <v>36</v>
      </c>
      <c r="K624" s="67">
        <v>615</v>
      </c>
      <c r="L624" s="82">
        <f t="shared" si="43"/>
        <v>0</v>
      </c>
      <c r="M624" s="67">
        <v>100</v>
      </c>
      <c r="N624" s="82"/>
      <c r="O624" s="82">
        <f t="shared" si="41"/>
        <v>509.99999999999994</v>
      </c>
      <c r="P624" s="82">
        <f t="shared" si="42"/>
        <v>0</v>
      </c>
      <c r="Q624" s="67"/>
      <c r="R624" s="82"/>
      <c r="S624" s="67">
        <v>50</v>
      </c>
      <c r="T624" s="82"/>
      <c r="U624" s="67">
        <v>0</v>
      </c>
      <c r="V624" s="82"/>
      <c r="W624" s="82"/>
      <c r="X624" s="82"/>
      <c r="Y624" s="68">
        <v>2</v>
      </c>
      <c r="Z624" s="82"/>
      <c r="AA624" s="18">
        <v>44501</v>
      </c>
      <c r="AB624" s="74"/>
      <c r="AC624" s="75"/>
      <c r="AD624" s="70" t="s">
        <v>445</v>
      </c>
    </row>
    <row r="625" spans="1:30" s="76" customFormat="1" ht="37.5">
      <c r="A625" s="82">
        <f>+SUBTOTAL(3,$B$7:B625)</f>
        <v>619</v>
      </c>
      <c r="B625" s="82" t="s">
        <v>444</v>
      </c>
      <c r="C625" s="82" t="s">
        <v>111</v>
      </c>
      <c r="D625" s="66" t="s">
        <v>286</v>
      </c>
      <c r="E625" s="82">
        <v>1</v>
      </c>
      <c r="F625" s="67">
        <v>303138759</v>
      </c>
      <c r="G625" s="66" t="s">
        <v>1343</v>
      </c>
      <c r="H625" s="66" t="s">
        <v>1344</v>
      </c>
      <c r="I625" s="66" t="s">
        <v>6</v>
      </c>
      <c r="J625" s="82" t="s">
        <v>12</v>
      </c>
      <c r="K625" s="67">
        <v>1400</v>
      </c>
      <c r="L625" s="82">
        <f t="shared" si="43"/>
        <v>0</v>
      </c>
      <c r="M625" s="67">
        <v>200</v>
      </c>
      <c r="N625" s="82"/>
      <c r="O625" s="82">
        <f t="shared" si="41"/>
        <v>1200</v>
      </c>
      <c r="P625" s="82">
        <f t="shared" si="42"/>
        <v>0</v>
      </c>
      <c r="Q625" s="67">
        <v>1200</v>
      </c>
      <c r="R625" s="82"/>
      <c r="S625" s="67">
        <v>0</v>
      </c>
      <c r="T625" s="82"/>
      <c r="U625" s="67">
        <v>0</v>
      </c>
      <c r="V625" s="82"/>
      <c r="W625" s="82"/>
      <c r="X625" s="82"/>
      <c r="Y625" s="68">
        <v>8</v>
      </c>
      <c r="Z625" s="82"/>
      <c r="AA625" s="69">
        <v>44805</v>
      </c>
      <c r="AB625" s="74"/>
      <c r="AC625" s="75"/>
      <c r="AD625" s="70" t="s">
        <v>445</v>
      </c>
    </row>
    <row r="626" spans="1:30" s="76" customFormat="1" ht="37.5">
      <c r="A626" s="82">
        <f>+SUBTOTAL(3,$B$7:B626)</f>
        <v>620</v>
      </c>
      <c r="B626" s="82" t="s">
        <v>444</v>
      </c>
      <c r="C626" s="82" t="s">
        <v>111</v>
      </c>
      <c r="D626" s="66" t="s">
        <v>286</v>
      </c>
      <c r="E626" s="82">
        <v>1</v>
      </c>
      <c r="F626" s="67">
        <v>303138759</v>
      </c>
      <c r="G626" s="66" t="s">
        <v>1343</v>
      </c>
      <c r="H626" s="66" t="s">
        <v>132</v>
      </c>
      <c r="I626" s="66" t="s">
        <v>9</v>
      </c>
      <c r="J626" s="82" t="s">
        <v>37</v>
      </c>
      <c r="K626" s="67">
        <v>600</v>
      </c>
      <c r="L626" s="82">
        <f t="shared" si="43"/>
        <v>0</v>
      </c>
      <c r="M626" s="67">
        <v>100</v>
      </c>
      <c r="N626" s="82"/>
      <c r="O626" s="82">
        <f t="shared" si="41"/>
        <v>500</v>
      </c>
      <c r="P626" s="82">
        <f t="shared" si="42"/>
        <v>0</v>
      </c>
      <c r="Q626" s="67">
        <v>500</v>
      </c>
      <c r="R626" s="82"/>
      <c r="S626" s="67">
        <v>0</v>
      </c>
      <c r="T626" s="82"/>
      <c r="U626" s="67">
        <v>0</v>
      </c>
      <c r="V626" s="82"/>
      <c r="W626" s="82"/>
      <c r="X626" s="82"/>
      <c r="Y626" s="68">
        <v>3</v>
      </c>
      <c r="Z626" s="82"/>
      <c r="AA626" s="69">
        <v>44713</v>
      </c>
      <c r="AB626" s="74"/>
      <c r="AC626" s="75"/>
      <c r="AD626" s="70" t="s">
        <v>445</v>
      </c>
    </row>
    <row r="627" spans="1:30" s="76" customFormat="1" ht="37.5">
      <c r="A627" s="82">
        <f>+SUBTOTAL(3,$B$7:B627)</f>
        <v>621</v>
      </c>
      <c r="B627" s="82" t="s">
        <v>444</v>
      </c>
      <c r="C627" s="82" t="s">
        <v>111</v>
      </c>
      <c r="D627" s="66" t="s">
        <v>286</v>
      </c>
      <c r="E627" s="82">
        <v>1</v>
      </c>
      <c r="F627" s="67">
        <v>304715166</v>
      </c>
      <c r="G627" s="66" t="s">
        <v>1345</v>
      </c>
      <c r="H627" s="66" t="s">
        <v>1346</v>
      </c>
      <c r="I627" s="66" t="s">
        <v>10</v>
      </c>
      <c r="J627" s="82" t="s">
        <v>59</v>
      </c>
      <c r="K627" s="67">
        <v>400</v>
      </c>
      <c r="L627" s="82">
        <f t="shared" si="43"/>
        <v>90</v>
      </c>
      <c r="M627" s="67">
        <v>100</v>
      </c>
      <c r="N627" s="82"/>
      <c r="O627" s="82">
        <f t="shared" si="41"/>
        <v>300</v>
      </c>
      <c r="P627" s="82">
        <f t="shared" si="42"/>
        <v>90</v>
      </c>
      <c r="Q627" s="67">
        <v>300</v>
      </c>
      <c r="R627" s="82">
        <v>90</v>
      </c>
      <c r="S627" s="67">
        <v>0</v>
      </c>
      <c r="T627" s="82"/>
      <c r="U627" s="67">
        <v>0</v>
      </c>
      <c r="V627" s="82"/>
      <c r="W627" s="82"/>
      <c r="X627" s="82"/>
      <c r="Y627" s="68">
        <v>8</v>
      </c>
      <c r="Z627" s="82"/>
      <c r="AA627" s="69">
        <v>44287</v>
      </c>
      <c r="AB627" s="74"/>
      <c r="AC627" s="75"/>
      <c r="AD627" s="70" t="s">
        <v>33</v>
      </c>
    </row>
    <row r="628" spans="1:30" s="76" customFormat="1" ht="37.5">
      <c r="A628" s="82">
        <f>+SUBTOTAL(3,$B$7:B628)</f>
        <v>622</v>
      </c>
      <c r="B628" s="82" t="s">
        <v>444</v>
      </c>
      <c r="C628" s="82" t="s">
        <v>111</v>
      </c>
      <c r="D628" s="66" t="s">
        <v>286</v>
      </c>
      <c r="E628" s="82">
        <v>1</v>
      </c>
      <c r="F628" s="67">
        <v>304715166</v>
      </c>
      <c r="G628" s="66" t="s">
        <v>1345</v>
      </c>
      <c r="H628" s="66" t="s">
        <v>1347</v>
      </c>
      <c r="I628" s="66" t="s">
        <v>6</v>
      </c>
      <c r="J628" s="82" t="s">
        <v>13</v>
      </c>
      <c r="K628" s="67">
        <v>150</v>
      </c>
      <c r="L628" s="82">
        <f t="shared" si="43"/>
        <v>60</v>
      </c>
      <c r="M628" s="67">
        <v>50</v>
      </c>
      <c r="N628" s="82"/>
      <c r="O628" s="82">
        <f t="shared" si="41"/>
        <v>100</v>
      </c>
      <c r="P628" s="82">
        <f t="shared" si="42"/>
        <v>60</v>
      </c>
      <c r="Q628" s="67">
        <v>100</v>
      </c>
      <c r="R628" s="82">
        <v>60</v>
      </c>
      <c r="S628" s="67">
        <v>0</v>
      </c>
      <c r="T628" s="82"/>
      <c r="U628" s="67">
        <v>0</v>
      </c>
      <c r="V628" s="82"/>
      <c r="W628" s="82"/>
      <c r="X628" s="82"/>
      <c r="Y628" s="68">
        <v>4</v>
      </c>
      <c r="Z628" s="82"/>
      <c r="AA628" s="18">
        <v>44287</v>
      </c>
      <c r="AB628" s="74"/>
      <c r="AC628" s="75"/>
      <c r="AD628" s="70" t="s">
        <v>33</v>
      </c>
    </row>
    <row r="629" spans="1:30" s="76" customFormat="1" ht="37.5">
      <c r="A629" s="82">
        <f>+SUBTOTAL(3,$B$7:B629)</f>
        <v>623</v>
      </c>
      <c r="B629" s="82" t="s">
        <v>444</v>
      </c>
      <c r="C629" s="82" t="s">
        <v>111</v>
      </c>
      <c r="D629" s="66" t="s">
        <v>286</v>
      </c>
      <c r="E629" s="82">
        <v>4</v>
      </c>
      <c r="F629" s="67">
        <v>206758676</v>
      </c>
      <c r="G629" s="66" t="s">
        <v>1348</v>
      </c>
      <c r="H629" s="66" t="s">
        <v>128</v>
      </c>
      <c r="I629" s="66" t="s">
        <v>9</v>
      </c>
      <c r="J629" s="82" t="s">
        <v>38</v>
      </c>
      <c r="K629" s="67">
        <v>150</v>
      </c>
      <c r="L629" s="82">
        <f t="shared" si="43"/>
        <v>0</v>
      </c>
      <c r="M629" s="67">
        <v>150</v>
      </c>
      <c r="N629" s="82"/>
      <c r="O629" s="82">
        <f t="shared" si="41"/>
        <v>0</v>
      </c>
      <c r="P629" s="82">
        <f t="shared" si="42"/>
        <v>0</v>
      </c>
      <c r="Q629" s="67"/>
      <c r="R629" s="82"/>
      <c r="S629" s="67"/>
      <c r="T629" s="82"/>
      <c r="U629" s="67"/>
      <c r="V629" s="82"/>
      <c r="W629" s="82"/>
      <c r="X629" s="82"/>
      <c r="Y629" s="68">
        <v>2</v>
      </c>
      <c r="Z629" s="82"/>
      <c r="AA629" s="69">
        <v>44531</v>
      </c>
      <c r="AB629" s="74"/>
      <c r="AC629" s="75"/>
      <c r="AD629" s="70" t="s">
        <v>0</v>
      </c>
    </row>
    <row r="630" spans="1:30" s="76" customFormat="1" ht="37.5">
      <c r="A630" s="82">
        <f>+SUBTOTAL(3,$B$7:B630)</f>
        <v>624</v>
      </c>
      <c r="B630" s="82" t="s">
        <v>444</v>
      </c>
      <c r="C630" s="82" t="s">
        <v>111</v>
      </c>
      <c r="D630" s="66" t="s">
        <v>286</v>
      </c>
      <c r="E630" s="82">
        <v>3</v>
      </c>
      <c r="F630" s="67">
        <v>304212587</v>
      </c>
      <c r="G630" s="66" t="s">
        <v>1349</v>
      </c>
      <c r="H630" s="66" t="s">
        <v>128</v>
      </c>
      <c r="I630" s="66" t="s">
        <v>9</v>
      </c>
      <c r="J630" s="82" t="s">
        <v>38</v>
      </c>
      <c r="K630" s="67">
        <v>100</v>
      </c>
      <c r="L630" s="82">
        <f t="shared" si="43"/>
        <v>0</v>
      </c>
      <c r="M630" s="67">
        <v>100</v>
      </c>
      <c r="N630" s="82"/>
      <c r="O630" s="82">
        <f t="shared" si="41"/>
        <v>0</v>
      </c>
      <c r="P630" s="82">
        <f t="shared" si="42"/>
        <v>0</v>
      </c>
      <c r="Q630" s="67"/>
      <c r="R630" s="82"/>
      <c r="S630" s="67"/>
      <c r="T630" s="82"/>
      <c r="U630" s="67"/>
      <c r="V630" s="82"/>
      <c r="W630" s="82"/>
      <c r="X630" s="82"/>
      <c r="Y630" s="68">
        <v>2</v>
      </c>
      <c r="Z630" s="82"/>
      <c r="AA630" s="69">
        <v>44531</v>
      </c>
      <c r="AB630" s="74"/>
      <c r="AC630" s="75"/>
      <c r="AD630" s="70" t="s">
        <v>0</v>
      </c>
    </row>
    <row r="631" spans="1:30" s="76" customFormat="1" ht="37.5">
      <c r="A631" s="82">
        <f>+SUBTOTAL(3,$B$7:B631)</f>
        <v>625</v>
      </c>
      <c r="B631" s="82" t="s">
        <v>444</v>
      </c>
      <c r="C631" s="82" t="s">
        <v>111</v>
      </c>
      <c r="D631" s="66" t="s">
        <v>286</v>
      </c>
      <c r="E631" s="82">
        <v>3</v>
      </c>
      <c r="F631" s="67">
        <v>303693742</v>
      </c>
      <c r="G631" s="66" t="s">
        <v>1350</v>
      </c>
      <c r="H631" s="66" t="s">
        <v>1351</v>
      </c>
      <c r="I631" s="66" t="s">
        <v>10</v>
      </c>
      <c r="J631" s="82" t="s">
        <v>60</v>
      </c>
      <c r="K631" s="67">
        <v>1721</v>
      </c>
      <c r="L631" s="82">
        <f t="shared" si="43"/>
        <v>561</v>
      </c>
      <c r="M631" s="67">
        <v>1000</v>
      </c>
      <c r="N631" s="82"/>
      <c r="O631" s="82">
        <f t="shared" si="41"/>
        <v>714</v>
      </c>
      <c r="P631" s="82">
        <f t="shared" si="42"/>
        <v>561</v>
      </c>
      <c r="Q631" s="67"/>
      <c r="R631" s="82"/>
      <c r="S631" s="67">
        <v>70</v>
      </c>
      <c r="T631" s="82">
        <v>55</v>
      </c>
      <c r="U631" s="67"/>
      <c r="V631" s="82"/>
      <c r="W631" s="82"/>
      <c r="X631" s="82"/>
      <c r="Y631" s="68">
        <v>7</v>
      </c>
      <c r="Z631" s="82"/>
      <c r="AA631" s="69">
        <v>44531</v>
      </c>
      <c r="AB631" s="74"/>
      <c r="AC631" s="75"/>
      <c r="AD631" s="70" t="s">
        <v>0</v>
      </c>
    </row>
    <row r="632" spans="1:30" s="76" customFormat="1" ht="56.25">
      <c r="A632" s="82">
        <f>+SUBTOTAL(3,$B$7:B632)</f>
        <v>626</v>
      </c>
      <c r="B632" s="82" t="s">
        <v>444</v>
      </c>
      <c r="C632" s="82" t="s">
        <v>111</v>
      </c>
      <c r="D632" s="66" t="s">
        <v>286</v>
      </c>
      <c r="E632" s="82">
        <v>1</v>
      </c>
      <c r="F632" s="67">
        <v>305738073</v>
      </c>
      <c r="G632" s="66" t="s">
        <v>1352</v>
      </c>
      <c r="H632" s="66" t="s">
        <v>1353</v>
      </c>
      <c r="I632" s="66" t="s">
        <v>6</v>
      </c>
      <c r="J632" s="82" t="s">
        <v>13</v>
      </c>
      <c r="K632" s="67">
        <v>400</v>
      </c>
      <c r="L632" s="82">
        <f t="shared" si="43"/>
        <v>0</v>
      </c>
      <c r="M632" s="67">
        <v>200</v>
      </c>
      <c r="N632" s="82"/>
      <c r="O632" s="82">
        <f t="shared" si="41"/>
        <v>200</v>
      </c>
      <c r="P632" s="82">
        <f t="shared" si="42"/>
        <v>0</v>
      </c>
      <c r="Q632" s="67">
        <v>200</v>
      </c>
      <c r="R632" s="82"/>
      <c r="S632" s="67"/>
      <c r="T632" s="82"/>
      <c r="U632" s="67"/>
      <c r="V632" s="82"/>
      <c r="W632" s="82"/>
      <c r="X632" s="82"/>
      <c r="Y632" s="68">
        <v>4</v>
      </c>
      <c r="Z632" s="82"/>
      <c r="AA632" s="69">
        <v>44805</v>
      </c>
      <c r="AB632" s="74"/>
      <c r="AC632" s="75"/>
      <c r="AD632" s="70" t="s">
        <v>445</v>
      </c>
    </row>
    <row r="633" spans="1:30" s="76" customFormat="1" ht="56.25">
      <c r="A633" s="82">
        <f>+SUBTOTAL(3,$B$7:B633)</f>
        <v>627</v>
      </c>
      <c r="B633" s="82" t="s">
        <v>444</v>
      </c>
      <c r="C633" s="82" t="s">
        <v>111</v>
      </c>
      <c r="D633" s="66" t="s">
        <v>286</v>
      </c>
      <c r="E633" s="82">
        <v>1</v>
      </c>
      <c r="F633" s="67">
        <v>305738073</v>
      </c>
      <c r="G633" s="66" t="s">
        <v>1352</v>
      </c>
      <c r="H633" s="66" t="s">
        <v>1354</v>
      </c>
      <c r="I633" s="66" t="s">
        <v>6</v>
      </c>
      <c r="J633" s="82" t="s">
        <v>13</v>
      </c>
      <c r="K633" s="67">
        <v>700</v>
      </c>
      <c r="L633" s="82">
        <f t="shared" si="43"/>
        <v>0</v>
      </c>
      <c r="M633" s="67">
        <v>400</v>
      </c>
      <c r="N633" s="82"/>
      <c r="O633" s="82">
        <f t="shared" si="41"/>
        <v>300</v>
      </c>
      <c r="P633" s="82">
        <f t="shared" si="42"/>
        <v>0</v>
      </c>
      <c r="Q633" s="67">
        <v>300</v>
      </c>
      <c r="R633" s="82"/>
      <c r="S633" s="67"/>
      <c r="T633" s="82"/>
      <c r="U633" s="67"/>
      <c r="V633" s="82"/>
      <c r="W633" s="82"/>
      <c r="X633" s="82"/>
      <c r="Y633" s="68">
        <v>2</v>
      </c>
      <c r="Z633" s="82"/>
      <c r="AA633" s="18">
        <v>44743</v>
      </c>
      <c r="AB633" s="74"/>
      <c r="AC633" s="75"/>
      <c r="AD633" s="70" t="s">
        <v>445</v>
      </c>
    </row>
    <row r="634" spans="1:30" s="76" customFormat="1" ht="37.5">
      <c r="A634" s="82">
        <f>+SUBTOTAL(3,$B$7:B634)</f>
        <v>628</v>
      </c>
      <c r="B634" s="82" t="s">
        <v>444</v>
      </c>
      <c r="C634" s="82" t="s">
        <v>111</v>
      </c>
      <c r="D634" s="66" t="s">
        <v>286</v>
      </c>
      <c r="E634" s="82">
        <v>3</v>
      </c>
      <c r="F634" s="67">
        <v>304277751</v>
      </c>
      <c r="G634" s="66" t="s">
        <v>1355</v>
      </c>
      <c r="H634" s="66" t="s">
        <v>292</v>
      </c>
      <c r="I634" s="66" t="s">
        <v>9</v>
      </c>
      <c r="J634" s="82" t="s">
        <v>37</v>
      </c>
      <c r="K634" s="67">
        <v>6826</v>
      </c>
      <c r="L634" s="82">
        <f t="shared" si="43"/>
        <v>7139.9999999999991</v>
      </c>
      <c r="M634" s="67">
        <v>2500</v>
      </c>
      <c r="N634" s="82"/>
      <c r="O634" s="82">
        <f t="shared" si="41"/>
        <v>4284</v>
      </c>
      <c r="P634" s="82">
        <f t="shared" si="42"/>
        <v>7139.9999999999991</v>
      </c>
      <c r="Q634" s="67"/>
      <c r="R634" s="82"/>
      <c r="S634" s="67">
        <v>420</v>
      </c>
      <c r="T634" s="82">
        <v>700</v>
      </c>
      <c r="U634" s="67"/>
      <c r="V634" s="82"/>
      <c r="W634" s="82"/>
      <c r="X634" s="82"/>
      <c r="Y634" s="68">
        <v>8</v>
      </c>
      <c r="Z634" s="82"/>
      <c r="AA634" s="18">
        <v>44531</v>
      </c>
      <c r="AB634" s="74"/>
      <c r="AC634" s="75"/>
      <c r="AD634" s="70" t="s">
        <v>0</v>
      </c>
    </row>
    <row r="635" spans="1:30" s="76" customFormat="1" ht="37.5">
      <c r="A635" s="82">
        <f>+SUBTOTAL(3,$B$7:B635)</f>
        <v>629</v>
      </c>
      <c r="B635" s="82" t="s">
        <v>444</v>
      </c>
      <c r="C635" s="82" t="s">
        <v>111</v>
      </c>
      <c r="D635" s="66" t="s">
        <v>286</v>
      </c>
      <c r="E635" s="82">
        <v>3</v>
      </c>
      <c r="F635" s="67">
        <v>304277751</v>
      </c>
      <c r="G635" s="66" t="s">
        <v>1355</v>
      </c>
      <c r="H635" s="66" t="s">
        <v>1356</v>
      </c>
      <c r="I635" s="66" t="s">
        <v>9</v>
      </c>
      <c r="J635" s="82" t="s">
        <v>41</v>
      </c>
      <c r="K635" s="67">
        <v>3500</v>
      </c>
      <c r="L635" s="82">
        <f t="shared" si="43"/>
        <v>0</v>
      </c>
      <c r="M635" s="67">
        <v>3500</v>
      </c>
      <c r="N635" s="82"/>
      <c r="O635" s="82">
        <f t="shared" si="41"/>
        <v>0</v>
      </c>
      <c r="P635" s="82">
        <f t="shared" si="42"/>
        <v>0</v>
      </c>
      <c r="Q635" s="67"/>
      <c r="R635" s="82"/>
      <c r="S635" s="67"/>
      <c r="T635" s="82"/>
      <c r="U635" s="67"/>
      <c r="V635" s="82"/>
      <c r="W635" s="82"/>
      <c r="X635" s="82"/>
      <c r="Y635" s="68">
        <v>4</v>
      </c>
      <c r="Z635" s="82"/>
      <c r="AA635" s="69">
        <v>44531</v>
      </c>
      <c r="AB635" s="74"/>
      <c r="AC635" s="75"/>
      <c r="AD635" s="70" t="s">
        <v>0</v>
      </c>
    </row>
    <row r="636" spans="1:30" s="76" customFormat="1" ht="37.5">
      <c r="A636" s="82">
        <f>+SUBTOTAL(3,$B$7:B636)</f>
        <v>630</v>
      </c>
      <c r="B636" s="82" t="s">
        <v>444</v>
      </c>
      <c r="C636" s="82" t="s">
        <v>111</v>
      </c>
      <c r="D636" s="66" t="s">
        <v>286</v>
      </c>
      <c r="E636" s="82">
        <v>3</v>
      </c>
      <c r="F636" s="67">
        <v>302371542</v>
      </c>
      <c r="G636" s="66" t="s">
        <v>1357</v>
      </c>
      <c r="H636" s="66" t="s">
        <v>1358</v>
      </c>
      <c r="I636" s="66" t="s">
        <v>6</v>
      </c>
      <c r="J636" s="82" t="s">
        <v>12</v>
      </c>
      <c r="K636" s="67">
        <v>18810</v>
      </c>
      <c r="L636" s="82">
        <f t="shared" ref="L636:L670" si="44">+N636+R636+T636*10.2+V636*10.2</f>
        <v>0</v>
      </c>
      <c r="M636" s="67">
        <v>3360</v>
      </c>
      <c r="N636" s="82"/>
      <c r="O636" s="82">
        <f t="shared" si="41"/>
        <v>15299.999999999998</v>
      </c>
      <c r="P636" s="82">
        <f t="shared" si="42"/>
        <v>0</v>
      </c>
      <c r="Q636" s="67">
        <v>0</v>
      </c>
      <c r="R636" s="82"/>
      <c r="S636" s="67">
        <v>1500</v>
      </c>
      <c r="T636" s="82"/>
      <c r="U636" s="67"/>
      <c r="V636" s="82"/>
      <c r="W636" s="82"/>
      <c r="X636" s="82"/>
      <c r="Y636" s="68">
        <v>15</v>
      </c>
      <c r="Z636" s="82"/>
      <c r="AA636" s="69">
        <v>44713</v>
      </c>
      <c r="AB636" s="74"/>
      <c r="AC636" s="75"/>
      <c r="AD636" s="70" t="s">
        <v>543</v>
      </c>
    </row>
    <row r="637" spans="1:30" s="76" customFormat="1" ht="37.5">
      <c r="A637" s="82">
        <f>+SUBTOTAL(3,$B$7:B637)</f>
        <v>631</v>
      </c>
      <c r="B637" s="82" t="s">
        <v>444</v>
      </c>
      <c r="C637" s="82" t="s">
        <v>111</v>
      </c>
      <c r="D637" s="66" t="s">
        <v>286</v>
      </c>
      <c r="E637" s="82">
        <v>1</v>
      </c>
      <c r="F637" s="67">
        <v>301618938</v>
      </c>
      <c r="G637" s="66" t="s">
        <v>1359</v>
      </c>
      <c r="H637" s="66" t="s">
        <v>1360</v>
      </c>
      <c r="I637" s="66" t="s">
        <v>9</v>
      </c>
      <c r="J637" s="82" t="s">
        <v>64</v>
      </c>
      <c r="K637" s="67">
        <v>5700</v>
      </c>
      <c r="L637" s="82">
        <f t="shared" si="44"/>
        <v>0</v>
      </c>
      <c r="M637" s="67">
        <v>700</v>
      </c>
      <c r="N637" s="82"/>
      <c r="O637" s="82">
        <f t="shared" si="41"/>
        <v>5000</v>
      </c>
      <c r="P637" s="82">
        <f t="shared" si="42"/>
        <v>0</v>
      </c>
      <c r="Q637" s="67">
        <v>5000</v>
      </c>
      <c r="R637" s="82"/>
      <c r="S637" s="67">
        <v>0</v>
      </c>
      <c r="T637" s="82"/>
      <c r="U637" s="67">
        <v>0</v>
      </c>
      <c r="V637" s="82"/>
      <c r="W637" s="82"/>
      <c r="X637" s="82"/>
      <c r="Y637" s="68">
        <v>20</v>
      </c>
      <c r="Z637" s="82"/>
      <c r="AA637" s="69">
        <v>44501</v>
      </c>
      <c r="AB637" s="74"/>
      <c r="AC637" s="75"/>
      <c r="AD637" s="70" t="s">
        <v>460</v>
      </c>
    </row>
    <row r="638" spans="1:30" s="76" customFormat="1" ht="37.5">
      <c r="A638" s="82">
        <f>+SUBTOTAL(3,$B$7:B638)</f>
        <v>632</v>
      </c>
      <c r="B638" s="82" t="s">
        <v>444</v>
      </c>
      <c r="C638" s="82" t="s">
        <v>111</v>
      </c>
      <c r="D638" s="66" t="s">
        <v>286</v>
      </c>
      <c r="E638" s="82">
        <v>1</v>
      </c>
      <c r="F638" s="67">
        <v>303124318</v>
      </c>
      <c r="G638" s="66" t="s">
        <v>1361</v>
      </c>
      <c r="H638" s="66" t="s">
        <v>136</v>
      </c>
      <c r="I638" s="66" t="s">
        <v>9</v>
      </c>
      <c r="J638" s="82" t="s">
        <v>36</v>
      </c>
      <c r="K638" s="67">
        <v>1280</v>
      </c>
      <c r="L638" s="82">
        <f t="shared" si="44"/>
        <v>0</v>
      </c>
      <c r="M638" s="67">
        <v>250</v>
      </c>
      <c r="N638" s="82"/>
      <c r="O638" s="82">
        <f t="shared" si="41"/>
        <v>1019.9999999999999</v>
      </c>
      <c r="P638" s="82">
        <f t="shared" si="42"/>
        <v>0</v>
      </c>
      <c r="Q638" s="67"/>
      <c r="R638" s="82"/>
      <c r="S638" s="67">
        <v>100</v>
      </c>
      <c r="T638" s="82"/>
      <c r="U638" s="67">
        <v>0</v>
      </c>
      <c r="V638" s="82"/>
      <c r="W638" s="82"/>
      <c r="X638" s="82"/>
      <c r="Y638" s="68">
        <v>4</v>
      </c>
      <c r="Z638" s="82"/>
      <c r="AA638" s="69">
        <v>44805</v>
      </c>
      <c r="AB638" s="74"/>
      <c r="AC638" s="75"/>
      <c r="AD638" s="70" t="s">
        <v>445</v>
      </c>
    </row>
    <row r="639" spans="1:30" s="76" customFormat="1" ht="75">
      <c r="A639" s="82">
        <f>+SUBTOTAL(3,$B$7:B639)</f>
        <v>633</v>
      </c>
      <c r="B639" s="82" t="s">
        <v>444</v>
      </c>
      <c r="C639" s="82" t="s">
        <v>111</v>
      </c>
      <c r="D639" s="66" t="s">
        <v>286</v>
      </c>
      <c r="E639" s="82">
        <v>3</v>
      </c>
      <c r="F639" s="67">
        <v>306060515</v>
      </c>
      <c r="G639" s="66" t="s">
        <v>293</v>
      </c>
      <c r="H639" s="66" t="s">
        <v>136</v>
      </c>
      <c r="I639" s="66" t="s">
        <v>9</v>
      </c>
      <c r="J639" s="82" t="s">
        <v>36</v>
      </c>
      <c r="K639" s="67">
        <v>25075</v>
      </c>
      <c r="L639" s="82">
        <f t="shared" si="44"/>
        <v>0</v>
      </c>
      <c r="M639" s="67">
        <v>7050</v>
      </c>
      <c r="N639" s="82"/>
      <c r="O639" s="82">
        <f t="shared" si="41"/>
        <v>17850</v>
      </c>
      <c r="P639" s="82">
        <f t="shared" si="42"/>
        <v>0</v>
      </c>
      <c r="Q639" s="67"/>
      <c r="R639" s="82"/>
      <c r="S639" s="67">
        <v>1750</v>
      </c>
      <c r="T639" s="82"/>
      <c r="U639" s="67"/>
      <c r="V639" s="82"/>
      <c r="W639" s="82"/>
      <c r="X639" s="82"/>
      <c r="Y639" s="68">
        <v>25</v>
      </c>
      <c r="Z639" s="82"/>
      <c r="AA639" s="69">
        <v>44713</v>
      </c>
      <c r="AB639" s="74"/>
      <c r="AC639" s="75"/>
      <c r="AD639" s="70" t="s">
        <v>445</v>
      </c>
    </row>
    <row r="640" spans="1:30" s="76" customFormat="1" ht="75">
      <c r="A640" s="82">
        <f>+SUBTOTAL(3,$B$7:B640)</f>
        <v>634</v>
      </c>
      <c r="B640" s="82" t="s">
        <v>444</v>
      </c>
      <c r="C640" s="82" t="s">
        <v>111</v>
      </c>
      <c r="D640" s="66" t="s">
        <v>286</v>
      </c>
      <c r="E640" s="82">
        <v>3</v>
      </c>
      <c r="F640" s="67">
        <v>306060515</v>
      </c>
      <c r="G640" s="66" t="s">
        <v>293</v>
      </c>
      <c r="H640" s="66" t="s">
        <v>294</v>
      </c>
      <c r="I640" s="66" t="s">
        <v>6</v>
      </c>
      <c r="J640" s="82" t="s">
        <v>13</v>
      </c>
      <c r="K640" s="67">
        <v>45000</v>
      </c>
      <c r="L640" s="82">
        <f t="shared" si="44"/>
        <v>0</v>
      </c>
      <c r="M640" s="67">
        <v>14100</v>
      </c>
      <c r="N640" s="82"/>
      <c r="O640" s="82">
        <f t="shared" si="41"/>
        <v>30599.999999999996</v>
      </c>
      <c r="P640" s="82">
        <f t="shared" si="42"/>
        <v>0</v>
      </c>
      <c r="Q640" s="67"/>
      <c r="R640" s="82"/>
      <c r="S640" s="67">
        <v>3000</v>
      </c>
      <c r="T640" s="82"/>
      <c r="U640" s="67"/>
      <c r="V640" s="82"/>
      <c r="W640" s="82"/>
      <c r="X640" s="82"/>
      <c r="Y640" s="68">
        <v>55</v>
      </c>
      <c r="Z640" s="82"/>
      <c r="AA640" s="69">
        <v>44805</v>
      </c>
      <c r="AB640" s="74"/>
      <c r="AC640" s="75"/>
      <c r="AD640" s="70" t="s">
        <v>445</v>
      </c>
    </row>
    <row r="641" spans="1:30" s="76" customFormat="1" ht="37.5">
      <c r="A641" s="82">
        <f>+SUBTOTAL(3,$B$7:B641)</f>
        <v>635</v>
      </c>
      <c r="B641" s="82" t="s">
        <v>444</v>
      </c>
      <c r="C641" s="82" t="s">
        <v>111</v>
      </c>
      <c r="D641" s="66" t="s">
        <v>286</v>
      </c>
      <c r="E641" s="82">
        <v>3</v>
      </c>
      <c r="F641" s="67">
        <v>306618585</v>
      </c>
      <c r="G641" s="66" t="s">
        <v>1362</v>
      </c>
      <c r="H641" s="66" t="s">
        <v>1363</v>
      </c>
      <c r="I641" s="66" t="s">
        <v>6</v>
      </c>
      <c r="J641" s="82" t="s">
        <v>12</v>
      </c>
      <c r="K641" s="67">
        <v>3000</v>
      </c>
      <c r="L641" s="82">
        <f t="shared" si="44"/>
        <v>0</v>
      </c>
      <c r="M641" s="67">
        <v>600</v>
      </c>
      <c r="N641" s="82"/>
      <c r="O641" s="82">
        <f t="shared" si="41"/>
        <v>2400</v>
      </c>
      <c r="P641" s="82">
        <f t="shared" si="42"/>
        <v>0</v>
      </c>
      <c r="Q641" s="67">
        <v>2400</v>
      </c>
      <c r="R641" s="82"/>
      <c r="S641" s="67"/>
      <c r="T641" s="82"/>
      <c r="U641" s="67"/>
      <c r="V641" s="82"/>
      <c r="W641" s="82"/>
      <c r="X641" s="82"/>
      <c r="Y641" s="68">
        <v>10</v>
      </c>
      <c r="Z641" s="82"/>
      <c r="AA641" s="69">
        <v>44501</v>
      </c>
      <c r="AB641" s="74"/>
      <c r="AC641" s="75"/>
      <c r="AD641" s="70" t="s">
        <v>445</v>
      </c>
    </row>
    <row r="642" spans="1:30" s="76" customFormat="1" ht="37.5">
      <c r="A642" s="82">
        <f>+SUBTOTAL(3,$B$7:B642)</f>
        <v>636</v>
      </c>
      <c r="B642" s="82" t="s">
        <v>444</v>
      </c>
      <c r="C642" s="82" t="s">
        <v>111</v>
      </c>
      <c r="D642" s="66" t="s">
        <v>286</v>
      </c>
      <c r="E642" s="82">
        <v>4</v>
      </c>
      <c r="F642" s="67">
        <v>304873969</v>
      </c>
      <c r="G642" s="66" t="s">
        <v>1364</v>
      </c>
      <c r="H642" s="66" t="s">
        <v>1351</v>
      </c>
      <c r="I642" s="66" t="s">
        <v>10</v>
      </c>
      <c r="J642" s="82" t="s">
        <v>60</v>
      </c>
      <c r="K642" s="67">
        <v>740</v>
      </c>
      <c r="L642" s="82">
        <f t="shared" si="44"/>
        <v>110</v>
      </c>
      <c r="M642" s="67">
        <v>240</v>
      </c>
      <c r="N642" s="82"/>
      <c r="O642" s="82">
        <f t="shared" si="41"/>
        <v>500</v>
      </c>
      <c r="P642" s="82">
        <f t="shared" si="42"/>
        <v>110</v>
      </c>
      <c r="Q642" s="67">
        <v>500</v>
      </c>
      <c r="R642" s="82">
        <v>110</v>
      </c>
      <c r="S642" s="67"/>
      <c r="T642" s="82"/>
      <c r="U642" s="67"/>
      <c r="V642" s="82"/>
      <c r="W642" s="82"/>
      <c r="X642" s="82"/>
      <c r="Y642" s="68">
        <v>7</v>
      </c>
      <c r="Z642" s="82"/>
      <c r="AA642" s="69">
        <v>44378</v>
      </c>
      <c r="AB642" s="74"/>
      <c r="AC642" s="75"/>
      <c r="AD642" s="70" t="s">
        <v>0</v>
      </c>
    </row>
    <row r="643" spans="1:30" s="76" customFormat="1" ht="37.5">
      <c r="A643" s="82">
        <f>+SUBTOTAL(3,$B$7:B643)</f>
        <v>637</v>
      </c>
      <c r="B643" s="82" t="s">
        <v>444</v>
      </c>
      <c r="C643" s="82" t="s">
        <v>111</v>
      </c>
      <c r="D643" s="66" t="s">
        <v>286</v>
      </c>
      <c r="E643" s="82">
        <v>2</v>
      </c>
      <c r="F643" s="67">
        <v>505355617</v>
      </c>
      <c r="G643" s="66" t="s">
        <v>1365</v>
      </c>
      <c r="H643" s="66" t="s">
        <v>1366</v>
      </c>
      <c r="I643" s="66" t="s">
        <v>10</v>
      </c>
      <c r="J643" s="82" t="s">
        <v>66</v>
      </c>
      <c r="K643" s="67">
        <v>800</v>
      </c>
      <c r="L643" s="82">
        <f t="shared" si="44"/>
        <v>0</v>
      </c>
      <c r="M643" s="67">
        <v>300</v>
      </c>
      <c r="N643" s="82"/>
      <c r="O643" s="82">
        <f t="shared" si="41"/>
        <v>500</v>
      </c>
      <c r="P643" s="82">
        <f t="shared" si="42"/>
        <v>0</v>
      </c>
      <c r="Q643" s="67">
        <v>500</v>
      </c>
      <c r="R643" s="82"/>
      <c r="S643" s="67"/>
      <c r="T643" s="82"/>
      <c r="U643" s="67"/>
      <c r="V643" s="82"/>
      <c r="W643" s="82"/>
      <c r="X643" s="82"/>
      <c r="Y643" s="68">
        <v>15</v>
      </c>
      <c r="Z643" s="82"/>
      <c r="AA643" s="69">
        <v>44550</v>
      </c>
      <c r="AB643" s="74"/>
      <c r="AC643" s="75"/>
      <c r="AD643" s="70" t="s">
        <v>445</v>
      </c>
    </row>
    <row r="644" spans="1:30" s="76" customFormat="1" ht="37.5">
      <c r="A644" s="82">
        <f>+SUBTOTAL(3,$B$7:B644)</f>
        <v>638</v>
      </c>
      <c r="B644" s="82" t="s">
        <v>444</v>
      </c>
      <c r="C644" s="82" t="s">
        <v>111</v>
      </c>
      <c r="D644" s="66" t="s">
        <v>286</v>
      </c>
      <c r="E644" s="82">
        <v>2</v>
      </c>
      <c r="F644" s="67">
        <v>306373014</v>
      </c>
      <c r="G644" s="66" t="s">
        <v>1367</v>
      </c>
      <c r="H644" s="66" t="s">
        <v>1368</v>
      </c>
      <c r="I644" s="66" t="s">
        <v>6</v>
      </c>
      <c r="J644" s="82" t="s">
        <v>12</v>
      </c>
      <c r="K644" s="67">
        <v>1300</v>
      </c>
      <c r="L644" s="82">
        <f t="shared" si="44"/>
        <v>0</v>
      </c>
      <c r="M644" s="67">
        <v>300</v>
      </c>
      <c r="N644" s="82"/>
      <c r="O644" s="82">
        <f t="shared" si="41"/>
        <v>1000</v>
      </c>
      <c r="P644" s="82">
        <f t="shared" si="42"/>
        <v>0</v>
      </c>
      <c r="Q644" s="67">
        <v>1000</v>
      </c>
      <c r="R644" s="82"/>
      <c r="S644" s="67"/>
      <c r="T644" s="82"/>
      <c r="U644" s="67"/>
      <c r="V644" s="82"/>
      <c r="W644" s="82"/>
      <c r="X644" s="82"/>
      <c r="Y644" s="68">
        <v>7</v>
      </c>
      <c r="Z644" s="82"/>
      <c r="AA644" s="69">
        <v>44348</v>
      </c>
      <c r="AB644" s="74"/>
      <c r="AC644" s="75"/>
      <c r="AD644" s="70" t="s">
        <v>445</v>
      </c>
    </row>
    <row r="645" spans="1:30" s="76" customFormat="1" ht="37.5">
      <c r="A645" s="82">
        <f>+SUBTOTAL(3,$B$7:B645)</f>
        <v>639</v>
      </c>
      <c r="B645" s="82" t="s">
        <v>444</v>
      </c>
      <c r="C645" s="82" t="s">
        <v>111</v>
      </c>
      <c r="D645" s="66" t="s">
        <v>286</v>
      </c>
      <c r="E645" s="82">
        <v>4</v>
      </c>
      <c r="F645" s="67">
        <v>206651240</v>
      </c>
      <c r="G645" s="66" t="s">
        <v>1369</v>
      </c>
      <c r="H645" s="66" t="s">
        <v>1370</v>
      </c>
      <c r="I645" s="66" t="s">
        <v>9</v>
      </c>
      <c r="J645" s="82" t="s">
        <v>47</v>
      </c>
      <c r="K645" s="67">
        <v>600</v>
      </c>
      <c r="L645" s="82">
        <f t="shared" si="44"/>
        <v>300</v>
      </c>
      <c r="M645" s="67">
        <v>100</v>
      </c>
      <c r="N645" s="82">
        <v>100</v>
      </c>
      <c r="O645" s="82">
        <f t="shared" si="41"/>
        <v>500</v>
      </c>
      <c r="P645" s="82">
        <f t="shared" si="42"/>
        <v>200</v>
      </c>
      <c r="Q645" s="67">
        <v>500</v>
      </c>
      <c r="R645" s="82">
        <v>200</v>
      </c>
      <c r="S645" s="67"/>
      <c r="T645" s="82"/>
      <c r="U645" s="67"/>
      <c r="V645" s="82"/>
      <c r="W645" s="82"/>
      <c r="X645" s="82"/>
      <c r="Y645" s="68">
        <v>4</v>
      </c>
      <c r="Z645" s="82">
        <v>2</v>
      </c>
      <c r="AA645" s="69">
        <v>44470</v>
      </c>
      <c r="AB645" s="74">
        <v>44134</v>
      </c>
      <c r="AC645" s="75" t="s">
        <v>1970</v>
      </c>
      <c r="AD645" s="70" t="s">
        <v>0</v>
      </c>
    </row>
    <row r="646" spans="1:30" s="76" customFormat="1" ht="37.5">
      <c r="A646" s="82">
        <f>+SUBTOTAL(3,$B$7:B646)</f>
        <v>640</v>
      </c>
      <c r="B646" s="82" t="s">
        <v>444</v>
      </c>
      <c r="C646" s="82" t="s">
        <v>111</v>
      </c>
      <c r="D646" s="66" t="s">
        <v>286</v>
      </c>
      <c r="E646" s="82">
        <v>3</v>
      </c>
      <c r="F646" s="67">
        <v>409291215</v>
      </c>
      <c r="G646" s="66" t="s">
        <v>1371</v>
      </c>
      <c r="H646" s="66" t="s">
        <v>290</v>
      </c>
      <c r="I646" s="66" t="s">
        <v>10</v>
      </c>
      <c r="J646" s="82" t="s">
        <v>30</v>
      </c>
      <c r="K646" s="67">
        <v>1800</v>
      </c>
      <c r="L646" s="82">
        <f t="shared" si="44"/>
        <v>1800</v>
      </c>
      <c r="M646" s="67">
        <v>800</v>
      </c>
      <c r="N646" s="82"/>
      <c r="O646" s="82">
        <f t="shared" si="41"/>
        <v>1000</v>
      </c>
      <c r="P646" s="82">
        <f t="shared" si="42"/>
        <v>1800</v>
      </c>
      <c r="Q646" s="67">
        <v>1000</v>
      </c>
      <c r="R646" s="82">
        <v>1800</v>
      </c>
      <c r="S646" s="67">
        <v>0</v>
      </c>
      <c r="T646" s="82"/>
      <c r="U646" s="67">
        <v>0</v>
      </c>
      <c r="V646" s="82"/>
      <c r="W646" s="82"/>
      <c r="X646" s="82"/>
      <c r="Y646" s="68">
        <v>15</v>
      </c>
      <c r="Z646" s="82"/>
      <c r="AA646" s="69">
        <v>44470</v>
      </c>
      <c r="AB646" s="74"/>
      <c r="AC646" s="75"/>
      <c r="AD646" s="70" t="s">
        <v>445</v>
      </c>
    </row>
    <row r="647" spans="1:30" s="76" customFormat="1" ht="37.5">
      <c r="A647" s="82">
        <f>+SUBTOTAL(3,$B$7:B647)</f>
        <v>641</v>
      </c>
      <c r="B647" s="82" t="s">
        <v>444</v>
      </c>
      <c r="C647" s="82" t="s">
        <v>111</v>
      </c>
      <c r="D647" s="66" t="s">
        <v>286</v>
      </c>
      <c r="E647" s="82">
        <v>3</v>
      </c>
      <c r="F647" s="67">
        <v>300070981</v>
      </c>
      <c r="G647" s="66" t="s">
        <v>1372</v>
      </c>
      <c r="H647" s="66" t="s">
        <v>1373</v>
      </c>
      <c r="I647" s="66" t="s">
        <v>10</v>
      </c>
      <c r="J647" s="82" t="s">
        <v>59</v>
      </c>
      <c r="K647" s="67">
        <v>2000</v>
      </c>
      <c r="L647" s="82">
        <f t="shared" si="44"/>
        <v>0</v>
      </c>
      <c r="M647" s="67">
        <v>2000</v>
      </c>
      <c r="N647" s="82"/>
      <c r="O647" s="82">
        <f t="shared" ref="O647:O710" si="45">+Q647+S647*10.2</f>
        <v>0</v>
      </c>
      <c r="P647" s="82">
        <f t="shared" ref="P647:P710" si="46">+R647+T647*10.2</f>
        <v>0</v>
      </c>
      <c r="Q647" s="67"/>
      <c r="R647" s="82"/>
      <c r="S647" s="67"/>
      <c r="T647" s="82"/>
      <c r="U647" s="67"/>
      <c r="V647" s="82"/>
      <c r="W647" s="82"/>
      <c r="X647" s="82"/>
      <c r="Y647" s="68">
        <v>4</v>
      </c>
      <c r="Z647" s="82"/>
      <c r="AA647" s="69">
        <v>44440</v>
      </c>
      <c r="AB647" s="74"/>
      <c r="AC647" s="75"/>
      <c r="AD647" s="70" t="s">
        <v>33</v>
      </c>
    </row>
    <row r="648" spans="1:30" s="76" customFormat="1" ht="37.5">
      <c r="A648" s="82">
        <f>+SUBTOTAL(3,$B$7:B648)</f>
        <v>642</v>
      </c>
      <c r="B648" s="82" t="s">
        <v>444</v>
      </c>
      <c r="C648" s="82" t="s">
        <v>111</v>
      </c>
      <c r="D648" s="66" t="s">
        <v>286</v>
      </c>
      <c r="E648" s="82">
        <v>3</v>
      </c>
      <c r="F648" s="67">
        <v>300070981</v>
      </c>
      <c r="G648" s="66" t="s">
        <v>1372</v>
      </c>
      <c r="H648" s="66" t="s">
        <v>1374</v>
      </c>
      <c r="I648" s="66" t="s">
        <v>9</v>
      </c>
      <c r="J648" s="82" t="s">
        <v>47</v>
      </c>
      <c r="K648" s="67">
        <v>3000</v>
      </c>
      <c r="L648" s="82">
        <f t="shared" si="44"/>
        <v>0</v>
      </c>
      <c r="M648" s="67">
        <v>3000</v>
      </c>
      <c r="N648" s="82"/>
      <c r="O648" s="82">
        <f t="shared" si="45"/>
        <v>0</v>
      </c>
      <c r="P648" s="82">
        <f t="shared" si="46"/>
        <v>0</v>
      </c>
      <c r="Q648" s="67"/>
      <c r="R648" s="82"/>
      <c r="S648" s="67"/>
      <c r="T648" s="82"/>
      <c r="U648" s="67"/>
      <c r="V648" s="82"/>
      <c r="W648" s="82"/>
      <c r="X648" s="82"/>
      <c r="Y648" s="68">
        <v>30</v>
      </c>
      <c r="Z648" s="82"/>
      <c r="AA648" s="18">
        <v>44501</v>
      </c>
      <c r="AB648" s="74"/>
      <c r="AC648" s="75"/>
      <c r="AD648" s="70" t="s">
        <v>33</v>
      </c>
    </row>
    <row r="649" spans="1:30" s="76" customFormat="1" ht="37.5">
      <c r="A649" s="82">
        <f>+SUBTOTAL(3,$B$7:B649)</f>
        <v>643</v>
      </c>
      <c r="B649" s="82" t="s">
        <v>444</v>
      </c>
      <c r="C649" s="82" t="s">
        <v>111</v>
      </c>
      <c r="D649" s="66" t="s">
        <v>286</v>
      </c>
      <c r="E649" s="82">
        <v>3</v>
      </c>
      <c r="F649" s="67">
        <v>306914503</v>
      </c>
      <c r="G649" s="66" t="s">
        <v>1375</v>
      </c>
      <c r="H649" s="66" t="s">
        <v>131</v>
      </c>
      <c r="I649" s="66" t="s">
        <v>9</v>
      </c>
      <c r="J649" s="82" t="s">
        <v>37</v>
      </c>
      <c r="K649" s="67">
        <v>2700</v>
      </c>
      <c r="L649" s="82">
        <f t="shared" si="44"/>
        <v>1000</v>
      </c>
      <c r="M649" s="67">
        <v>700</v>
      </c>
      <c r="N649" s="82"/>
      <c r="O649" s="82">
        <f t="shared" si="45"/>
        <v>2000</v>
      </c>
      <c r="P649" s="82">
        <f t="shared" si="46"/>
        <v>1000</v>
      </c>
      <c r="Q649" s="67">
        <v>2000</v>
      </c>
      <c r="R649" s="82">
        <v>1000</v>
      </c>
      <c r="S649" s="67"/>
      <c r="T649" s="82"/>
      <c r="U649" s="67"/>
      <c r="V649" s="82"/>
      <c r="W649" s="82"/>
      <c r="X649" s="82"/>
      <c r="Y649" s="68">
        <v>12</v>
      </c>
      <c r="Z649" s="82"/>
      <c r="AA649" s="69">
        <v>44348</v>
      </c>
      <c r="AB649" s="74"/>
      <c r="AC649" s="75"/>
      <c r="AD649" s="70" t="s">
        <v>1</v>
      </c>
    </row>
    <row r="650" spans="1:30" s="76" customFormat="1" ht="37.5">
      <c r="A650" s="82">
        <f>+SUBTOTAL(3,$B$7:B650)</f>
        <v>644</v>
      </c>
      <c r="B650" s="82" t="s">
        <v>444</v>
      </c>
      <c r="C650" s="82" t="s">
        <v>111</v>
      </c>
      <c r="D650" s="66" t="s">
        <v>286</v>
      </c>
      <c r="E650" s="82">
        <v>1</v>
      </c>
      <c r="F650" s="67">
        <v>205605090</v>
      </c>
      <c r="G650" s="66" t="s">
        <v>1376</v>
      </c>
      <c r="H650" s="66" t="s">
        <v>1254</v>
      </c>
      <c r="I650" s="66" t="s">
        <v>10</v>
      </c>
      <c r="J650" s="82" t="s">
        <v>30</v>
      </c>
      <c r="K650" s="67">
        <v>2000</v>
      </c>
      <c r="L650" s="82">
        <f t="shared" si="44"/>
        <v>0</v>
      </c>
      <c r="M650" s="67">
        <v>500</v>
      </c>
      <c r="N650" s="82"/>
      <c r="O650" s="82">
        <f t="shared" si="45"/>
        <v>1500</v>
      </c>
      <c r="P650" s="82">
        <f t="shared" si="46"/>
        <v>0</v>
      </c>
      <c r="Q650" s="67">
        <v>1500</v>
      </c>
      <c r="R650" s="82"/>
      <c r="S650" s="67"/>
      <c r="T650" s="82"/>
      <c r="U650" s="67"/>
      <c r="V650" s="82"/>
      <c r="W650" s="82"/>
      <c r="X650" s="82"/>
      <c r="Y650" s="68">
        <v>15</v>
      </c>
      <c r="Z650" s="82"/>
      <c r="AA650" s="69">
        <v>44440</v>
      </c>
      <c r="AB650" s="74"/>
      <c r="AC650" s="75"/>
      <c r="AD650" s="70" t="s">
        <v>460</v>
      </c>
    </row>
    <row r="651" spans="1:30" s="76" customFormat="1" ht="37.5">
      <c r="A651" s="82">
        <f>+SUBTOTAL(3,$B$7:B651)</f>
        <v>645</v>
      </c>
      <c r="B651" s="82" t="s">
        <v>444</v>
      </c>
      <c r="C651" s="82" t="s">
        <v>111</v>
      </c>
      <c r="D651" s="66" t="s">
        <v>286</v>
      </c>
      <c r="E651" s="82">
        <v>4</v>
      </c>
      <c r="F651" s="67">
        <v>202072284</v>
      </c>
      <c r="G651" s="66" t="s">
        <v>1377</v>
      </c>
      <c r="H651" s="66" t="s">
        <v>1378</v>
      </c>
      <c r="I651" s="66" t="s">
        <v>6</v>
      </c>
      <c r="J651" s="82" t="s">
        <v>12</v>
      </c>
      <c r="K651" s="67">
        <v>700</v>
      </c>
      <c r="L651" s="82">
        <f t="shared" si="44"/>
        <v>85</v>
      </c>
      <c r="M651" s="67">
        <v>200</v>
      </c>
      <c r="N651" s="82"/>
      <c r="O651" s="82">
        <f t="shared" si="45"/>
        <v>500</v>
      </c>
      <c r="P651" s="82">
        <f t="shared" si="46"/>
        <v>85</v>
      </c>
      <c r="Q651" s="67">
        <v>500</v>
      </c>
      <c r="R651" s="82">
        <v>85</v>
      </c>
      <c r="S651" s="67"/>
      <c r="T651" s="82"/>
      <c r="U651" s="67"/>
      <c r="V651" s="82"/>
      <c r="W651" s="82"/>
      <c r="X651" s="82"/>
      <c r="Y651" s="68">
        <v>4</v>
      </c>
      <c r="Z651" s="82"/>
      <c r="AA651" s="69">
        <v>44317</v>
      </c>
      <c r="AB651" s="74"/>
      <c r="AC651" s="75"/>
      <c r="AD651" s="70" t="s">
        <v>33</v>
      </c>
    </row>
    <row r="652" spans="1:30" s="76" customFormat="1" ht="37.5">
      <c r="A652" s="82">
        <f>+SUBTOTAL(3,$B$7:B652)</f>
        <v>646</v>
      </c>
      <c r="B652" s="82" t="s">
        <v>444</v>
      </c>
      <c r="C652" s="82" t="s">
        <v>111</v>
      </c>
      <c r="D652" s="66" t="s">
        <v>286</v>
      </c>
      <c r="E652" s="82">
        <v>4</v>
      </c>
      <c r="F652" s="67">
        <v>202072284</v>
      </c>
      <c r="G652" s="66" t="s">
        <v>1377</v>
      </c>
      <c r="H652" s="66" t="s">
        <v>1379</v>
      </c>
      <c r="I652" s="66" t="s">
        <v>6</v>
      </c>
      <c r="J652" s="82" t="s">
        <v>13</v>
      </c>
      <c r="K652" s="67">
        <v>700</v>
      </c>
      <c r="L652" s="82">
        <f t="shared" si="44"/>
        <v>15</v>
      </c>
      <c r="M652" s="67">
        <v>200</v>
      </c>
      <c r="N652" s="82"/>
      <c r="O652" s="82">
        <f t="shared" si="45"/>
        <v>500</v>
      </c>
      <c r="P652" s="82">
        <f t="shared" si="46"/>
        <v>15</v>
      </c>
      <c r="Q652" s="67">
        <v>500</v>
      </c>
      <c r="R652" s="82">
        <v>15</v>
      </c>
      <c r="S652" s="67"/>
      <c r="T652" s="82"/>
      <c r="U652" s="67"/>
      <c r="V652" s="82"/>
      <c r="W652" s="82"/>
      <c r="X652" s="82"/>
      <c r="Y652" s="68">
        <v>4</v>
      </c>
      <c r="Z652" s="82"/>
      <c r="AA652" s="69">
        <v>44440</v>
      </c>
      <c r="AB652" s="74"/>
      <c r="AC652" s="75"/>
      <c r="AD652" s="70" t="s">
        <v>33</v>
      </c>
    </row>
    <row r="653" spans="1:30" s="76" customFormat="1" ht="37.5">
      <c r="A653" s="82">
        <f>+SUBTOTAL(3,$B$7:B653)</f>
        <v>647</v>
      </c>
      <c r="B653" s="82" t="s">
        <v>444</v>
      </c>
      <c r="C653" s="82" t="s">
        <v>111</v>
      </c>
      <c r="D653" s="66" t="s">
        <v>286</v>
      </c>
      <c r="E653" s="82">
        <v>2</v>
      </c>
      <c r="F653" s="67">
        <v>200483028</v>
      </c>
      <c r="G653" s="66" t="s">
        <v>1380</v>
      </c>
      <c r="H653" s="66" t="s">
        <v>1381</v>
      </c>
      <c r="I653" s="66" t="s">
        <v>9</v>
      </c>
      <c r="J653" s="82" t="s">
        <v>38</v>
      </c>
      <c r="K653" s="67">
        <v>500</v>
      </c>
      <c r="L653" s="82">
        <f t="shared" si="44"/>
        <v>502</v>
      </c>
      <c r="M653" s="67">
        <v>300</v>
      </c>
      <c r="N653" s="82">
        <v>300</v>
      </c>
      <c r="O653" s="82">
        <f t="shared" si="45"/>
        <v>200</v>
      </c>
      <c r="P653" s="82">
        <f t="shared" si="46"/>
        <v>202</v>
      </c>
      <c r="Q653" s="67">
        <v>200</v>
      </c>
      <c r="R653" s="82">
        <v>202</v>
      </c>
      <c r="S653" s="67"/>
      <c r="T653" s="82"/>
      <c r="U653" s="67"/>
      <c r="V653" s="82"/>
      <c r="W653" s="82"/>
      <c r="X653" s="82"/>
      <c r="Y653" s="68">
        <v>3</v>
      </c>
      <c r="Z653" s="82">
        <v>2</v>
      </c>
      <c r="AA653" s="69">
        <v>44378</v>
      </c>
      <c r="AB653" s="74">
        <v>44134</v>
      </c>
      <c r="AC653" s="75" t="s">
        <v>1973</v>
      </c>
      <c r="AD653" s="70" t="s">
        <v>0</v>
      </c>
    </row>
    <row r="654" spans="1:30" s="76" customFormat="1" ht="37.5">
      <c r="A654" s="82">
        <f>+SUBTOTAL(3,$B$7:B654)</f>
        <v>648</v>
      </c>
      <c r="B654" s="82" t="s">
        <v>444</v>
      </c>
      <c r="C654" s="82" t="s">
        <v>111</v>
      </c>
      <c r="D654" s="66" t="s">
        <v>286</v>
      </c>
      <c r="E654" s="82">
        <v>1</v>
      </c>
      <c r="F654" s="67">
        <v>304715166</v>
      </c>
      <c r="G654" s="66" t="s">
        <v>1382</v>
      </c>
      <c r="H654" s="66" t="s">
        <v>136</v>
      </c>
      <c r="I654" s="66" t="s">
        <v>9</v>
      </c>
      <c r="J654" s="82" t="s">
        <v>36</v>
      </c>
      <c r="K654" s="67">
        <v>4075</v>
      </c>
      <c r="L654" s="82">
        <f t="shared" si="44"/>
        <v>0</v>
      </c>
      <c r="M654" s="67">
        <v>1500</v>
      </c>
      <c r="N654" s="82"/>
      <c r="O654" s="82">
        <f t="shared" si="45"/>
        <v>2550</v>
      </c>
      <c r="P654" s="82">
        <f t="shared" si="46"/>
        <v>0</v>
      </c>
      <c r="Q654" s="67"/>
      <c r="R654" s="82"/>
      <c r="S654" s="67">
        <v>250</v>
      </c>
      <c r="T654" s="82"/>
      <c r="U654" s="67">
        <v>0</v>
      </c>
      <c r="V654" s="82"/>
      <c r="W654" s="82"/>
      <c r="X654" s="82"/>
      <c r="Y654" s="68">
        <v>3</v>
      </c>
      <c r="Z654" s="82"/>
      <c r="AA654" s="69">
        <v>44531</v>
      </c>
      <c r="AB654" s="74"/>
      <c r="AC654" s="75"/>
      <c r="AD654" s="70" t="s">
        <v>445</v>
      </c>
    </row>
    <row r="655" spans="1:30" s="76" customFormat="1" ht="56.25">
      <c r="A655" s="82">
        <f>+SUBTOTAL(3,$B$7:B655)</f>
        <v>649</v>
      </c>
      <c r="B655" s="82" t="s">
        <v>444</v>
      </c>
      <c r="C655" s="82" t="s">
        <v>111</v>
      </c>
      <c r="D655" s="66" t="s">
        <v>286</v>
      </c>
      <c r="E655" s="82">
        <v>1</v>
      </c>
      <c r="F655" s="67">
        <v>306997908</v>
      </c>
      <c r="G655" s="66" t="s">
        <v>1383</v>
      </c>
      <c r="H655" s="66" t="s">
        <v>1384</v>
      </c>
      <c r="I655" s="66" t="s">
        <v>9</v>
      </c>
      <c r="J655" s="82" t="s">
        <v>41</v>
      </c>
      <c r="K655" s="67">
        <v>750</v>
      </c>
      <c r="L655" s="82">
        <f t="shared" si="44"/>
        <v>0</v>
      </c>
      <c r="M655" s="67">
        <v>250</v>
      </c>
      <c r="N655" s="82"/>
      <c r="O655" s="82">
        <f t="shared" si="45"/>
        <v>500</v>
      </c>
      <c r="P655" s="82">
        <f t="shared" si="46"/>
        <v>0</v>
      </c>
      <c r="Q655" s="67">
        <v>500</v>
      </c>
      <c r="R655" s="82"/>
      <c r="S655" s="67"/>
      <c r="T655" s="82"/>
      <c r="U655" s="67"/>
      <c r="V655" s="82"/>
      <c r="W655" s="82"/>
      <c r="X655" s="82"/>
      <c r="Y655" s="68">
        <v>5</v>
      </c>
      <c r="Z655" s="82"/>
      <c r="AA655" s="69">
        <v>44531</v>
      </c>
      <c r="AB655" s="74"/>
      <c r="AC655" s="75"/>
      <c r="AD655" s="70" t="s">
        <v>445</v>
      </c>
    </row>
    <row r="656" spans="1:30" s="76" customFormat="1" ht="37.5">
      <c r="A656" s="82">
        <f>+SUBTOTAL(3,$B$7:B656)</f>
        <v>650</v>
      </c>
      <c r="B656" s="82" t="s">
        <v>444</v>
      </c>
      <c r="C656" s="82" t="s">
        <v>111</v>
      </c>
      <c r="D656" s="66" t="s">
        <v>286</v>
      </c>
      <c r="E656" s="82">
        <v>3</v>
      </c>
      <c r="F656" s="67">
        <v>615796582</v>
      </c>
      <c r="G656" s="66" t="s">
        <v>1385</v>
      </c>
      <c r="H656" s="66" t="s">
        <v>1386</v>
      </c>
      <c r="I656" s="66" t="s">
        <v>9</v>
      </c>
      <c r="J656" s="82" t="s">
        <v>47</v>
      </c>
      <c r="K656" s="67">
        <v>700</v>
      </c>
      <c r="L656" s="82">
        <f t="shared" si="44"/>
        <v>0</v>
      </c>
      <c r="M656" s="67">
        <v>200</v>
      </c>
      <c r="N656" s="82"/>
      <c r="O656" s="82">
        <f t="shared" si="45"/>
        <v>500</v>
      </c>
      <c r="P656" s="82">
        <f t="shared" si="46"/>
        <v>0</v>
      </c>
      <c r="Q656" s="67">
        <v>500</v>
      </c>
      <c r="R656" s="82"/>
      <c r="S656" s="67"/>
      <c r="T656" s="82"/>
      <c r="U656" s="67"/>
      <c r="V656" s="82"/>
      <c r="W656" s="82"/>
      <c r="X656" s="82"/>
      <c r="Y656" s="68">
        <v>3</v>
      </c>
      <c r="Z656" s="82"/>
      <c r="AA656" s="69">
        <v>44652</v>
      </c>
      <c r="AB656" s="74"/>
      <c r="AC656" s="75"/>
      <c r="AD656" s="70" t="s">
        <v>445</v>
      </c>
    </row>
    <row r="657" spans="1:30" s="76" customFormat="1" ht="37.5">
      <c r="A657" s="82">
        <f>+SUBTOTAL(3,$B$7:B657)</f>
        <v>651</v>
      </c>
      <c r="B657" s="82" t="s">
        <v>444</v>
      </c>
      <c r="C657" s="82" t="s">
        <v>111</v>
      </c>
      <c r="D657" s="66" t="s">
        <v>286</v>
      </c>
      <c r="E657" s="82">
        <v>3</v>
      </c>
      <c r="F657" s="67">
        <v>615796582</v>
      </c>
      <c r="G657" s="66" t="s">
        <v>1385</v>
      </c>
      <c r="H657" s="66" t="s">
        <v>1378</v>
      </c>
      <c r="I657" s="66" t="s">
        <v>6</v>
      </c>
      <c r="J657" s="82" t="s">
        <v>12</v>
      </c>
      <c r="K657" s="67">
        <v>500</v>
      </c>
      <c r="L657" s="82">
        <f t="shared" si="44"/>
        <v>0</v>
      </c>
      <c r="M657" s="67">
        <v>200</v>
      </c>
      <c r="N657" s="82"/>
      <c r="O657" s="82">
        <f t="shared" si="45"/>
        <v>300</v>
      </c>
      <c r="P657" s="82">
        <f t="shared" si="46"/>
        <v>0</v>
      </c>
      <c r="Q657" s="67">
        <v>300</v>
      </c>
      <c r="R657" s="82"/>
      <c r="S657" s="67"/>
      <c r="T657" s="82"/>
      <c r="U657" s="67"/>
      <c r="V657" s="82"/>
      <c r="W657" s="82"/>
      <c r="X657" s="82"/>
      <c r="Y657" s="68">
        <v>4</v>
      </c>
      <c r="Z657" s="82"/>
      <c r="AA657" s="18">
        <v>44682</v>
      </c>
      <c r="AB657" s="74"/>
      <c r="AC657" s="75"/>
      <c r="AD657" s="70" t="s">
        <v>445</v>
      </c>
    </row>
    <row r="658" spans="1:30" s="76" customFormat="1" ht="37.5">
      <c r="A658" s="82">
        <f>+SUBTOTAL(3,$B$7:B658)</f>
        <v>652</v>
      </c>
      <c r="B658" s="82" t="s">
        <v>444</v>
      </c>
      <c r="C658" s="82" t="s">
        <v>111</v>
      </c>
      <c r="D658" s="66" t="s">
        <v>286</v>
      </c>
      <c r="E658" s="82">
        <v>3</v>
      </c>
      <c r="F658" s="67">
        <v>615796582</v>
      </c>
      <c r="G658" s="66" t="s">
        <v>1385</v>
      </c>
      <c r="H658" s="66" t="s">
        <v>568</v>
      </c>
      <c r="I658" s="66" t="s">
        <v>10</v>
      </c>
      <c r="J658" s="82" t="s">
        <v>59</v>
      </c>
      <c r="K658" s="67">
        <v>450</v>
      </c>
      <c r="L658" s="82">
        <f t="shared" si="44"/>
        <v>0</v>
      </c>
      <c r="M658" s="67">
        <v>200</v>
      </c>
      <c r="N658" s="82"/>
      <c r="O658" s="82">
        <f t="shared" si="45"/>
        <v>250</v>
      </c>
      <c r="P658" s="82">
        <f t="shared" si="46"/>
        <v>0</v>
      </c>
      <c r="Q658" s="67">
        <v>250</v>
      </c>
      <c r="R658" s="82"/>
      <c r="S658" s="67"/>
      <c r="T658" s="82"/>
      <c r="U658" s="67"/>
      <c r="V658" s="82"/>
      <c r="W658" s="82"/>
      <c r="X658" s="82"/>
      <c r="Y658" s="68">
        <v>4</v>
      </c>
      <c r="Z658" s="82"/>
      <c r="AA658" s="69">
        <v>44652</v>
      </c>
      <c r="AB658" s="74"/>
      <c r="AC658" s="75"/>
      <c r="AD658" s="70" t="s">
        <v>445</v>
      </c>
    </row>
    <row r="659" spans="1:30" s="76" customFormat="1" ht="37.5">
      <c r="A659" s="82">
        <f>+SUBTOTAL(3,$B$7:B659)</f>
        <v>653</v>
      </c>
      <c r="B659" s="82" t="s">
        <v>444</v>
      </c>
      <c r="C659" s="82" t="s">
        <v>111</v>
      </c>
      <c r="D659" s="66" t="s">
        <v>286</v>
      </c>
      <c r="E659" s="82">
        <v>4</v>
      </c>
      <c r="F659" s="67">
        <v>306912284</v>
      </c>
      <c r="G659" s="66" t="s">
        <v>1387</v>
      </c>
      <c r="H659" s="66" t="s">
        <v>1388</v>
      </c>
      <c r="I659" s="66" t="s">
        <v>6</v>
      </c>
      <c r="J659" s="82" t="s">
        <v>12</v>
      </c>
      <c r="K659" s="67">
        <v>3499.0000000000005</v>
      </c>
      <c r="L659" s="82">
        <f t="shared" si="44"/>
        <v>3365.9999999999995</v>
      </c>
      <c r="M659" s="67">
        <v>100</v>
      </c>
      <c r="N659" s="82"/>
      <c r="O659" s="82">
        <f t="shared" si="45"/>
        <v>3365.9999999999995</v>
      </c>
      <c r="P659" s="82">
        <f t="shared" si="46"/>
        <v>3365.9999999999995</v>
      </c>
      <c r="Q659" s="67"/>
      <c r="R659" s="82"/>
      <c r="S659" s="67">
        <v>330</v>
      </c>
      <c r="T659" s="82">
        <v>330</v>
      </c>
      <c r="U659" s="67"/>
      <c r="V659" s="82"/>
      <c r="W659" s="82"/>
      <c r="X659" s="82"/>
      <c r="Y659" s="68">
        <v>15</v>
      </c>
      <c r="Z659" s="82"/>
      <c r="AA659" s="18">
        <v>44317</v>
      </c>
      <c r="AB659" s="74"/>
      <c r="AC659" s="75"/>
      <c r="AD659" s="70" t="s">
        <v>543</v>
      </c>
    </row>
    <row r="660" spans="1:30" s="76" customFormat="1" ht="37.5">
      <c r="A660" s="82">
        <f>+SUBTOTAL(3,$B$7:B660)</f>
        <v>654</v>
      </c>
      <c r="B660" s="82" t="s">
        <v>444</v>
      </c>
      <c r="C660" s="82" t="s">
        <v>111</v>
      </c>
      <c r="D660" s="66" t="s">
        <v>286</v>
      </c>
      <c r="E660" s="82">
        <v>4</v>
      </c>
      <c r="F660" s="67">
        <v>305415784</v>
      </c>
      <c r="G660" s="66" t="s">
        <v>1389</v>
      </c>
      <c r="H660" s="66" t="s">
        <v>237</v>
      </c>
      <c r="I660" s="66" t="s">
        <v>6</v>
      </c>
      <c r="J660" s="82" t="s">
        <v>13</v>
      </c>
      <c r="K660" s="67">
        <v>750</v>
      </c>
      <c r="L660" s="82">
        <f t="shared" si="44"/>
        <v>0</v>
      </c>
      <c r="M660" s="67">
        <v>250</v>
      </c>
      <c r="N660" s="82"/>
      <c r="O660" s="82">
        <f t="shared" si="45"/>
        <v>500</v>
      </c>
      <c r="P660" s="82">
        <f t="shared" si="46"/>
        <v>0</v>
      </c>
      <c r="Q660" s="67">
        <v>500</v>
      </c>
      <c r="R660" s="82"/>
      <c r="S660" s="67"/>
      <c r="T660" s="82"/>
      <c r="U660" s="67"/>
      <c r="V660" s="82"/>
      <c r="W660" s="82"/>
      <c r="X660" s="82"/>
      <c r="Y660" s="68">
        <v>4</v>
      </c>
      <c r="Z660" s="82"/>
      <c r="AA660" s="69">
        <v>44470</v>
      </c>
      <c r="AB660" s="74"/>
      <c r="AC660" s="75"/>
      <c r="AD660" s="70" t="s">
        <v>445</v>
      </c>
    </row>
    <row r="661" spans="1:30" s="76" customFormat="1" ht="37.5">
      <c r="A661" s="82">
        <f>+SUBTOTAL(3,$B$7:B661)</f>
        <v>655</v>
      </c>
      <c r="B661" s="82" t="s">
        <v>444</v>
      </c>
      <c r="C661" s="82" t="s">
        <v>111</v>
      </c>
      <c r="D661" s="66" t="s">
        <v>286</v>
      </c>
      <c r="E661" s="82">
        <v>4</v>
      </c>
      <c r="F661" s="67">
        <v>302585552</v>
      </c>
      <c r="G661" s="66" t="s">
        <v>1390</v>
      </c>
      <c r="H661" s="66" t="s">
        <v>1391</v>
      </c>
      <c r="I661" s="66" t="s">
        <v>10</v>
      </c>
      <c r="J661" s="82" t="s">
        <v>60</v>
      </c>
      <c r="K661" s="67">
        <v>1200</v>
      </c>
      <c r="L661" s="82">
        <f t="shared" si="44"/>
        <v>400</v>
      </c>
      <c r="M661" s="67">
        <v>700</v>
      </c>
      <c r="N661" s="82"/>
      <c r="O661" s="82">
        <f t="shared" si="45"/>
        <v>500</v>
      </c>
      <c r="P661" s="82">
        <f t="shared" si="46"/>
        <v>400</v>
      </c>
      <c r="Q661" s="67">
        <v>500</v>
      </c>
      <c r="R661" s="82">
        <v>400</v>
      </c>
      <c r="S661" s="67"/>
      <c r="T661" s="82"/>
      <c r="U661" s="67"/>
      <c r="V661" s="82"/>
      <c r="W661" s="82"/>
      <c r="X661" s="82"/>
      <c r="Y661" s="68">
        <v>10</v>
      </c>
      <c r="Z661" s="82"/>
      <c r="AA661" s="69">
        <v>44287</v>
      </c>
      <c r="AB661" s="74"/>
      <c r="AC661" s="75"/>
      <c r="AD661" s="70" t="s">
        <v>445</v>
      </c>
    </row>
    <row r="662" spans="1:30" s="76" customFormat="1" ht="37.5">
      <c r="A662" s="82">
        <f>+SUBTOTAL(3,$B$7:B662)</f>
        <v>656</v>
      </c>
      <c r="B662" s="82" t="s">
        <v>444</v>
      </c>
      <c r="C662" s="82" t="s">
        <v>111</v>
      </c>
      <c r="D662" s="66" t="s">
        <v>286</v>
      </c>
      <c r="E662" s="82">
        <v>1</v>
      </c>
      <c r="F662" s="67">
        <v>207200792</v>
      </c>
      <c r="G662" s="66" t="s">
        <v>1392</v>
      </c>
      <c r="H662" s="66" t="s">
        <v>1393</v>
      </c>
      <c r="I662" s="66" t="s">
        <v>10</v>
      </c>
      <c r="J662" s="82" t="s">
        <v>44</v>
      </c>
      <c r="K662" s="67">
        <v>1500</v>
      </c>
      <c r="L662" s="82">
        <f t="shared" si="44"/>
        <v>500</v>
      </c>
      <c r="M662" s="67">
        <v>1000</v>
      </c>
      <c r="N662" s="82"/>
      <c r="O662" s="82">
        <f t="shared" si="45"/>
        <v>500</v>
      </c>
      <c r="P662" s="82">
        <f t="shared" si="46"/>
        <v>500</v>
      </c>
      <c r="Q662" s="67">
        <v>500</v>
      </c>
      <c r="R662" s="82">
        <v>500</v>
      </c>
      <c r="S662" s="67"/>
      <c r="T662" s="82"/>
      <c r="U662" s="67"/>
      <c r="V662" s="82"/>
      <c r="W662" s="82"/>
      <c r="X662" s="82"/>
      <c r="Y662" s="68">
        <v>6</v>
      </c>
      <c r="Z662" s="82"/>
      <c r="AA662" s="69">
        <v>44287</v>
      </c>
      <c r="AB662" s="74"/>
      <c r="AC662" s="75"/>
      <c r="AD662" s="70" t="s">
        <v>445</v>
      </c>
    </row>
    <row r="663" spans="1:30" s="76" customFormat="1" ht="37.5">
      <c r="A663" s="82">
        <f>+SUBTOTAL(3,$B$7:B663)</f>
        <v>657</v>
      </c>
      <c r="B663" s="82" t="s">
        <v>444</v>
      </c>
      <c r="C663" s="82" t="s">
        <v>111</v>
      </c>
      <c r="D663" s="66" t="s">
        <v>286</v>
      </c>
      <c r="E663" s="82">
        <v>4</v>
      </c>
      <c r="F663" s="67">
        <v>305162737</v>
      </c>
      <c r="G663" s="66" t="s">
        <v>1394</v>
      </c>
      <c r="H663" s="66" t="s">
        <v>1395</v>
      </c>
      <c r="I663" s="66" t="s">
        <v>9</v>
      </c>
      <c r="J663" s="82" t="s">
        <v>38</v>
      </c>
      <c r="K663" s="67">
        <v>1500</v>
      </c>
      <c r="L663" s="82">
        <f t="shared" si="44"/>
        <v>0</v>
      </c>
      <c r="M663" s="67">
        <v>500</v>
      </c>
      <c r="N663" s="82"/>
      <c r="O663" s="82">
        <f t="shared" si="45"/>
        <v>1000</v>
      </c>
      <c r="P663" s="82">
        <f t="shared" si="46"/>
        <v>0</v>
      </c>
      <c r="Q663" s="67">
        <v>1000</v>
      </c>
      <c r="R663" s="82"/>
      <c r="S663" s="67"/>
      <c r="T663" s="82"/>
      <c r="U663" s="67"/>
      <c r="V663" s="82"/>
      <c r="W663" s="82"/>
      <c r="X663" s="82"/>
      <c r="Y663" s="68">
        <v>2</v>
      </c>
      <c r="Z663" s="82"/>
      <c r="AA663" s="69">
        <v>44896</v>
      </c>
      <c r="AB663" s="74"/>
      <c r="AC663" s="75"/>
      <c r="AD663" s="70" t="s">
        <v>445</v>
      </c>
    </row>
    <row r="664" spans="1:30" s="76" customFormat="1" ht="37.5">
      <c r="A664" s="82">
        <f>+SUBTOTAL(3,$B$7:B664)</f>
        <v>658</v>
      </c>
      <c r="B664" s="82" t="s">
        <v>444</v>
      </c>
      <c r="C664" s="82" t="s">
        <v>111</v>
      </c>
      <c r="D664" s="66" t="s">
        <v>286</v>
      </c>
      <c r="E664" s="82">
        <v>2</v>
      </c>
      <c r="F664" s="67">
        <v>307399811</v>
      </c>
      <c r="G664" s="66" t="s">
        <v>1396</v>
      </c>
      <c r="H664" s="66" t="s">
        <v>1397</v>
      </c>
      <c r="I664" s="66" t="s">
        <v>9</v>
      </c>
      <c r="J664" s="82" t="s">
        <v>36</v>
      </c>
      <c r="K664" s="67">
        <v>300</v>
      </c>
      <c r="L664" s="82">
        <f t="shared" si="44"/>
        <v>210</v>
      </c>
      <c r="M664" s="67">
        <v>150</v>
      </c>
      <c r="N664" s="82"/>
      <c r="O664" s="82">
        <f t="shared" si="45"/>
        <v>150</v>
      </c>
      <c r="P664" s="82">
        <f t="shared" si="46"/>
        <v>210</v>
      </c>
      <c r="Q664" s="67">
        <v>150</v>
      </c>
      <c r="R664" s="82">
        <v>210</v>
      </c>
      <c r="S664" s="67"/>
      <c r="T664" s="82"/>
      <c r="U664" s="67"/>
      <c r="V664" s="82"/>
      <c r="W664" s="82"/>
      <c r="X664" s="82"/>
      <c r="Y664" s="68">
        <v>2</v>
      </c>
      <c r="Z664" s="82"/>
      <c r="AA664" s="69">
        <v>44501</v>
      </c>
      <c r="AB664" s="74"/>
      <c r="AC664" s="75"/>
      <c r="AD664" s="70" t="s">
        <v>445</v>
      </c>
    </row>
    <row r="665" spans="1:30" s="76" customFormat="1" ht="37.5">
      <c r="A665" s="82">
        <f>+SUBTOTAL(3,$B$7:B665)</f>
        <v>659</v>
      </c>
      <c r="B665" s="82" t="s">
        <v>444</v>
      </c>
      <c r="C665" s="82" t="s">
        <v>111</v>
      </c>
      <c r="D665" s="66" t="s">
        <v>286</v>
      </c>
      <c r="E665" s="82">
        <v>3</v>
      </c>
      <c r="F665" s="67">
        <v>307105654</v>
      </c>
      <c r="G665" s="66" t="s">
        <v>1398</v>
      </c>
      <c r="H665" s="66" t="s">
        <v>1399</v>
      </c>
      <c r="I665" s="66" t="s">
        <v>10</v>
      </c>
      <c r="J665" s="82" t="s">
        <v>45</v>
      </c>
      <c r="K665" s="67">
        <v>1600</v>
      </c>
      <c r="L665" s="82">
        <f t="shared" si="44"/>
        <v>0</v>
      </c>
      <c r="M665" s="67">
        <v>300</v>
      </c>
      <c r="N665" s="82"/>
      <c r="O665" s="82">
        <f t="shared" si="45"/>
        <v>1300</v>
      </c>
      <c r="P665" s="82">
        <f t="shared" si="46"/>
        <v>0</v>
      </c>
      <c r="Q665" s="67">
        <v>1300</v>
      </c>
      <c r="R665" s="82"/>
      <c r="S665" s="67"/>
      <c r="T665" s="82"/>
      <c r="U665" s="67"/>
      <c r="V665" s="82"/>
      <c r="W665" s="82"/>
      <c r="X665" s="82"/>
      <c r="Y665" s="68">
        <v>2</v>
      </c>
      <c r="Z665" s="82"/>
      <c r="AA665" s="69">
        <v>44531</v>
      </c>
      <c r="AB665" s="74"/>
      <c r="AC665" s="75"/>
      <c r="AD665" s="70" t="s">
        <v>445</v>
      </c>
    </row>
    <row r="666" spans="1:30" s="76" customFormat="1" ht="56.25">
      <c r="A666" s="82">
        <f>+SUBTOTAL(3,$B$7:B666)</f>
        <v>660</v>
      </c>
      <c r="B666" s="82" t="s">
        <v>444</v>
      </c>
      <c r="C666" s="82" t="s">
        <v>111</v>
      </c>
      <c r="D666" s="66" t="s">
        <v>286</v>
      </c>
      <c r="E666" s="82">
        <v>3</v>
      </c>
      <c r="F666" s="67">
        <v>307369706</v>
      </c>
      <c r="G666" s="66" t="s">
        <v>1400</v>
      </c>
      <c r="H666" s="66" t="s">
        <v>1401</v>
      </c>
      <c r="I666" s="66" t="s">
        <v>6</v>
      </c>
      <c r="J666" s="82" t="s">
        <v>12</v>
      </c>
      <c r="K666" s="67">
        <v>750</v>
      </c>
      <c r="L666" s="82">
        <f t="shared" si="44"/>
        <v>0</v>
      </c>
      <c r="M666" s="67">
        <v>250</v>
      </c>
      <c r="N666" s="82"/>
      <c r="O666" s="82">
        <f t="shared" si="45"/>
        <v>500</v>
      </c>
      <c r="P666" s="82">
        <f t="shared" si="46"/>
        <v>0</v>
      </c>
      <c r="Q666" s="67">
        <v>500</v>
      </c>
      <c r="R666" s="82"/>
      <c r="S666" s="67"/>
      <c r="T666" s="82"/>
      <c r="U666" s="67"/>
      <c r="V666" s="82"/>
      <c r="W666" s="82"/>
      <c r="X666" s="82"/>
      <c r="Y666" s="68">
        <v>2</v>
      </c>
      <c r="Z666" s="82"/>
      <c r="AA666" s="69">
        <v>44531</v>
      </c>
      <c r="AB666" s="74"/>
      <c r="AC666" s="75"/>
      <c r="AD666" s="70" t="s">
        <v>445</v>
      </c>
    </row>
    <row r="667" spans="1:30" s="76" customFormat="1" ht="37.5">
      <c r="A667" s="82">
        <f>+SUBTOTAL(3,$B$7:B667)</f>
        <v>661</v>
      </c>
      <c r="B667" s="82" t="s">
        <v>444</v>
      </c>
      <c r="C667" s="82" t="s">
        <v>111</v>
      </c>
      <c r="D667" s="66" t="s">
        <v>286</v>
      </c>
      <c r="E667" s="82">
        <v>1</v>
      </c>
      <c r="F667" s="67" t="s">
        <v>1919</v>
      </c>
      <c r="G667" s="66" t="s">
        <v>1402</v>
      </c>
      <c r="H667" s="66" t="s">
        <v>701</v>
      </c>
      <c r="I667" s="66" t="s">
        <v>10</v>
      </c>
      <c r="J667" s="82" t="s">
        <v>30</v>
      </c>
      <c r="K667" s="67">
        <v>500</v>
      </c>
      <c r="L667" s="82">
        <f t="shared" si="44"/>
        <v>250</v>
      </c>
      <c r="M667" s="67">
        <v>100</v>
      </c>
      <c r="N667" s="82">
        <v>100</v>
      </c>
      <c r="O667" s="82">
        <f t="shared" si="45"/>
        <v>400</v>
      </c>
      <c r="P667" s="82">
        <f t="shared" si="46"/>
        <v>150</v>
      </c>
      <c r="Q667" s="67">
        <v>400</v>
      </c>
      <c r="R667" s="82">
        <v>150</v>
      </c>
      <c r="S667" s="67"/>
      <c r="T667" s="82"/>
      <c r="U667" s="67"/>
      <c r="V667" s="82"/>
      <c r="W667" s="82"/>
      <c r="X667" s="82"/>
      <c r="Y667" s="68">
        <v>6</v>
      </c>
      <c r="Z667" s="82">
        <v>6</v>
      </c>
      <c r="AA667" s="69">
        <v>44166</v>
      </c>
      <c r="AB667" s="74">
        <v>44155</v>
      </c>
      <c r="AC667" s="75" t="s">
        <v>1958</v>
      </c>
      <c r="AD667" s="70" t="s">
        <v>7</v>
      </c>
    </row>
    <row r="668" spans="1:30" s="76" customFormat="1" ht="37.5">
      <c r="A668" s="82">
        <f>+SUBTOTAL(3,$B$7:B668)</f>
        <v>662</v>
      </c>
      <c r="B668" s="82" t="s">
        <v>444</v>
      </c>
      <c r="C668" s="82" t="s">
        <v>111</v>
      </c>
      <c r="D668" s="66" t="s">
        <v>286</v>
      </c>
      <c r="E668" s="82">
        <v>2</v>
      </c>
      <c r="F668" s="67">
        <v>306488764</v>
      </c>
      <c r="G668" s="66" t="s">
        <v>1976</v>
      </c>
      <c r="H668" s="66" t="s">
        <v>568</v>
      </c>
      <c r="I668" s="66" t="s">
        <v>10</v>
      </c>
      <c r="J668" s="82" t="s">
        <v>59</v>
      </c>
      <c r="K668" s="67">
        <v>2000</v>
      </c>
      <c r="L668" s="82">
        <f t="shared" si="44"/>
        <v>1250</v>
      </c>
      <c r="M668" s="67">
        <v>500</v>
      </c>
      <c r="N668" s="82">
        <v>500</v>
      </c>
      <c r="O668" s="82">
        <f t="shared" si="45"/>
        <v>1500</v>
      </c>
      <c r="P668" s="82">
        <f t="shared" si="46"/>
        <v>750</v>
      </c>
      <c r="Q668" s="67">
        <v>1500</v>
      </c>
      <c r="R668" s="82">
        <v>750</v>
      </c>
      <c r="S668" s="67"/>
      <c r="T668" s="82"/>
      <c r="U668" s="67"/>
      <c r="V668" s="82"/>
      <c r="W668" s="82"/>
      <c r="X668" s="82"/>
      <c r="Y668" s="68">
        <v>10</v>
      </c>
      <c r="Z668" s="82">
        <v>8</v>
      </c>
      <c r="AA668" s="69">
        <v>44166</v>
      </c>
      <c r="AB668" s="74">
        <v>44160</v>
      </c>
      <c r="AC668" s="75" t="s">
        <v>1903</v>
      </c>
      <c r="AD668" s="70" t="s">
        <v>7</v>
      </c>
    </row>
    <row r="669" spans="1:30" s="76" customFormat="1" ht="37.5">
      <c r="A669" s="82">
        <f>+SUBTOTAL(3,$B$7:B669)</f>
        <v>663</v>
      </c>
      <c r="B669" s="82" t="s">
        <v>444</v>
      </c>
      <c r="C669" s="82" t="s">
        <v>111</v>
      </c>
      <c r="D669" s="66" t="s">
        <v>286</v>
      </c>
      <c r="E669" s="82">
        <v>2</v>
      </c>
      <c r="F669" s="67">
        <v>202987933</v>
      </c>
      <c r="G669" s="66" t="s">
        <v>1403</v>
      </c>
      <c r="H669" s="66" t="s">
        <v>1370</v>
      </c>
      <c r="I669" s="66" t="s">
        <v>9</v>
      </c>
      <c r="J669" s="82" t="s">
        <v>47</v>
      </c>
      <c r="K669" s="67">
        <v>700</v>
      </c>
      <c r="L669" s="82">
        <f t="shared" si="44"/>
        <v>130</v>
      </c>
      <c r="M669" s="67">
        <v>200</v>
      </c>
      <c r="N669" s="82"/>
      <c r="O669" s="82">
        <f t="shared" si="45"/>
        <v>500</v>
      </c>
      <c r="P669" s="82">
        <f t="shared" si="46"/>
        <v>130</v>
      </c>
      <c r="Q669" s="67">
        <v>500</v>
      </c>
      <c r="R669" s="82">
        <v>130</v>
      </c>
      <c r="S669" s="67"/>
      <c r="T669" s="82"/>
      <c r="U669" s="67"/>
      <c r="V669" s="82"/>
      <c r="W669" s="82"/>
      <c r="X669" s="82"/>
      <c r="Y669" s="68">
        <v>5</v>
      </c>
      <c r="Z669" s="82"/>
      <c r="AA669" s="69">
        <v>44470</v>
      </c>
      <c r="AB669" s="74"/>
      <c r="AC669" s="75"/>
      <c r="AD669" s="70" t="s">
        <v>7</v>
      </c>
    </row>
    <row r="670" spans="1:30" s="76" customFormat="1" ht="37.5">
      <c r="A670" s="82">
        <f>+SUBTOTAL(3,$B$7:B670)</f>
        <v>664</v>
      </c>
      <c r="B670" s="82" t="s">
        <v>444</v>
      </c>
      <c r="C670" s="82" t="s">
        <v>111</v>
      </c>
      <c r="D670" s="66" t="s">
        <v>286</v>
      </c>
      <c r="E670" s="82">
        <v>3</v>
      </c>
      <c r="F670" s="67">
        <v>306060017</v>
      </c>
      <c r="G670" s="66" t="s">
        <v>1404</v>
      </c>
      <c r="H670" s="66" t="s">
        <v>439</v>
      </c>
      <c r="I670" s="66" t="s">
        <v>10</v>
      </c>
      <c r="J670" s="82" t="s">
        <v>45</v>
      </c>
      <c r="K670" s="67">
        <v>1400</v>
      </c>
      <c r="L670" s="82">
        <f t="shared" si="44"/>
        <v>0</v>
      </c>
      <c r="M670" s="67">
        <v>300</v>
      </c>
      <c r="N670" s="82"/>
      <c r="O670" s="82">
        <f t="shared" si="45"/>
        <v>1100</v>
      </c>
      <c r="P670" s="82">
        <f t="shared" si="46"/>
        <v>0</v>
      </c>
      <c r="Q670" s="67">
        <v>1100</v>
      </c>
      <c r="R670" s="82"/>
      <c r="S670" s="67"/>
      <c r="T670" s="82"/>
      <c r="U670" s="67"/>
      <c r="V670" s="82"/>
      <c r="W670" s="82"/>
      <c r="X670" s="82"/>
      <c r="Y670" s="68">
        <v>2</v>
      </c>
      <c r="Z670" s="82"/>
      <c r="AA670" s="69">
        <v>44531</v>
      </c>
      <c r="AB670" s="74"/>
      <c r="AC670" s="75"/>
      <c r="AD670" s="70" t="s">
        <v>445</v>
      </c>
    </row>
    <row r="671" spans="1:30" s="76" customFormat="1" ht="37.5">
      <c r="A671" s="82">
        <f>+SUBTOTAL(3,$B$7:B671)</f>
        <v>665</v>
      </c>
      <c r="B671" s="82" t="s">
        <v>444</v>
      </c>
      <c r="C671" s="82" t="s">
        <v>111</v>
      </c>
      <c r="D671" s="66" t="s">
        <v>286</v>
      </c>
      <c r="E671" s="82">
        <v>1</v>
      </c>
      <c r="F671" s="67">
        <v>306029400</v>
      </c>
      <c r="G671" s="66" t="s">
        <v>440</v>
      </c>
      <c r="H671" s="66" t="s">
        <v>439</v>
      </c>
      <c r="I671" s="66" t="s">
        <v>10</v>
      </c>
      <c r="J671" s="82" t="s">
        <v>45</v>
      </c>
      <c r="K671" s="67">
        <v>1550</v>
      </c>
      <c r="L671" s="82">
        <v>1561</v>
      </c>
      <c r="M671" s="67">
        <v>800</v>
      </c>
      <c r="N671" s="82">
        <v>800</v>
      </c>
      <c r="O671" s="82">
        <f t="shared" si="45"/>
        <v>750</v>
      </c>
      <c r="P671" s="82">
        <f t="shared" si="46"/>
        <v>744.59999999999991</v>
      </c>
      <c r="Q671" s="67">
        <v>750</v>
      </c>
      <c r="R671" s="82"/>
      <c r="S671" s="67"/>
      <c r="T671" s="82">
        <v>73</v>
      </c>
      <c r="U671" s="67"/>
      <c r="V671" s="82"/>
      <c r="W671" s="82"/>
      <c r="X671" s="82"/>
      <c r="Y671" s="68">
        <v>3</v>
      </c>
      <c r="Z671" s="82">
        <v>3</v>
      </c>
      <c r="AA671" s="69">
        <v>44166</v>
      </c>
      <c r="AB671" s="74">
        <v>44158</v>
      </c>
      <c r="AC671" s="75" t="s">
        <v>1899</v>
      </c>
      <c r="AD671" s="70" t="s">
        <v>446</v>
      </c>
    </row>
    <row r="672" spans="1:30" s="76" customFormat="1" ht="37.5">
      <c r="A672" s="82">
        <f>+SUBTOTAL(3,$B$7:B672)</f>
        <v>666</v>
      </c>
      <c r="B672" s="82" t="s">
        <v>444</v>
      </c>
      <c r="C672" s="82" t="s">
        <v>111</v>
      </c>
      <c r="D672" s="66" t="s">
        <v>286</v>
      </c>
      <c r="E672" s="82">
        <v>1</v>
      </c>
      <c r="F672" s="67">
        <v>307391127</v>
      </c>
      <c r="G672" s="66" t="s">
        <v>1405</v>
      </c>
      <c r="H672" s="66" t="s">
        <v>1406</v>
      </c>
      <c r="I672" s="66" t="s">
        <v>10</v>
      </c>
      <c r="J672" s="82" t="s">
        <v>44</v>
      </c>
      <c r="K672" s="67">
        <v>50000</v>
      </c>
      <c r="L672" s="82">
        <f t="shared" ref="L672:L703" si="47">+N672+R672+T672*10.2+V672*10.2</f>
        <v>0</v>
      </c>
      <c r="M672" s="67">
        <v>25000</v>
      </c>
      <c r="N672" s="82"/>
      <c r="O672" s="82">
        <f t="shared" si="45"/>
        <v>25000</v>
      </c>
      <c r="P672" s="82">
        <f t="shared" si="46"/>
        <v>0</v>
      </c>
      <c r="Q672" s="67">
        <v>25000</v>
      </c>
      <c r="R672" s="82"/>
      <c r="S672" s="67"/>
      <c r="T672" s="82"/>
      <c r="U672" s="67"/>
      <c r="V672" s="82"/>
      <c r="W672" s="82"/>
      <c r="X672" s="82"/>
      <c r="Y672" s="68">
        <v>80</v>
      </c>
      <c r="Z672" s="82"/>
      <c r="AA672" s="69">
        <v>44713</v>
      </c>
      <c r="AB672" s="74"/>
      <c r="AC672" s="75"/>
      <c r="AD672" s="70" t="s">
        <v>543</v>
      </c>
    </row>
    <row r="673" spans="1:30" s="76" customFormat="1" ht="37.5">
      <c r="A673" s="82">
        <f>+SUBTOTAL(3,$B$7:B673)</f>
        <v>667</v>
      </c>
      <c r="B673" s="82" t="s">
        <v>444</v>
      </c>
      <c r="C673" s="82" t="s">
        <v>111</v>
      </c>
      <c r="D673" s="66" t="s">
        <v>286</v>
      </c>
      <c r="E673" s="82">
        <v>1</v>
      </c>
      <c r="F673" s="67">
        <v>302859068</v>
      </c>
      <c r="G673" s="66" t="s">
        <v>2089</v>
      </c>
      <c r="H673" s="66" t="s">
        <v>1407</v>
      </c>
      <c r="I673" s="66" t="s">
        <v>6</v>
      </c>
      <c r="J673" s="82" t="s">
        <v>12</v>
      </c>
      <c r="K673" s="67">
        <v>21600</v>
      </c>
      <c r="L673" s="82">
        <f t="shared" si="47"/>
        <v>10200</v>
      </c>
      <c r="M673" s="67">
        <v>1000</v>
      </c>
      <c r="N673" s="82"/>
      <c r="O673" s="82">
        <f t="shared" si="45"/>
        <v>20400</v>
      </c>
      <c r="P673" s="82">
        <f t="shared" si="46"/>
        <v>10200</v>
      </c>
      <c r="Q673" s="67"/>
      <c r="R673" s="82"/>
      <c r="S673" s="67">
        <v>2000</v>
      </c>
      <c r="T673" s="82">
        <v>1000</v>
      </c>
      <c r="U673" s="67"/>
      <c r="V673" s="82"/>
      <c r="W673" s="82"/>
      <c r="X673" s="82"/>
      <c r="Y673" s="68">
        <v>15</v>
      </c>
      <c r="Z673" s="82"/>
      <c r="AA673" s="18">
        <v>44256</v>
      </c>
      <c r="AB673" s="74"/>
      <c r="AC673" s="75"/>
      <c r="AD673" s="70" t="s">
        <v>543</v>
      </c>
    </row>
    <row r="674" spans="1:30" s="76" customFormat="1" ht="37.5">
      <c r="A674" s="82">
        <f>+SUBTOTAL(3,$B$7:B674)</f>
        <v>668</v>
      </c>
      <c r="B674" s="82" t="s">
        <v>444</v>
      </c>
      <c r="C674" s="82" t="s">
        <v>111</v>
      </c>
      <c r="D674" s="66" t="s">
        <v>286</v>
      </c>
      <c r="E674" s="82">
        <v>1</v>
      </c>
      <c r="F674" s="67">
        <v>305682217</v>
      </c>
      <c r="G674" s="66" t="s">
        <v>1968</v>
      </c>
      <c r="H674" s="66" t="s">
        <v>1408</v>
      </c>
      <c r="I674" s="66" t="s">
        <v>10</v>
      </c>
      <c r="J674" s="82" t="s">
        <v>59</v>
      </c>
      <c r="K674" s="67">
        <v>800</v>
      </c>
      <c r="L674" s="82">
        <f t="shared" si="47"/>
        <v>420</v>
      </c>
      <c r="M674" s="67">
        <v>300</v>
      </c>
      <c r="N674" s="82">
        <v>300</v>
      </c>
      <c r="O674" s="82">
        <f t="shared" si="45"/>
        <v>500</v>
      </c>
      <c r="P674" s="82">
        <f t="shared" si="46"/>
        <v>120</v>
      </c>
      <c r="Q674" s="67">
        <v>500</v>
      </c>
      <c r="R674" s="82">
        <v>120</v>
      </c>
      <c r="S674" s="67"/>
      <c r="T674" s="82"/>
      <c r="U674" s="67"/>
      <c r="V674" s="82"/>
      <c r="W674" s="82"/>
      <c r="X674" s="82"/>
      <c r="Y674" s="68">
        <v>5</v>
      </c>
      <c r="Z674" s="82">
        <v>3</v>
      </c>
      <c r="AA674" s="18">
        <v>44440</v>
      </c>
      <c r="AB674" s="74">
        <v>44155</v>
      </c>
      <c r="AC674" s="75" t="s">
        <v>1969</v>
      </c>
      <c r="AD674" s="70" t="s">
        <v>7</v>
      </c>
    </row>
    <row r="675" spans="1:30" s="76" customFormat="1" ht="37.5">
      <c r="A675" s="82">
        <f>+SUBTOTAL(3,$B$7:B675)</f>
        <v>669</v>
      </c>
      <c r="B675" s="82" t="s">
        <v>444</v>
      </c>
      <c r="C675" s="82" t="s">
        <v>111</v>
      </c>
      <c r="D675" s="66" t="s">
        <v>286</v>
      </c>
      <c r="E675" s="82">
        <v>2</v>
      </c>
      <c r="F675" s="67">
        <v>304511706</v>
      </c>
      <c r="G675" s="66" t="s">
        <v>1409</v>
      </c>
      <c r="H675" s="66" t="s">
        <v>1410</v>
      </c>
      <c r="I675" s="66" t="s">
        <v>9</v>
      </c>
      <c r="J675" s="82" t="s">
        <v>47</v>
      </c>
      <c r="K675" s="67">
        <v>1300</v>
      </c>
      <c r="L675" s="82">
        <f t="shared" si="47"/>
        <v>500</v>
      </c>
      <c r="M675" s="67">
        <v>300</v>
      </c>
      <c r="N675" s="82"/>
      <c r="O675" s="82">
        <f t="shared" si="45"/>
        <v>1000</v>
      </c>
      <c r="P675" s="82">
        <f t="shared" si="46"/>
        <v>500</v>
      </c>
      <c r="Q675" s="67">
        <v>1000</v>
      </c>
      <c r="R675" s="82">
        <v>500</v>
      </c>
      <c r="S675" s="67"/>
      <c r="T675" s="82"/>
      <c r="U675" s="67"/>
      <c r="V675" s="82"/>
      <c r="W675" s="82"/>
      <c r="X675" s="82"/>
      <c r="Y675" s="68">
        <v>4</v>
      </c>
      <c r="Z675" s="82"/>
      <c r="AA675" s="69">
        <v>44409</v>
      </c>
      <c r="AB675" s="74"/>
      <c r="AC675" s="75"/>
      <c r="AD675" s="70" t="s">
        <v>7</v>
      </c>
    </row>
    <row r="676" spans="1:30" s="76" customFormat="1" ht="37.5">
      <c r="A676" s="82">
        <f>+SUBTOTAL(3,$B$7:B676)</f>
        <v>670</v>
      </c>
      <c r="B676" s="82" t="s">
        <v>444</v>
      </c>
      <c r="C676" s="82" t="s">
        <v>111</v>
      </c>
      <c r="D676" s="66" t="s">
        <v>286</v>
      </c>
      <c r="E676" s="82">
        <v>1</v>
      </c>
      <c r="F676" s="67">
        <v>303719222</v>
      </c>
      <c r="G676" s="66" t="s">
        <v>1411</v>
      </c>
      <c r="H676" s="66" t="s">
        <v>1412</v>
      </c>
      <c r="I676" s="66" t="s">
        <v>10</v>
      </c>
      <c r="J676" s="82" t="s">
        <v>58</v>
      </c>
      <c r="K676" s="67">
        <v>4200</v>
      </c>
      <c r="L676" s="82">
        <f t="shared" si="47"/>
        <v>1800</v>
      </c>
      <c r="M676" s="67">
        <v>1000</v>
      </c>
      <c r="N676" s="82">
        <v>1000</v>
      </c>
      <c r="O676" s="82">
        <f t="shared" si="45"/>
        <v>3200</v>
      </c>
      <c r="P676" s="82">
        <f t="shared" si="46"/>
        <v>800</v>
      </c>
      <c r="Q676" s="67">
        <v>3200</v>
      </c>
      <c r="R676" s="82">
        <v>800</v>
      </c>
      <c r="S676" s="67"/>
      <c r="T676" s="82"/>
      <c r="U676" s="67"/>
      <c r="V676" s="82"/>
      <c r="W676" s="82"/>
      <c r="X676" s="82"/>
      <c r="Y676" s="68">
        <v>10</v>
      </c>
      <c r="Z676" s="82">
        <v>5</v>
      </c>
      <c r="AA676" s="69">
        <v>44409</v>
      </c>
      <c r="AB676" s="74">
        <v>44155</v>
      </c>
      <c r="AC676" s="75" t="s">
        <v>1900</v>
      </c>
      <c r="AD676" s="70" t="s">
        <v>7</v>
      </c>
    </row>
    <row r="677" spans="1:30" s="76" customFormat="1" ht="37.5">
      <c r="A677" s="82">
        <f>+SUBTOTAL(3,$B$7:B677)</f>
        <v>671</v>
      </c>
      <c r="B677" s="82" t="s">
        <v>444</v>
      </c>
      <c r="C677" s="82" t="s">
        <v>111</v>
      </c>
      <c r="D677" s="66" t="s">
        <v>286</v>
      </c>
      <c r="E677" s="82">
        <v>3</v>
      </c>
      <c r="F677" s="67">
        <v>304477416</v>
      </c>
      <c r="G677" s="66" t="s">
        <v>295</v>
      </c>
      <c r="H677" s="66" t="s">
        <v>296</v>
      </c>
      <c r="I677" s="66" t="s">
        <v>9</v>
      </c>
      <c r="J677" s="82" t="s">
        <v>47</v>
      </c>
      <c r="K677" s="67">
        <v>9500</v>
      </c>
      <c r="L677" s="82">
        <f t="shared" si="47"/>
        <v>0</v>
      </c>
      <c r="M677" s="67">
        <v>9500</v>
      </c>
      <c r="N677" s="82"/>
      <c r="O677" s="82">
        <f t="shared" si="45"/>
        <v>0</v>
      </c>
      <c r="P677" s="82">
        <f t="shared" si="46"/>
        <v>0</v>
      </c>
      <c r="Q677" s="67"/>
      <c r="R677" s="82"/>
      <c r="S677" s="67"/>
      <c r="T677" s="82"/>
      <c r="U677" s="67"/>
      <c r="V677" s="82"/>
      <c r="W677" s="82"/>
      <c r="X677" s="82"/>
      <c r="Y677" s="68">
        <v>50</v>
      </c>
      <c r="Z677" s="82"/>
      <c r="AA677" s="18">
        <v>44531</v>
      </c>
      <c r="AB677" s="74"/>
      <c r="AC677" s="75"/>
      <c r="AD677" s="70" t="s">
        <v>477</v>
      </c>
    </row>
    <row r="678" spans="1:30" s="76" customFormat="1" ht="37.5">
      <c r="A678" s="82">
        <f>+SUBTOTAL(3,$B$7:B678)</f>
        <v>672</v>
      </c>
      <c r="B678" s="82" t="s">
        <v>444</v>
      </c>
      <c r="C678" s="82" t="s">
        <v>111</v>
      </c>
      <c r="D678" s="66" t="s">
        <v>286</v>
      </c>
      <c r="E678" s="82">
        <v>1</v>
      </c>
      <c r="F678" s="67">
        <v>490085503</v>
      </c>
      <c r="G678" s="66" t="s">
        <v>1413</v>
      </c>
      <c r="H678" s="66" t="s">
        <v>1414</v>
      </c>
      <c r="I678" s="66" t="s">
        <v>10</v>
      </c>
      <c r="J678" s="82" t="s">
        <v>44</v>
      </c>
      <c r="K678" s="67">
        <v>1200</v>
      </c>
      <c r="L678" s="82">
        <f t="shared" si="47"/>
        <v>0</v>
      </c>
      <c r="M678" s="67">
        <v>900</v>
      </c>
      <c r="N678" s="82"/>
      <c r="O678" s="82">
        <f t="shared" si="45"/>
        <v>300</v>
      </c>
      <c r="P678" s="82">
        <f t="shared" si="46"/>
        <v>0</v>
      </c>
      <c r="Q678" s="67">
        <v>300</v>
      </c>
      <c r="R678" s="82"/>
      <c r="S678" s="67">
        <v>0</v>
      </c>
      <c r="T678" s="82"/>
      <c r="U678" s="67"/>
      <c r="V678" s="82"/>
      <c r="W678" s="82"/>
      <c r="X678" s="82"/>
      <c r="Y678" s="68">
        <v>4</v>
      </c>
      <c r="Z678" s="82"/>
      <c r="AA678" s="69">
        <v>44540</v>
      </c>
      <c r="AB678" s="74"/>
      <c r="AC678" s="75"/>
      <c r="AD678" s="70" t="s">
        <v>445</v>
      </c>
    </row>
    <row r="679" spans="1:30" s="76" customFormat="1" ht="37.5">
      <c r="A679" s="82">
        <f>+SUBTOTAL(3,$B$7:B679)</f>
        <v>673</v>
      </c>
      <c r="B679" s="82" t="s">
        <v>444</v>
      </c>
      <c r="C679" s="82" t="s">
        <v>111</v>
      </c>
      <c r="D679" s="66" t="s">
        <v>286</v>
      </c>
      <c r="E679" s="82">
        <v>1</v>
      </c>
      <c r="F679" s="67">
        <v>304715166</v>
      </c>
      <c r="G679" s="66" t="s">
        <v>1415</v>
      </c>
      <c r="H679" s="66" t="s">
        <v>1416</v>
      </c>
      <c r="I679" s="66" t="s">
        <v>10</v>
      </c>
      <c r="J679" s="82" t="s">
        <v>30</v>
      </c>
      <c r="K679" s="67">
        <v>800</v>
      </c>
      <c r="L679" s="82">
        <f t="shared" si="47"/>
        <v>0</v>
      </c>
      <c r="M679" s="67">
        <v>300</v>
      </c>
      <c r="N679" s="82"/>
      <c r="O679" s="82">
        <f t="shared" si="45"/>
        <v>500</v>
      </c>
      <c r="P679" s="82">
        <f t="shared" si="46"/>
        <v>0</v>
      </c>
      <c r="Q679" s="67">
        <v>500</v>
      </c>
      <c r="R679" s="82"/>
      <c r="S679" s="67">
        <v>0</v>
      </c>
      <c r="T679" s="82"/>
      <c r="U679" s="67"/>
      <c r="V679" s="82"/>
      <c r="W679" s="82"/>
      <c r="X679" s="82"/>
      <c r="Y679" s="68">
        <v>3</v>
      </c>
      <c r="Z679" s="82"/>
      <c r="AA679" s="69">
        <v>44256</v>
      </c>
      <c r="AB679" s="74"/>
      <c r="AC679" s="75"/>
      <c r="AD679" s="70" t="s">
        <v>33</v>
      </c>
    </row>
    <row r="680" spans="1:30" s="76" customFormat="1" ht="37.5">
      <c r="A680" s="82">
        <f>+SUBTOTAL(3,$B$7:B680)</f>
        <v>674</v>
      </c>
      <c r="B680" s="82" t="s">
        <v>444</v>
      </c>
      <c r="C680" s="82" t="s">
        <v>111</v>
      </c>
      <c r="D680" s="66" t="s">
        <v>286</v>
      </c>
      <c r="E680" s="82">
        <v>1</v>
      </c>
      <c r="F680" s="67">
        <v>304506670</v>
      </c>
      <c r="G680" s="66" t="s">
        <v>1417</v>
      </c>
      <c r="H680" s="66" t="s">
        <v>1418</v>
      </c>
      <c r="I680" s="66" t="s">
        <v>10</v>
      </c>
      <c r="J680" s="82" t="s">
        <v>44</v>
      </c>
      <c r="K680" s="67">
        <v>1100</v>
      </c>
      <c r="L680" s="82">
        <f t="shared" si="47"/>
        <v>0</v>
      </c>
      <c r="M680" s="67">
        <v>300</v>
      </c>
      <c r="N680" s="82"/>
      <c r="O680" s="82">
        <f t="shared" si="45"/>
        <v>800</v>
      </c>
      <c r="P680" s="82">
        <f t="shared" si="46"/>
        <v>0</v>
      </c>
      <c r="Q680" s="67">
        <v>800</v>
      </c>
      <c r="R680" s="82"/>
      <c r="S680" s="67">
        <v>0</v>
      </c>
      <c r="T680" s="82"/>
      <c r="U680" s="67"/>
      <c r="V680" s="82"/>
      <c r="W680" s="82"/>
      <c r="X680" s="82"/>
      <c r="Y680" s="68">
        <v>3</v>
      </c>
      <c r="Z680" s="82"/>
      <c r="AA680" s="69">
        <v>44378</v>
      </c>
      <c r="AB680" s="74"/>
      <c r="AC680" s="75"/>
      <c r="AD680" s="70" t="s">
        <v>33</v>
      </c>
    </row>
    <row r="681" spans="1:30" s="76" customFormat="1" ht="37.5">
      <c r="A681" s="82">
        <f>+SUBTOTAL(3,$B$7:B681)</f>
        <v>675</v>
      </c>
      <c r="B681" s="82" t="s">
        <v>444</v>
      </c>
      <c r="C681" s="82" t="s">
        <v>111</v>
      </c>
      <c r="D681" s="66" t="s">
        <v>286</v>
      </c>
      <c r="E681" s="82">
        <v>3</v>
      </c>
      <c r="F681" s="67">
        <v>305992646</v>
      </c>
      <c r="G681" s="66" t="s">
        <v>297</v>
      </c>
      <c r="H681" s="66" t="s">
        <v>141</v>
      </c>
      <c r="I681" s="66" t="s">
        <v>9</v>
      </c>
      <c r="J681" s="82" t="s">
        <v>40</v>
      </c>
      <c r="K681" s="67">
        <v>1500</v>
      </c>
      <c r="L681" s="82">
        <f t="shared" si="47"/>
        <v>0</v>
      </c>
      <c r="M681" s="67">
        <v>500</v>
      </c>
      <c r="N681" s="82"/>
      <c r="O681" s="82">
        <f t="shared" si="45"/>
        <v>1000</v>
      </c>
      <c r="P681" s="82">
        <f t="shared" si="46"/>
        <v>0</v>
      </c>
      <c r="Q681" s="67">
        <v>1000</v>
      </c>
      <c r="R681" s="82"/>
      <c r="S681" s="67"/>
      <c r="T681" s="82"/>
      <c r="U681" s="67"/>
      <c r="V681" s="82"/>
      <c r="W681" s="82"/>
      <c r="X681" s="82"/>
      <c r="Y681" s="68">
        <v>10</v>
      </c>
      <c r="Z681" s="82"/>
      <c r="AA681" s="69">
        <v>44650</v>
      </c>
      <c r="AB681" s="74"/>
      <c r="AC681" s="75"/>
      <c r="AD681" s="70" t="s">
        <v>3</v>
      </c>
    </row>
    <row r="682" spans="1:30" s="76" customFormat="1" ht="37.5">
      <c r="A682" s="82">
        <f>+SUBTOTAL(3,$B$7:B682)</f>
        <v>676</v>
      </c>
      <c r="B682" s="82" t="s">
        <v>444</v>
      </c>
      <c r="C682" s="82" t="s">
        <v>111</v>
      </c>
      <c r="D682" s="66" t="s">
        <v>286</v>
      </c>
      <c r="E682" s="82">
        <v>1</v>
      </c>
      <c r="F682" s="67">
        <v>307301664</v>
      </c>
      <c r="G682" s="66" t="s">
        <v>1419</v>
      </c>
      <c r="H682" s="66" t="s">
        <v>1420</v>
      </c>
      <c r="I682" s="66" t="s">
        <v>10</v>
      </c>
      <c r="J682" s="82" t="s">
        <v>44</v>
      </c>
      <c r="K682" s="67">
        <v>200</v>
      </c>
      <c r="L682" s="82">
        <f t="shared" si="47"/>
        <v>200</v>
      </c>
      <c r="M682" s="67">
        <v>200</v>
      </c>
      <c r="N682" s="82">
        <v>200</v>
      </c>
      <c r="O682" s="82">
        <f t="shared" si="45"/>
        <v>0</v>
      </c>
      <c r="P682" s="82">
        <f t="shared" si="46"/>
        <v>0</v>
      </c>
      <c r="Q682" s="67"/>
      <c r="R682" s="82"/>
      <c r="S682" s="67"/>
      <c r="T682" s="82"/>
      <c r="U682" s="67"/>
      <c r="V682" s="82"/>
      <c r="W682" s="82"/>
      <c r="X682" s="82"/>
      <c r="Y682" s="68">
        <v>4</v>
      </c>
      <c r="Z682" s="82">
        <v>2</v>
      </c>
      <c r="AA682" s="69">
        <v>44166</v>
      </c>
      <c r="AB682" s="74">
        <v>44170</v>
      </c>
      <c r="AC682" s="75" t="s">
        <v>1904</v>
      </c>
      <c r="AD682" s="70" t="s">
        <v>3</v>
      </c>
    </row>
    <row r="683" spans="1:30" s="76" customFormat="1" ht="37.5">
      <c r="A683" s="82">
        <f>+SUBTOTAL(3,$B$7:B683)</f>
        <v>677</v>
      </c>
      <c r="B683" s="82" t="s">
        <v>444</v>
      </c>
      <c r="C683" s="82" t="s">
        <v>111</v>
      </c>
      <c r="D683" s="66" t="s">
        <v>286</v>
      </c>
      <c r="E683" s="82">
        <v>2</v>
      </c>
      <c r="F683" s="67">
        <v>510213585</v>
      </c>
      <c r="G683" s="66" t="s">
        <v>1421</v>
      </c>
      <c r="H683" s="66" t="s">
        <v>1422</v>
      </c>
      <c r="I683" s="66" t="s">
        <v>10</v>
      </c>
      <c r="J683" s="82" t="s">
        <v>30</v>
      </c>
      <c r="K683" s="67">
        <v>500</v>
      </c>
      <c r="L683" s="82">
        <f t="shared" si="47"/>
        <v>0</v>
      </c>
      <c r="M683" s="67">
        <v>100</v>
      </c>
      <c r="N683" s="82"/>
      <c r="O683" s="82">
        <f t="shared" si="45"/>
        <v>400</v>
      </c>
      <c r="P683" s="82">
        <f t="shared" si="46"/>
        <v>0</v>
      </c>
      <c r="Q683" s="67">
        <v>400</v>
      </c>
      <c r="R683" s="82"/>
      <c r="S683" s="67">
        <v>0</v>
      </c>
      <c r="T683" s="82"/>
      <c r="U683" s="67">
        <v>0</v>
      </c>
      <c r="V683" s="82"/>
      <c r="W683" s="82"/>
      <c r="X683" s="82"/>
      <c r="Y683" s="68">
        <v>2</v>
      </c>
      <c r="Z683" s="82"/>
      <c r="AA683" s="69">
        <v>44540</v>
      </c>
      <c r="AB683" s="74"/>
      <c r="AC683" s="75"/>
      <c r="AD683" s="70" t="s">
        <v>445</v>
      </c>
    </row>
    <row r="684" spans="1:30" s="76" customFormat="1" ht="37.5">
      <c r="A684" s="82">
        <f>+SUBTOTAL(3,$B$7:B684)</f>
        <v>678</v>
      </c>
      <c r="B684" s="82" t="s">
        <v>444</v>
      </c>
      <c r="C684" s="82" t="s">
        <v>111</v>
      </c>
      <c r="D684" s="66" t="s">
        <v>286</v>
      </c>
      <c r="E684" s="82">
        <v>4</v>
      </c>
      <c r="F684" s="67"/>
      <c r="G684" s="66" t="s">
        <v>1423</v>
      </c>
      <c r="H684" s="66" t="s">
        <v>1424</v>
      </c>
      <c r="I684" s="66" t="s">
        <v>9</v>
      </c>
      <c r="J684" s="82" t="s">
        <v>47</v>
      </c>
      <c r="K684" s="67">
        <v>406</v>
      </c>
      <c r="L684" s="82">
        <f t="shared" si="47"/>
        <v>0</v>
      </c>
      <c r="M684" s="67">
        <v>200</v>
      </c>
      <c r="N684" s="82"/>
      <c r="O684" s="82">
        <f t="shared" si="45"/>
        <v>204</v>
      </c>
      <c r="P684" s="82">
        <f t="shared" si="46"/>
        <v>0</v>
      </c>
      <c r="Q684" s="67"/>
      <c r="R684" s="82"/>
      <c r="S684" s="67">
        <v>20</v>
      </c>
      <c r="T684" s="82"/>
      <c r="U684" s="67"/>
      <c r="V684" s="82"/>
      <c r="W684" s="82"/>
      <c r="X684" s="82"/>
      <c r="Y684" s="68">
        <v>10</v>
      </c>
      <c r="Z684" s="82"/>
      <c r="AA684" s="69">
        <v>44531</v>
      </c>
      <c r="AB684" s="74"/>
      <c r="AC684" s="75"/>
      <c r="AD684" s="70" t="s">
        <v>445</v>
      </c>
    </row>
    <row r="685" spans="1:30" s="76" customFormat="1" ht="37.5">
      <c r="A685" s="82">
        <f>+SUBTOTAL(3,$B$7:B685)</f>
        <v>679</v>
      </c>
      <c r="B685" s="82" t="s">
        <v>444</v>
      </c>
      <c r="C685" s="82" t="s">
        <v>111</v>
      </c>
      <c r="D685" s="66" t="s">
        <v>286</v>
      </c>
      <c r="E685" s="82">
        <v>3</v>
      </c>
      <c r="F685" s="67">
        <v>200483724</v>
      </c>
      <c r="G685" s="66" t="s">
        <v>1425</v>
      </c>
      <c r="H685" s="66" t="s">
        <v>1426</v>
      </c>
      <c r="I685" s="66" t="s">
        <v>10</v>
      </c>
      <c r="J685" s="82" t="s">
        <v>59</v>
      </c>
      <c r="K685" s="67">
        <v>1000</v>
      </c>
      <c r="L685" s="82">
        <f t="shared" si="47"/>
        <v>0</v>
      </c>
      <c r="M685" s="67">
        <v>500</v>
      </c>
      <c r="N685" s="82"/>
      <c r="O685" s="82">
        <f t="shared" si="45"/>
        <v>500</v>
      </c>
      <c r="P685" s="82">
        <f t="shared" si="46"/>
        <v>0</v>
      </c>
      <c r="Q685" s="67">
        <v>500</v>
      </c>
      <c r="R685" s="82"/>
      <c r="S685" s="67"/>
      <c r="T685" s="82"/>
      <c r="U685" s="67"/>
      <c r="V685" s="82"/>
      <c r="W685" s="82"/>
      <c r="X685" s="82"/>
      <c r="Y685" s="68">
        <v>20</v>
      </c>
      <c r="Z685" s="82"/>
      <c r="AA685" s="69">
        <v>44531</v>
      </c>
      <c r="AB685" s="74"/>
      <c r="AC685" s="75"/>
      <c r="AD685" s="70" t="s">
        <v>445</v>
      </c>
    </row>
    <row r="686" spans="1:30" s="76" customFormat="1" ht="56.25">
      <c r="A686" s="82">
        <f>+SUBTOTAL(3,$B$7:B686)</f>
        <v>680</v>
      </c>
      <c r="B686" s="82" t="s">
        <v>444</v>
      </c>
      <c r="C686" s="82" t="s">
        <v>111</v>
      </c>
      <c r="D686" s="66" t="s">
        <v>286</v>
      </c>
      <c r="E686" s="82">
        <v>4</v>
      </c>
      <c r="F686" s="67">
        <v>306812844</v>
      </c>
      <c r="G686" s="66" t="s">
        <v>1427</v>
      </c>
      <c r="H686" s="66" t="s">
        <v>1428</v>
      </c>
      <c r="I686" s="66" t="s">
        <v>10</v>
      </c>
      <c r="J686" s="82" t="s">
        <v>66</v>
      </c>
      <c r="K686" s="67">
        <v>2000</v>
      </c>
      <c r="L686" s="82">
        <f t="shared" si="47"/>
        <v>400</v>
      </c>
      <c r="M686" s="67">
        <v>1000</v>
      </c>
      <c r="N686" s="82"/>
      <c r="O686" s="82">
        <f t="shared" si="45"/>
        <v>1000</v>
      </c>
      <c r="P686" s="82">
        <f t="shared" si="46"/>
        <v>400</v>
      </c>
      <c r="Q686" s="67">
        <v>1000</v>
      </c>
      <c r="R686" s="82">
        <v>400</v>
      </c>
      <c r="S686" s="67"/>
      <c r="T686" s="82"/>
      <c r="U686" s="67"/>
      <c r="V686" s="82"/>
      <c r="W686" s="82"/>
      <c r="X686" s="82"/>
      <c r="Y686" s="68">
        <v>11</v>
      </c>
      <c r="Z686" s="82"/>
      <c r="AA686" s="18">
        <v>44531</v>
      </c>
      <c r="AB686" s="74"/>
      <c r="AC686" s="75"/>
      <c r="AD686" s="70" t="s">
        <v>445</v>
      </c>
    </row>
    <row r="687" spans="1:30" s="76" customFormat="1" ht="93.75">
      <c r="A687" s="82">
        <f>+SUBTOTAL(3,$B$7:B687)</f>
        <v>681</v>
      </c>
      <c r="B687" s="82" t="s">
        <v>444</v>
      </c>
      <c r="C687" s="82" t="s">
        <v>111</v>
      </c>
      <c r="D687" s="66" t="s">
        <v>286</v>
      </c>
      <c r="E687" s="82">
        <v>3</v>
      </c>
      <c r="F687" s="67">
        <v>200458239</v>
      </c>
      <c r="G687" s="66" t="s">
        <v>1429</v>
      </c>
      <c r="H687" s="66" t="s">
        <v>1430</v>
      </c>
      <c r="I687" s="66" t="s">
        <v>6</v>
      </c>
      <c r="J687" s="82" t="s">
        <v>51</v>
      </c>
      <c r="K687" s="67">
        <v>10290</v>
      </c>
      <c r="L687" s="82">
        <f t="shared" si="47"/>
        <v>0</v>
      </c>
      <c r="M687" s="67">
        <v>10290</v>
      </c>
      <c r="N687" s="82"/>
      <c r="O687" s="82">
        <f t="shared" si="45"/>
        <v>0</v>
      </c>
      <c r="P687" s="82">
        <f t="shared" si="46"/>
        <v>0</v>
      </c>
      <c r="Q687" s="67"/>
      <c r="R687" s="82"/>
      <c r="S687" s="67"/>
      <c r="T687" s="82"/>
      <c r="U687" s="67"/>
      <c r="V687" s="82"/>
      <c r="W687" s="82"/>
      <c r="X687" s="82"/>
      <c r="Y687" s="68">
        <v>2</v>
      </c>
      <c r="Z687" s="82"/>
      <c r="AA687" s="69">
        <v>44531</v>
      </c>
      <c r="AB687" s="74"/>
      <c r="AC687" s="75"/>
      <c r="AD687" s="70" t="s">
        <v>477</v>
      </c>
    </row>
    <row r="688" spans="1:30" s="76" customFormat="1" ht="37.5">
      <c r="A688" s="82">
        <f>+SUBTOTAL(3,$B$7:B688)</f>
        <v>682</v>
      </c>
      <c r="B688" s="82" t="s">
        <v>444</v>
      </c>
      <c r="C688" s="82" t="s">
        <v>111</v>
      </c>
      <c r="D688" s="66" t="s">
        <v>286</v>
      </c>
      <c r="E688" s="82">
        <v>3</v>
      </c>
      <c r="F688" s="67">
        <v>306536854</v>
      </c>
      <c r="G688" s="66" t="s">
        <v>1431</v>
      </c>
      <c r="H688" s="66" t="s">
        <v>1432</v>
      </c>
      <c r="I688" s="66" t="s">
        <v>10</v>
      </c>
      <c r="J688" s="82" t="s">
        <v>30</v>
      </c>
      <c r="K688" s="67">
        <v>500</v>
      </c>
      <c r="L688" s="82">
        <f t="shared" si="47"/>
        <v>460</v>
      </c>
      <c r="M688" s="67">
        <v>300</v>
      </c>
      <c r="N688" s="82">
        <v>300</v>
      </c>
      <c r="O688" s="82">
        <f t="shared" si="45"/>
        <v>200</v>
      </c>
      <c r="P688" s="82">
        <f t="shared" si="46"/>
        <v>160</v>
      </c>
      <c r="Q688" s="67">
        <v>200</v>
      </c>
      <c r="R688" s="82">
        <v>160</v>
      </c>
      <c r="S688" s="67">
        <v>0</v>
      </c>
      <c r="T688" s="82"/>
      <c r="U688" s="67">
        <v>0</v>
      </c>
      <c r="V688" s="82"/>
      <c r="W688" s="82"/>
      <c r="X688" s="82"/>
      <c r="Y688" s="68">
        <v>10</v>
      </c>
      <c r="Z688" s="82">
        <v>4</v>
      </c>
      <c r="AA688" s="18">
        <v>44195</v>
      </c>
      <c r="AB688" s="74">
        <v>44155</v>
      </c>
      <c r="AC688" s="75" t="s">
        <v>1971</v>
      </c>
      <c r="AD688" s="70" t="s">
        <v>7</v>
      </c>
    </row>
    <row r="689" spans="1:30" s="76" customFormat="1" ht="37.5">
      <c r="A689" s="82">
        <f>+SUBTOTAL(3,$B$7:B689)</f>
        <v>683</v>
      </c>
      <c r="B689" s="82" t="s">
        <v>444</v>
      </c>
      <c r="C689" s="82" t="s">
        <v>111</v>
      </c>
      <c r="D689" s="66" t="s">
        <v>286</v>
      </c>
      <c r="E689" s="82">
        <v>3</v>
      </c>
      <c r="F689" s="67">
        <v>307301664</v>
      </c>
      <c r="G689" s="66" t="s">
        <v>1433</v>
      </c>
      <c r="H689" s="66" t="s">
        <v>131</v>
      </c>
      <c r="I689" s="66" t="s">
        <v>9</v>
      </c>
      <c r="J689" s="82" t="s">
        <v>37</v>
      </c>
      <c r="K689" s="67">
        <v>650</v>
      </c>
      <c r="L689" s="82">
        <f t="shared" si="47"/>
        <v>650</v>
      </c>
      <c r="M689" s="67">
        <v>200</v>
      </c>
      <c r="N689" s="82">
        <v>250</v>
      </c>
      <c r="O689" s="82">
        <f t="shared" si="45"/>
        <v>450</v>
      </c>
      <c r="P689" s="82">
        <f t="shared" si="46"/>
        <v>400</v>
      </c>
      <c r="Q689" s="67">
        <v>450</v>
      </c>
      <c r="R689" s="82">
        <v>400</v>
      </c>
      <c r="S689" s="67"/>
      <c r="T689" s="82"/>
      <c r="U689" s="67"/>
      <c r="V689" s="82"/>
      <c r="W689" s="82"/>
      <c r="X689" s="82"/>
      <c r="Y689" s="68">
        <v>10</v>
      </c>
      <c r="Z689" s="82">
        <v>3</v>
      </c>
      <c r="AA689" s="69">
        <v>44195</v>
      </c>
      <c r="AB689" s="74">
        <v>44160</v>
      </c>
      <c r="AC689" s="75" t="s">
        <v>2010</v>
      </c>
      <c r="AD689" s="70" t="s">
        <v>7</v>
      </c>
    </row>
    <row r="690" spans="1:30" s="76" customFormat="1" ht="37.5">
      <c r="A690" s="82">
        <f>+SUBTOTAL(3,$B$7:B690)</f>
        <v>684</v>
      </c>
      <c r="B690" s="82" t="s">
        <v>444</v>
      </c>
      <c r="C690" s="82" t="s">
        <v>111</v>
      </c>
      <c r="D690" s="66" t="s">
        <v>286</v>
      </c>
      <c r="E690" s="82">
        <v>3</v>
      </c>
      <c r="F690" s="67">
        <v>307301664</v>
      </c>
      <c r="G690" s="66" t="s">
        <v>1964</v>
      </c>
      <c r="H690" s="66" t="s">
        <v>289</v>
      </c>
      <c r="I690" s="66" t="s">
        <v>6</v>
      </c>
      <c r="J690" s="82" t="s">
        <v>13</v>
      </c>
      <c r="K690" s="67">
        <v>100</v>
      </c>
      <c r="L690" s="82">
        <f t="shared" si="47"/>
        <v>95</v>
      </c>
      <c r="M690" s="67">
        <v>70</v>
      </c>
      <c r="N690" s="82">
        <v>70</v>
      </c>
      <c r="O690" s="82">
        <f t="shared" si="45"/>
        <v>30</v>
      </c>
      <c r="P690" s="82">
        <f t="shared" si="46"/>
        <v>25</v>
      </c>
      <c r="Q690" s="67">
        <v>30</v>
      </c>
      <c r="R690" s="82">
        <v>25</v>
      </c>
      <c r="S690" s="67"/>
      <c r="T690" s="82"/>
      <c r="U690" s="67"/>
      <c r="V690" s="82"/>
      <c r="W690" s="82"/>
      <c r="X690" s="82"/>
      <c r="Y690" s="68">
        <v>4</v>
      </c>
      <c r="Z690" s="82">
        <v>2</v>
      </c>
      <c r="AA690" s="69">
        <v>44166</v>
      </c>
      <c r="AB690" s="74">
        <v>44155</v>
      </c>
      <c r="AC690" s="75" t="s">
        <v>1965</v>
      </c>
      <c r="AD690" s="70" t="s">
        <v>7</v>
      </c>
    </row>
    <row r="691" spans="1:30" s="76" customFormat="1" ht="37.5">
      <c r="A691" s="82">
        <f>+SUBTOTAL(3,$B$7:B691)</f>
        <v>685</v>
      </c>
      <c r="B691" s="82" t="s">
        <v>444</v>
      </c>
      <c r="C691" s="82" t="s">
        <v>111</v>
      </c>
      <c r="D691" s="66" t="s">
        <v>286</v>
      </c>
      <c r="E691" s="82">
        <v>1</v>
      </c>
      <c r="F691" s="67">
        <v>306838960</v>
      </c>
      <c r="G691" s="66" t="s">
        <v>1434</v>
      </c>
      <c r="H691" s="66" t="s">
        <v>36</v>
      </c>
      <c r="I691" s="66" t="s">
        <v>9</v>
      </c>
      <c r="J691" s="82" t="s">
        <v>36</v>
      </c>
      <c r="K691" s="67">
        <v>500</v>
      </c>
      <c r="L691" s="82">
        <f t="shared" si="47"/>
        <v>440</v>
      </c>
      <c r="M691" s="67">
        <v>250</v>
      </c>
      <c r="N691" s="82">
        <v>220</v>
      </c>
      <c r="O691" s="82">
        <f t="shared" si="45"/>
        <v>250</v>
      </c>
      <c r="P691" s="82">
        <f t="shared" si="46"/>
        <v>220</v>
      </c>
      <c r="Q691" s="67">
        <v>250</v>
      </c>
      <c r="R691" s="82">
        <v>220</v>
      </c>
      <c r="S691" s="67"/>
      <c r="T691" s="82"/>
      <c r="U691" s="67"/>
      <c r="V691" s="82"/>
      <c r="W691" s="82"/>
      <c r="X691" s="82"/>
      <c r="Y691" s="68">
        <v>2</v>
      </c>
      <c r="Z691" s="82">
        <v>2</v>
      </c>
      <c r="AA691" s="69">
        <v>44195</v>
      </c>
      <c r="AB691" s="74">
        <v>44155</v>
      </c>
      <c r="AC691" s="75" t="s">
        <v>1972</v>
      </c>
      <c r="AD691" s="70" t="s">
        <v>7</v>
      </c>
    </row>
    <row r="692" spans="1:30" s="76" customFormat="1" ht="37.5">
      <c r="A692" s="82">
        <f>+SUBTOTAL(3,$B$7:B692)</f>
        <v>686</v>
      </c>
      <c r="B692" s="82" t="s">
        <v>444</v>
      </c>
      <c r="C692" s="82" t="s">
        <v>111</v>
      </c>
      <c r="D692" s="66" t="s">
        <v>286</v>
      </c>
      <c r="E692" s="82">
        <v>1</v>
      </c>
      <c r="F692" s="67">
        <v>206603932</v>
      </c>
      <c r="G692" s="66" t="s">
        <v>1435</v>
      </c>
      <c r="H692" s="66" t="s">
        <v>1399</v>
      </c>
      <c r="I692" s="66" t="s">
        <v>10</v>
      </c>
      <c r="J692" s="82" t="s">
        <v>45</v>
      </c>
      <c r="K692" s="67">
        <v>1200</v>
      </c>
      <c r="L692" s="82">
        <f t="shared" si="47"/>
        <v>1164</v>
      </c>
      <c r="M692" s="67">
        <v>300</v>
      </c>
      <c r="N692" s="82">
        <v>300</v>
      </c>
      <c r="O692" s="82">
        <f t="shared" si="45"/>
        <v>900</v>
      </c>
      <c r="P692" s="82">
        <f t="shared" si="46"/>
        <v>864</v>
      </c>
      <c r="Q692" s="67">
        <v>900</v>
      </c>
      <c r="R692" s="82">
        <v>864</v>
      </c>
      <c r="S692" s="67"/>
      <c r="T692" s="82"/>
      <c r="U692" s="67"/>
      <c r="V692" s="82"/>
      <c r="W692" s="82"/>
      <c r="X692" s="82"/>
      <c r="Y692" s="68">
        <v>3</v>
      </c>
      <c r="Z692" s="82">
        <v>2</v>
      </c>
      <c r="AA692" s="69">
        <v>44195</v>
      </c>
      <c r="AB692" s="74">
        <v>44155</v>
      </c>
      <c r="AC692" s="75" t="s">
        <v>1912</v>
      </c>
      <c r="AD692" s="70" t="s">
        <v>7</v>
      </c>
    </row>
    <row r="693" spans="1:30" s="76" customFormat="1" ht="37.5">
      <c r="A693" s="82">
        <f>+SUBTOTAL(3,$B$7:B693)</f>
        <v>687</v>
      </c>
      <c r="B693" s="82" t="s">
        <v>444</v>
      </c>
      <c r="C693" s="82" t="s">
        <v>111</v>
      </c>
      <c r="D693" s="66" t="s">
        <v>286</v>
      </c>
      <c r="E693" s="82">
        <v>2</v>
      </c>
      <c r="F693" s="67">
        <v>306599208</v>
      </c>
      <c r="G693" s="66" t="s">
        <v>1436</v>
      </c>
      <c r="H693" s="66" t="s">
        <v>1399</v>
      </c>
      <c r="I693" s="66" t="s">
        <v>10</v>
      </c>
      <c r="J693" s="82" t="s">
        <v>45</v>
      </c>
      <c r="K693" s="67">
        <v>1500</v>
      </c>
      <c r="L693" s="82">
        <f t="shared" si="47"/>
        <v>1500</v>
      </c>
      <c r="M693" s="67">
        <v>300</v>
      </c>
      <c r="N693" s="82">
        <v>300</v>
      </c>
      <c r="O693" s="82">
        <f t="shared" si="45"/>
        <v>1200</v>
      </c>
      <c r="P693" s="82">
        <f t="shared" si="46"/>
        <v>1200</v>
      </c>
      <c r="Q693" s="67">
        <v>1200</v>
      </c>
      <c r="R693" s="82">
        <v>1200</v>
      </c>
      <c r="S693" s="67"/>
      <c r="T693" s="82"/>
      <c r="U693" s="67"/>
      <c r="V693" s="82"/>
      <c r="W693" s="82"/>
      <c r="X693" s="82"/>
      <c r="Y693" s="68">
        <v>5</v>
      </c>
      <c r="Z693" s="82">
        <v>1</v>
      </c>
      <c r="AA693" s="18">
        <v>44196</v>
      </c>
      <c r="AB693" s="74">
        <v>44160</v>
      </c>
      <c r="AC693" s="75" t="s">
        <v>1910</v>
      </c>
      <c r="AD693" s="70" t="s">
        <v>7</v>
      </c>
    </row>
    <row r="694" spans="1:30" s="76" customFormat="1" ht="56.25">
      <c r="A694" s="82">
        <f>+SUBTOTAL(3,$B$7:B694)</f>
        <v>688</v>
      </c>
      <c r="B694" s="82" t="s">
        <v>444</v>
      </c>
      <c r="C694" s="82" t="s">
        <v>111</v>
      </c>
      <c r="D694" s="66" t="s">
        <v>286</v>
      </c>
      <c r="E694" s="82">
        <v>3</v>
      </c>
      <c r="F694" s="67">
        <v>307344476</v>
      </c>
      <c r="G694" s="66" t="s">
        <v>1437</v>
      </c>
      <c r="H694" s="66" t="s">
        <v>1438</v>
      </c>
      <c r="I694" s="66" t="s">
        <v>6</v>
      </c>
      <c r="J694" s="82" t="s">
        <v>11</v>
      </c>
      <c r="K694" s="67">
        <v>800</v>
      </c>
      <c r="L694" s="82">
        <f t="shared" si="47"/>
        <v>680</v>
      </c>
      <c r="M694" s="67">
        <v>500</v>
      </c>
      <c r="N694" s="82">
        <v>500</v>
      </c>
      <c r="O694" s="82">
        <f t="shared" si="45"/>
        <v>300</v>
      </c>
      <c r="P694" s="82">
        <f t="shared" si="46"/>
        <v>180</v>
      </c>
      <c r="Q694" s="67">
        <v>300</v>
      </c>
      <c r="R694" s="82">
        <v>180</v>
      </c>
      <c r="S694" s="67"/>
      <c r="T694" s="82"/>
      <c r="U694" s="67"/>
      <c r="V694" s="82"/>
      <c r="W694" s="82"/>
      <c r="X694" s="82"/>
      <c r="Y694" s="68">
        <v>2</v>
      </c>
      <c r="Z694" s="82">
        <v>1</v>
      </c>
      <c r="AA694" s="69">
        <v>44166</v>
      </c>
      <c r="AB694" s="74">
        <v>44155</v>
      </c>
      <c r="AC694" s="75" t="s">
        <v>1963</v>
      </c>
      <c r="AD694" s="70" t="s">
        <v>7</v>
      </c>
    </row>
    <row r="695" spans="1:30" s="76" customFormat="1" ht="37.5">
      <c r="A695" s="82">
        <f>+SUBTOTAL(3,$B$7:B695)</f>
        <v>689</v>
      </c>
      <c r="B695" s="82" t="s">
        <v>444</v>
      </c>
      <c r="C695" s="82" t="s">
        <v>111</v>
      </c>
      <c r="D695" s="66" t="s">
        <v>286</v>
      </c>
      <c r="E695" s="82">
        <v>2</v>
      </c>
      <c r="F695" s="67">
        <v>307314458</v>
      </c>
      <c r="G695" s="66" t="s">
        <v>1981</v>
      </c>
      <c r="H695" s="66" t="s">
        <v>1439</v>
      </c>
      <c r="I695" s="66" t="s">
        <v>6</v>
      </c>
      <c r="J695" s="82" t="s">
        <v>13</v>
      </c>
      <c r="K695" s="67">
        <v>300</v>
      </c>
      <c r="L695" s="82">
        <f t="shared" si="47"/>
        <v>250</v>
      </c>
      <c r="M695" s="67">
        <v>100</v>
      </c>
      <c r="N695" s="82">
        <v>100</v>
      </c>
      <c r="O695" s="82">
        <f t="shared" si="45"/>
        <v>200</v>
      </c>
      <c r="P695" s="82">
        <f t="shared" si="46"/>
        <v>150</v>
      </c>
      <c r="Q695" s="67">
        <v>200</v>
      </c>
      <c r="R695" s="82">
        <v>150</v>
      </c>
      <c r="S695" s="67"/>
      <c r="T695" s="82"/>
      <c r="U695" s="67"/>
      <c r="V695" s="82"/>
      <c r="W695" s="82"/>
      <c r="X695" s="82"/>
      <c r="Y695" s="68">
        <v>2</v>
      </c>
      <c r="Z695" s="82">
        <v>2</v>
      </c>
      <c r="AA695" s="69">
        <v>44166</v>
      </c>
      <c r="AB695" s="74">
        <v>44155</v>
      </c>
      <c r="AC695" s="75" t="s">
        <v>1962</v>
      </c>
      <c r="AD695" s="70" t="s">
        <v>7</v>
      </c>
    </row>
    <row r="696" spans="1:30" s="76" customFormat="1" ht="37.5">
      <c r="A696" s="82">
        <f>+SUBTOTAL(3,$B$7:B696)</f>
        <v>690</v>
      </c>
      <c r="B696" s="82" t="s">
        <v>444</v>
      </c>
      <c r="C696" s="82" t="s">
        <v>111</v>
      </c>
      <c r="D696" s="66" t="s">
        <v>286</v>
      </c>
      <c r="E696" s="82">
        <v>3</v>
      </c>
      <c r="F696" s="67">
        <v>307404069</v>
      </c>
      <c r="G696" s="66" t="s">
        <v>1440</v>
      </c>
      <c r="H696" s="66" t="s">
        <v>1441</v>
      </c>
      <c r="I696" s="66" t="s">
        <v>10</v>
      </c>
      <c r="J696" s="82" t="s">
        <v>30</v>
      </c>
      <c r="K696" s="67">
        <v>700</v>
      </c>
      <c r="L696" s="82">
        <f t="shared" si="47"/>
        <v>600</v>
      </c>
      <c r="M696" s="67">
        <v>500</v>
      </c>
      <c r="N696" s="82">
        <v>500</v>
      </c>
      <c r="O696" s="82">
        <f t="shared" si="45"/>
        <v>200</v>
      </c>
      <c r="P696" s="82">
        <f t="shared" si="46"/>
        <v>100</v>
      </c>
      <c r="Q696" s="67">
        <v>200</v>
      </c>
      <c r="R696" s="82">
        <v>100</v>
      </c>
      <c r="S696" s="67"/>
      <c r="T696" s="82"/>
      <c r="U696" s="67"/>
      <c r="V696" s="82"/>
      <c r="W696" s="82"/>
      <c r="X696" s="82"/>
      <c r="Y696" s="68">
        <v>2</v>
      </c>
      <c r="Z696" s="82">
        <v>2</v>
      </c>
      <c r="AA696" s="18">
        <v>44166</v>
      </c>
      <c r="AB696" s="74">
        <v>44155</v>
      </c>
      <c r="AC696" s="75" t="s">
        <v>1903</v>
      </c>
      <c r="AD696" s="70" t="s">
        <v>7</v>
      </c>
    </row>
    <row r="697" spans="1:30" s="76" customFormat="1" ht="37.5">
      <c r="A697" s="82">
        <f>+SUBTOTAL(3,$B$7:B697)</f>
        <v>691</v>
      </c>
      <c r="B697" s="82" t="s">
        <v>444</v>
      </c>
      <c r="C697" s="82" t="s">
        <v>111</v>
      </c>
      <c r="D697" s="66" t="s">
        <v>286</v>
      </c>
      <c r="E697" s="82">
        <v>1</v>
      </c>
      <c r="F697" s="67">
        <v>306963997</v>
      </c>
      <c r="G697" s="66" t="s">
        <v>1442</v>
      </c>
      <c r="H697" s="66" t="s">
        <v>1443</v>
      </c>
      <c r="I697" s="66" t="s">
        <v>10</v>
      </c>
      <c r="J697" s="82" t="s">
        <v>59</v>
      </c>
      <c r="K697" s="67">
        <v>350</v>
      </c>
      <c r="L697" s="82">
        <f t="shared" si="47"/>
        <v>290</v>
      </c>
      <c r="M697" s="67">
        <v>200</v>
      </c>
      <c r="N697" s="82">
        <v>200</v>
      </c>
      <c r="O697" s="82">
        <f t="shared" si="45"/>
        <v>150</v>
      </c>
      <c r="P697" s="82">
        <f t="shared" si="46"/>
        <v>90</v>
      </c>
      <c r="Q697" s="67">
        <v>150</v>
      </c>
      <c r="R697" s="82">
        <v>90</v>
      </c>
      <c r="S697" s="67"/>
      <c r="T697" s="82"/>
      <c r="U697" s="67"/>
      <c r="V697" s="82"/>
      <c r="W697" s="82"/>
      <c r="X697" s="82"/>
      <c r="Y697" s="68">
        <v>3</v>
      </c>
      <c r="Z697" s="82">
        <v>3</v>
      </c>
      <c r="AA697" s="69">
        <v>44166</v>
      </c>
      <c r="AB697" s="74">
        <v>44155</v>
      </c>
      <c r="AC697" s="75" t="s">
        <v>1897</v>
      </c>
      <c r="AD697" s="70" t="s">
        <v>7</v>
      </c>
    </row>
    <row r="698" spans="1:30" s="76" customFormat="1" ht="56.25">
      <c r="A698" s="82">
        <f>+SUBTOTAL(3,$B$7:B698)</f>
        <v>692</v>
      </c>
      <c r="B698" s="82" t="s">
        <v>444</v>
      </c>
      <c r="C698" s="82" t="s">
        <v>111</v>
      </c>
      <c r="D698" s="66" t="s">
        <v>286</v>
      </c>
      <c r="E698" s="82">
        <v>4</v>
      </c>
      <c r="F698" s="67">
        <v>307262452</v>
      </c>
      <c r="G698" s="66" t="s">
        <v>1444</v>
      </c>
      <c r="H698" s="66" t="s">
        <v>1445</v>
      </c>
      <c r="I698" s="66" t="s">
        <v>10</v>
      </c>
      <c r="J698" s="82" t="s">
        <v>44</v>
      </c>
      <c r="K698" s="67">
        <v>1000</v>
      </c>
      <c r="L698" s="82">
        <f t="shared" si="47"/>
        <v>800</v>
      </c>
      <c r="M698" s="67">
        <v>300</v>
      </c>
      <c r="N698" s="82">
        <v>300</v>
      </c>
      <c r="O698" s="82">
        <f t="shared" si="45"/>
        <v>700</v>
      </c>
      <c r="P698" s="82">
        <f t="shared" si="46"/>
        <v>500</v>
      </c>
      <c r="Q698" s="67">
        <v>700</v>
      </c>
      <c r="R698" s="82">
        <v>500</v>
      </c>
      <c r="S698" s="67"/>
      <c r="T698" s="82"/>
      <c r="U698" s="67"/>
      <c r="V698" s="82"/>
      <c r="W698" s="82"/>
      <c r="X698" s="82"/>
      <c r="Y698" s="68">
        <v>4</v>
      </c>
      <c r="Z698" s="82">
        <v>4</v>
      </c>
      <c r="AA698" s="69">
        <v>44195</v>
      </c>
      <c r="AB698" s="74">
        <v>44155</v>
      </c>
      <c r="AC698" s="75" t="s">
        <v>1901</v>
      </c>
      <c r="AD698" s="70" t="s">
        <v>7</v>
      </c>
    </row>
    <row r="699" spans="1:30" s="76" customFormat="1" ht="37.5">
      <c r="A699" s="82">
        <f>+SUBTOTAL(3,$B$7:B699)</f>
        <v>693</v>
      </c>
      <c r="B699" s="82" t="s">
        <v>444</v>
      </c>
      <c r="C699" s="82" t="s">
        <v>111</v>
      </c>
      <c r="D699" s="66" t="s">
        <v>286</v>
      </c>
      <c r="E699" s="82">
        <v>3</v>
      </c>
      <c r="F699" s="67">
        <v>304433859</v>
      </c>
      <c r="G699" s="66" t="s">
        <v>1446</v>
      </c>
      <c r="H699" s="66" t="s">
        <v>1447</v>
      </c>
      <c r="I699" s="66" t="s">
        <v>9</v>
      </c>
      <c r="J699" s="82" t="s">
        <v>38</v>
      </c>
      <c r="K699" s="67">
        <v>500</v>
      </c>
      <c r="L699" s="82">
        <f t="shared" si="47"/>
        <v>410</v>
      </c>
      <c r="M699" s="67">
        <v>250</v>
      </c>
      <c r="N699" s="82">
        <v>250</v>
      </c>
      <c r="O699" s="82">
        <f t="shared" si="45"/>
        <v>250</v>
      </c>
      <c r="P699" s="82">
        <f t="shared" si="46"/>
        <v>160</v>
      </c>
      <c r="Q699" s="67">
        <v>250</v>
      </c>
      <c r="R699" s="82">
        <v>160</v>
      </c>
      <c r="S699" s="67"/>
      <c r="T699" s="82"/>
      <c r="U699" s="67"/>
      <c r="V699" s="82"/>
      <c r="W699" s="82"/>
      <c r="X699" s="82"/>
      <c r="Y699" s="68">
        <v>4</v>
      </c>
      <c r="Z699" s="82">
        <v>4</v>
      </c>
      <c r="AA699" s="18">
        <v>44166</v>
      </c>
      <c r="AB699" s="74">
        <v>44155</v>
      </c>
      <c r="AC699" s="75" t="s">
        <v>1961</v>
      </c>
      <c r="AD699" s="70" t="s">
        <v>7</v>
      </c>
    </row>
    <row r="700" spans="1:30" s="76" customFormat="1" ht="37.5">
      <c r="A700" s="82">
        <f>+SUBTOTAL(3,$B$7:B700)</f>
        <v>694</v>
      </c>
      <c r="B700" s="82" t="s">
        <v>444</v>
      </c>
      <c r="C700" s="82" t="s">
        <v>111</v>
      </c>
      <c r="D700" s="66" t="s">
        <v>286</v>
      </c>
      <c r="E700" s="82">
        <v>1</v>
      </c>
      <c r="F700" s="67">
        <v>303614507</v>
      </c>
      <c r="G700" s="66" t="s">
        <v>1448</v>
      </c>
      <c r="H700" s="66" t="s">
        <v>1449</v>
      </c>
      <c r="I700" s="66" t="s">
        <v>10</v>
      </c>
      <c r="J700" s="82" t="s">
        <v>45</v>
      </c>
      <c r="K700" s="67">
        <v>450</v>
      </c>
      <c r="L700" s="82">
        <f t="shared" si="47"/>
        <v>430.5</v>
      </c>
      <c r="M700" s="67">
        <v>150</v>
      </c>
      <c r="N700" s="82">
        <v>150</v>
      </c>
      <c r="O700" s="82">
        <f t="shared" si="45"/>
        <v>300</v>
      </c>
      <c r="P700" s="82">
        <f t="shared" si="46"/>
        <v>280.5</v>
      </c>
      <c r="Q700" s="67">
        <v>300</v>
      </c>
      <c r="R700" s="82">
        <v>280.5</v>
      </c>
      <c r="S700" s="67"/>
      <c r="T700" s="82"/>
      <c r="U700" s="67"/>
      <c r="V700" s="82"/>
      <c r="W700" s="82"/>
      <c r="X700" s="82"/>
      <c r="Y700" s="68">
        <v>3</v>
      </c>
      <c r="Z700" s="82">
        <v>2</v>
      </c>
      <c r="AA700" s="18">
        <v>44228</v>
      </c>
      <c r="AB700" s="74">
        <v>44155</v>
      </c>
      <c r="AC700" s="75" t="s">
        <v>1911</v>
      </c>
      <c r="AD700" s="70" t="s">
        <v>7</v>
      </c>
    </row>
    <row r="701" spans="1:30" s="76" customFormat="1" ht="37.5">
      <c r="A701" s="82">
        <f>+SUBTOTAL(3,$B$7:B701)</f>
        <v>695</v>
      </c>
      <c r="B701" s="82" t="s">
        <v>444</v>
      </c>
      <c r="C701" s="82" t="s">
        <v>111</v>
      </c>
      <c r="D701" s="66" t="s">
        <v>286</v>
      </c>
      <c r="E701" s="82">
        <v>1</v>
      </c>
      <c r="F701" s="67">
        <v>305191757</v>
      </c>
      <c r="G701" s="66" t="s">
        <v>1450</v>
      </c>
      <c r="H701" s="66" t="s">
        <v>1449</v>
      </c>
      <c r="I701" s="66" t="s">
        <v>10</v>
      </c>
      <c r="J701" s="82" t="s">
        <v>45</v>
      </c>
      <c r="K701" s="67">
        <v>450</v>
      </c>
      <c r="L701" s="82">
        <f t="shared" si="47"/>
        <v>448.5</v>
      </c>
      <c r="M701" s="67">
        <v>150</v>
      </c>
      <c r="N701" s="82">
        <v>150</v>
      </c>
      <c r="O701" s="82">
        <f t="shared" si="45"/>
        <v>300</v>
      </c>
      <c r="P701" s="82">
        <f t="shared" si="46"/>
        <v>298.5</v>
      </c>
      <c r="Q701" s="67">
        <v>300</v>
      </c>
      <c r="R701" s="82">
        <v>298.5</v>
      </c>
      <c r="S701" s="67"/>
      <c r="T701" s="82"/>
      <c r="U701" s="67"/>
      <c r="V701" s="82"/>
      <c r="W701" s="82"/>
      <c r="X701" s="82"/>
      <c r="Y701" s="68">
        <v>3</v>
      </c>
      <c r="Z701" s="82">
        <v>2</v>
      </c>
      <c r="AA701" s="18">
        <v>44287</v>
      </c>
      <c r="AB701" s="74">
        <v>44155</v>
      </c>
      <c r="AC701" s="75" t="s">
        <v>1907</v>
      </c>
      <c r="AD701" s="70" t="s">
        <v>7</v>
      </c>
    </row>
    <row r="702" spans="1:30" s="76" customFormat="1" ht="37.5">
      <c r="A702" s="82">
        <f>+SUBTOTAL(3,$B$7:B702)</f>
        <v>696</v>
      </c>
      <c r="B702" s="82" t="s">
        <v>444</v>
      </c>
      <c r="C702" s="82" t="s">
        <v>111</v>
      </c>
      <c r="D702" s="66" t="s">
        <v>286</v>
      </c>
      <c r="E702" s="82">
        <v>1</v>
      </c>
      <c r="F702" s="67">
        <v>206466770</v>
      </c>
      <c r="G702" s="66" t="s">
        <v>1966</v>
      </c>
      <c r="H702" s="66" t="s">
        <v>1449</v>
      </c>
      <c r="I702" s="66" t="s">
        <v>10</v>
      </c>
      <c r="J702" s="82" t="s">
        <v>45</v>
      </c>
      <c r="K702" s="67">
        <v>800</v>
      </c>
      <c r="L702" s="82">
        <f t="shared" si="47"/>
        <v>786</v>
      </c>
      <c r="M702" s="67">
        <v>200</v>
      </c>
      <c r="N702" s="82">
        <v>200</v>
      </c>
      <c r="O702" s="82">
        <f t="shared" si="45"/>
        <v>600</v>
      </c>
      <c r="P702" s="82">
        <f t="shared" si="46"/>
        <v>586</v>
      </c>
      <c r="Q702" s="67">
        <v>600</v>
      </c>
      <c r="R702" s="82">
        <v>586</v>
      </c>
      <c r="S702" s="67"/>
      <c r="T702" s="82"/>
      <c r="U702" s="67"/>
      <c r="V702" s="82"/>
      <c r="W702" s="82"/>
      <c r="X702" s="82"/>
      <c r="Y702" s="68">
        <v>3</v>
      </c>
      <c r="Z702" s="82">
        <v>2</v>
      </c>
      <c r="AA702" s="18">
        <v>44378</v>
      </c>
      <c r="AB702" s="74">
        <v>44155</v>
      </c>
      <c r="AC702" s="75" t="s">
        <v>1913</v>
      </c>
      <c r="AD702" s="70" t="s">
        <v>7</v>
      </c>
    </row>
    <row r="703" spans="1:30" s="76" customFormat="1" ht="56.25">
      <c r="A703" s="82">
        <f>+SUBTOTAL(3,$B$7:B703)</f>
        <v>697</v>
      </c>
      <c r="B703" s="82" t="s">
        <v>444</v>
      </c>
      <c r="C703" s="82" t="s">
        <v>111</v>
      </c>
      <c r="D703" s="66" t="s">
        <v>298</v>
      </c>
      <c r="E703" s="82">
        <v>4</v>
      </c>
      <c r="F703" s="67">
        <v>306037898</v>
      </c>
      <c r="G703" s="66" t="s">
        <v>299</v>
      </c>
      <c r="H703" s="66" t="s">
        <v>300</v>
      </c>
      <c r="I703" s="66" t="s">
        <v>10</v>
      </c>
      <c r="J703" s="82" t="s">
        <v>58</v>
      </c>
      <c r="K703" s="67">
        <v>29182</v>
      </c>
      <c r="L703" s="82">
        <f t="shared" si="47"/>
        <v>22182</v>
      </c>
      <c r="M703" s="67">
        <v>7000</v>
      </c>
      <c r="N703" s="82"/>
      <c r="O703" s="82">
        <f t="shared" si="45"/>
        <v>22182</v>
      </c>
      <c r="P703" s="82">
        <f t="shared" si="46"/>
        <v>22182</v>
      </c>
      <c r="Q703" s="67">
        <v>22182</v>
      </c>
      <c r="R703" s="82">
        <v>22182</v>
      </c>
      <c r="S703" s="67">
        <v>0</v>
      </c>
      <c r="T703" s="82"/>
      <c r="U703" s="67">
        <v>0</v>
      </c>
      <c r="V703" s="82"/>
      <c r="W703" s="82"/>
      <c r="X703" s="82"/>
      <c r="Y703" s="68">
        <v>50</v>
      </c>
      <c r="Z703" s="82"/>
      <c r="AA703" s="18">
        <v>44560</v>
      </c>
      <c r="AB703" s="74"/>
      <c r="AC703" s="75"/>
      <c r="AD703" s="70" t="s">
        <v>4</v>
      </c>
    </row>
    <row r="704" spans="1:30" s="76" customFormat="1" ht="37.5">
      <c r="A704" s="82">
        <f>+SUBTOTAL(3,$B$7:B704)</f>
        <v>698</v>
      </c>
      <c r="B704" s="82" t="s">
        <v>444</v>
      </c>
      <c r="C704" s="82" t="s">
        <v>111</v>
      </c>
      <c r="D704" s="66" t="s">
        <v>298</v>
      </c>
      <c r="E704" s="82">
        <v>2</v>
      </c>
      <c r="F704" s="67">
        <v>302965657</v>
      </c>
      <c r="G704" s="66" t="s">
        <v>301</v>
      </c>
      <c r="H704" s="66" t="s">
        <v>302</v>
      </c>
      <c r="I704" s="66" t="s">
        <v>6</v>
      </c>
      <c r="J704" s="82" t="s">
        <v>53</v>
      </c>
      <c r="K704" s="67">
        <v>5000</v>
      </c>
      <c r="L704" s="82">
        <f t="shared" ref="L704:L732" si="48">+N704+R704+T704*10.2+V704*10.2</f>
        <v>4000</v>
      </c>
      <c r="M704" s="67">
        <v>2500</v>
      </c>
      <c r="N704" s="82">
        <v>3300</v>
      </c>
      <c r="O704" s="82">
        <f t="shared" si="45"/>
        <v>2500</v>
      </c>
      <c r="P704" s="82">
        <f t="shared" si="46"/>
        <v>700</v>
      </c>
      <c r="Q704" s="67">
        <v>2500</v>
      </c>
      <c r="R704" s="82">
        <v>700</v>
      </c>
      <c r="S704" s="67">
        <v>0</v>
      </c>
      <c r="T704" s="82"/>
      <c r="U704" s="67">
        <v>0</v>
      </c>
      <c r="V704" s="82"/>
      <c r="W704" s="82"/>
      <c r="X704" s="82"/>
      <c r="Y704" s="68">
        <v>4</v>
      </c>
      <c r="Z704" s="82">
        <v>4</v>
      </c>
      <c r="AA704" s="69">
        <v>44470</v>
      </c>
      <c r="AB704" s="74">
        <v>44211</v>
      </c>
      <c r="AC704" s="75" t="s">
        <v>2083</v>
      </c>
      <c r="AD704" s="70" t="s">
        <v>453</v>
      </c>
    </row>
    <row r="705" spans="1:30" s="76" customFormat="1" ht="37.5">
      <c r="A705" s="82">
        <f>+SUBTOTAL(3,$B$7:B705)</f>
        <v>699</v>
      </c>
      <c r="B705" s="82" t="s">
        <v>444</v>
      </c>
      <c r="C705" s="82" t="s">
        <v>111</v>
      </c>
      <c r="D705" s="66" t="s">
        <v>298</v>
      </c>
      <c r="E705" s="82">
        <v>4</v>
      </c>
      <c r="F705" s="67">
        <v>301908520</v>
      </c>
      <c r="G705" s="66" t="s">
        <v>303</v>
      </c>
      <c r="H705" s="66" t="s">
        <v>304</v>
      </c>
      <c r="I705" s="66" t="s">
        <v>10</v>
      </c>
      <c r="J705" s="82" t="s">
        <v>30</v>
      </c>
      <c r="K705" s="67">
        <v>1500</v>
      </c>
      <c r="L705" s="82">
        <f t="shared" si="48"/>
        <v>0</v>
      </c>
      <c r="M705" s="67">
        <v>500</v>
      </c>
      <c r="N705" s="82"/>
      <c r="O705" s="82">
        <f t="shared" si="45"/>
        <v>1000</v>
      </c>
      <c r="P705" s="82">
        <f t="shared" si="46"/>
        <v>0</v>
      </c>
      <c r="Q705" s="67">
        <v>1000</v>
      </c>
      <c r="R705" s="82"/>
      <c r="S705" s="67">
        <v>0</v>
      </c>
      <c r="T705" s="82"/>
      <c r="U705" s="67">
        <v>0</v>
      </c>
      <c r="V705" s="82"/>
      <c r="W705" s="82"/>
      <c r="X705" s="82"/>
      <c r="Y705" s="68">
        <v>5</v>
      </c>
      <c r="Z705" s="82"/>
      <c r="AA705" s="18">
        <v>44440</v>
      </c>
      <c r="AB705" s="74"/>
      <c r="AC705" s="75"/>
      <c r="AD705" s="70" t="s">
        <v>460</v>
      </c>
    </row>
    <row r="706" spans="1:30" s="76" customFormat="1" ht="37.5">
      <c r="A706" s="82">
        <f>+SUBTOTAL(3,$B$7:B706)</f>
        <v>700</v>
      </c>
      <c r="B706" s="82" t="s">
        <v>444</v>
      </c>
      <c r="C706" s="82" t="s">
        <v>111</v>
      </c>
      <c r="D706" s="66" t="s">
        <v>298</v>
      </c>
      <c r="E706" s="82">
        <v>4</v>
      </c>
      <c r="F706" s="67">
        <v>300815733</v>
      </c>
      <c r="G706" s="66" t="s">
        <v>305</v>
      </c>
      <c r="H706" s="66" t="s">
        <v>732</v>
      </c>
      <c r="I706" s="66" t="s">
        <v>6</v>
      </c>
      <c r="J706" s="82" t="s">
        <v>12</v>
      </c>
      <c r="K706" s="67">
        <v>5000</v>
      </c>
      <c r="L706" s="82">
        <f t="shared" si="48"/>
        <v>305</v>
      </c>
      <c r="M706" s="67">
        <v>3000</v>
      </c>
      <c r="N706" s="82"/>
      <c r="O706" s="82">
        <f t="shared" si="45"/>
        <v>2000</v>
      </c>
      <c r="P706" s="82">
        <f t="shared" si="46"/>
        <v>305</v>
      </c>
      <c r="Q706" s="67">
        <v>2000</v>
      </c>
      <c r="R706" s="82">
        <v>305</v>
      </c>
      <c r="S706" s="67">
        <v>0</v>
      </c>
      <c r="T706" s="82"/>
      <c r="U706" s="67">
        <v>0</v>
      </c>
      <c r="V706" s="82"/>
      <c r="W706" s="82"/>
      <c r="X706" s="82"/>
      <c r="Y706" s="68">
        <v>4</v>
      </c>
      <c r="Z706" s="82"/>
      <c r="AA706" s="69">
        <v>44470</v>
      </c>
      <c r="AB706" s="74"/>
      <c r="AC706" s="75"/>
      <c r="AD706" s="70" t="s">
        <v>460</v>
      </c>
    </row>
    <row r="707" spans="1:30" s="76" customFormat="1" ht="37.5">
      <c r="A707" s="82">
        <f>+SUBTOTAL(3,$B$7:B707)</f>
        <v>701</v>
      </c>
      <c r="B707" s="82" t="s">
        <v>444</v>
      </c>
      <c r="C707" s="82" t="s">
        <v>111</v>
      </c>
      <c r="D707" s="66" t="s">
        <v>298</v>
      </c>
      <c r="E707" s="82">
        <v>4</v>
      </c>
      <c r="F707" s="67">
        <v>200494299</v>
      </c>
      <c r="G707" s="66" t="s">
        <v>1451</v>
      </c>
      <c r="H707" s="66" t="s">
        <v>306</v>
      </c>
      <c r="I707" s="66" t="s">
        <v>6</v>
      </c>
      <c r="J707" s="82" t="s">
        <v>12</v>
      </c>
      <c r="K707" s="67">
        <v>2000</v>
      </c>
      <c r="L707" s="82">
        <f t="shared" si="48"/>
        <v>0</v>
      </c>
      <c r="M707" s="67">
        <v>1200</v>
      </c>
      <c r="N707" s="82"/>
      <c r="O707" s="82">
        <f t="shared" si="45"/>
        <v>800</v>
      </c>
      <c r="P707" s="82">
        <f t="shared" si="46"/>
        <v>0</v>
      </c>
      <c r="Q707" s="67">
        <v>800</v>
      </c>
      <c r="R707" s="82"/>
      <c r="S707" s="67"/>
      <c r="T707" s="82"/>
      <c r="U707" s="67"/>
      <c r="V707" s="82"/>
      <c r="W707" s="82"/>
      <c r="X707" s="82"/>
      <c r="Y707" s="68">
        <v>6</v>
      </c>
      <c r="Z707" s="82"/>
      <c r="AA707" s="18">
        <v>44494</v>
      </c>
      <c r="AB707" s="74"/>
      <c r="AC707" s="75"/>
      <c r="AD707" s="70" t="s">
        <v>460</v>
      </c>
    </row>
    <row r="708" spans="1:30" s="76" customFormat="1" ht="37.5">
      <c r="A708" s="82">
        <f>+SUBTOTAL(3,$B$7:B708)</f>
        <v>702</v>
      </c>
      <c r="B708" s="82" t="s">
        <v>444</v>
      </c>
      <c r="C708" s="82" t="s">
        <v>111</v>
      </c>
      <c r="D708" s="66" t="s">
        <v>298</v>
      </c>
      <c r="E708" s="82">
        <v>4</v>
      </c>
      <c r="F708" s="67">
        <v>302525429</v>
      </c>
      <c r="G708" s="66" t="s">
        <v>1452</v>
      </c>
      <c r="H708" s="66" t="s">
        <v>1453</v>
      </c>
      <c r="I708" s="66" t="s">
        <v>10</v>
      </c>
      <c r="J708" s="82" t="s">
        <v>66</v>
      </c>
      <c r="K708" s="67">
        <v>2000</v>
      </c>
      <c r="L708" s="82">
        <f t="shared" si="48"/>
        <v>600</v>
      </c>
      <c r="M708" s="67">
        <v>1000</v>
      </c>
      <c r="N708" s="82"/>
      <c r="O708" s="82">
        <f t="shared" si="45"/>
        <v>1000</v>
      </c>
      <c r="P708" s="82">
        <f t="shared" si="46"/>
        <v>600</v>
      </c>
      <c r="Q708" s="67">
        <v>1000</v>
      </c>
      <c r="R708" s="82">
        <v>600</v>
      </c>
      <c r="S708" s="67"/>
      <c r="T708" s="82"/>
      <c r="U708" s="67"/>
      <c r="V708" s="82"/>
      <c r="W708" s="82"/>
      <c r="X708" s="82"/>
      <c r="Y708" s="68">
        <v>4</v>
      </c>
      <c r="Z708" s="82"/>
      <c r="AA708" s="18">
        <v>44470</v>
      </c>
      <c r="AB708" s="74"/>
      <c r="AC708" s="75"/>
      <c r="AD708" s="70" t="s">
        <v>460</v>
      </c>
    </row>
    <row r="709" spans="1:30" s="76" customFormat="1" ht="37.5">
      <c r="A709" s="82">
        <f>+SUBTOTAL(3,$B$7:B709)</f>
        <v>703</v>
      </c>
      <c r="B709" s="82" t="s">
        <v>444</v>
      </c>
      <c r="C709" s="82" t="s">
        <v>111</v>
      </c>
      <c r="D709" s="66" t="s">
        <v>298</v>
      </c>
      <c r="E709" s="82">
        <v>4</v>
      </c>
      <c r="F709" s="67">
        <v>300633723</v>
      </c>
      <c r="G709" s="66" t="s">
        <v>1454</v>
      </c>
      <c r="H709" s="66" t="s">
        <v>1455</v>
      </c>
      <c r="I709" s="66" t="s">
        <v>6</v>
      </c>
      <c r="J709" s="82" t="s">
        <v>12</v>
      </c>
      <c r="K709" s="67">
        <v>948.90000000000009</v>
      </c>
      <c r="L709" s="82">
        <f t="shared" si="48"/>
        <v>598.74</v>
      </c>
      <c r="M709" s="67">
        <v>300</v>
      </c>
      <c r="N709" s="82"/>
      <c r="O709" s="82">
        <f t="shared" si="45"/>
        <v>642.59999999999991</v>
      </c>
      <c r="P709" s="82">
        <f t="shared" si="46"/>
        <v>598.74</v>
      </c>
      <c r="Q709" s="67"/>
      <c r="R709" s="82"/>
      <c r="S709" s="67">
        <v>63</v>
      </c>
      <c r="T709" s="82">
        <v>58.7</v>
      </c>
      <c r="U709" s="67"/>
      <c r="V709" s="82"/>
      <c r="W709" s="82"/>
      <c r="X709" s="82"/>
      <c r="Y709" s="68">
        <v>5</v>
      </c>
      <c r="Z709" s="82"/>
      <c r="AA709" s="69">
        <v>44561</v>
      </c>
      <c r="AB709" s="74"/>
      <c r="AC709" s="75"/>
      <c r="AD709" s="70" t="s">
        <v>543</v>
      </c>
    </row>
    <row r="710" spans="1:30" s="76" customFormat="1" ht="37.5">
      <c r="A710" s="82">
        <f>+SUBTOTAL(3,$B$7:B710)</f>
        <v>704</v>
      </c>
      <c r="B710" s="82" t="s">
        <v>444</v>
      </c>
      <c r="C710" s="82" t="s">
        <v>111</v>
      </c>
      <c r="D710" s="66" t="s">
        <v>298</v>
      </c>
      <c r="E710" s="82">
        <v>4</v>
      </c>
      <c r="F710" s="67">
        <v>305288706</v>
      </c>
      <c r="G710" s="66" t="s">
        <v>1456</v>
      </c>
      <c r="H710" s="66" t="s">
        <v>1457</v>
      </c>
      <c r="I710" s="66" t="s">
        <v>6</v>
      </c>
      <c r="J710" s="82" t="s">
        <v>12</v>
      </c>
      <c r="K710" s="67">
        <v>715</v>
      </c>
      <c r="L710" s="82">
        <f t="shared" si="48"/>
        <v>0</v>
      </c>
      <c r="M710" s="67">
        <v>200</v>
      </c>
      <c r="N710" s="82"/>
      <c r="O710" s="82">
        <f t="shared" si="45"/>
        <v>509.99999999999994</v>
      </c>
      <c r="P710" s="82">
        <f t="shared" si="46"/>
        <v>0</v>
      </c>
      <c r="Q710" s="67"/>
      <c r="R710" s="82"/>
      <c r="S710" s="67">
        <v>50</v>
      </c>
      <c r="T710" s="82"/>
      <c r="U710" s="67"/>
      <c r="V710" s="82"/>
      <c r="W710" s="82"/>
      <c r="X710" s="82"/>
      <c r="Y710" s="68">
        <v>4</v>
      </c>
      <c r="Z710" s="82"/>
      <c r="AA710" s="69">
        <v>44651</v>
      </c>
      <c r="AB710" s="74"/>
      <c r="AC710" s="75"/>
      <c r="AD710" s="70" t="s">
        <v>543</v>
      </c>
    </row>
    <row r="711" spans="1:30" s="76" customFormat="1" ht="37.5">
      <c r="A711" s="82">
        <f>+SUBTOTAL(3,$B$7:B711)</f>
        <v>705</v>
      </c>
      <c r="B711" s="82" t="s">
        <v>444</v>
      </c>
      <c r="C711" s="82" t="s">
        <v>111</v>
      </c>
      <c r="D711" s="66" t="s">
        <v>298</v>
      </c>
      <c r="E711" s="82">
        <v>2</v>
      </c>
      <c r="F711" s="67">
        <v>307325095</v>
      </c>
      <c r="G711" s="66" t="s">
        <v>1458</v>
      </c>
      <c r="H711" s="66" t="s">
        <v>1459</v>
      </c>
      <c r="I711" s="66" t="s">
        <v>9</v>
      </c>
      <c r="J711" s="82" t="s">
        <v>36</v>
      </c>
      <c r="K711" s="67">
        <v>3900</v>
      </c>
      <c r="L711" s="82">
        <f t="shared" si="48"/>
        <v>1500</v>
      </c>
      <c r="M711" s="67">
        <v>900</v>
      </c>
      <c r="N711" s="82"/>
      <c r="O711" s="82">
        <f t="shared" ref="O711:O774" si="49">+Q711+S711*10.2</f>
        <v>3000</v>
      </c>
      <c r="P711" s="82">
        <f t="shared" ref="P711:P774" si="50">+R711+T711*10.2</f>
        <v>1500</v>
      </c>
      <c r="Q711" s="67">
        <v>3000</v>
      </c>
      <c r="R711" s="82">
        <v>1500</v>
      </c>
      <c r="S711" s="67"/>
      <c r="T711" s="82"/>
      <c r="U711" s="67"/>
      <c r="V711" s="82"/>
      <c r="W711" s="82"/>
      <c r="X711" s="82"/>
      <c r="Y711" s="68">
        <v>5</v>
      </c>
      <c r="Z711" s="82"/>
      <c r="AA711" s="69">
        <v>44555</v>
      </c>
      <c r="AB711" s="74"/>
      <c r="AC711" s="75"/>
      <c r="AD711" s="70" t="s">
        <v>445</v>
      </c>
    </row>
    <row r="712" spans="1:30" s="76" customFormat="1" ht="56.25">
      <c r="A712" s="82">
        <f>+SUBTOTAL(3,$B$7:B712)</f>
        <v>706</v>
      </c>
      <c r="B712" s="82" t="s">
        <v>444</v>
      </c>
      <c r="C712" s="82" t="s">
        <v>111</v>
      </c>
      <c r="D712" s="66" t="s">
        <v>298</v>
      </c>
      <c r="E712" s="82">
        <v>4</v>
      </c>
      <c r="F712" s="67">
        <v>307419974</v>
      </c>
      <c r="G712" s="66" t="s">
        <v>1460</v>
      </c>
      <c r="H712" s="66" t="s">
        <v>1461</v>
      </c>
      <c r="I712" s="66" t="s">
        <v>6</v>
      </c>
      <c r="J712" s="82" t="s">
        <v>12</v>
      </c>
      <c r="K712" s="67">
        <v>2000</v>
      </c>
      <c r="L712" s="82">
        <f t="shared" si="48"/>
        <v>0</v>
      </c>
      <c r="M712" s="67">
        <v>1000</v>
      </c>
      <c r="N712" s="82"/>
      <c r="O712" s="82">
        <f t="shared" si="49"/>
        <v>1000</v>
      </c>
      <c r="P712" s="82">
        <f t="shared" si="50"/>
        <v>0</v>
      </c>
      <c r="Q712" s="67">
        <v>1000</v>
      </c>
      <c r="R712" s="82"/>
      <c r="S712" s="67"/>
      <c r="T712" s="82"/>
      <c r="U712" s="67"/>
      <c r="V712" s="82"/>
      <c r="W712" s="82"/>
      <c r="X712" s="82"/>
      <c r="Y712" s="68">
        <v>7</v>
      </c>
      <c r="Z712" s="82"/>
      <c r="AA712" s="69">
        <v>44925</v>
      </c>
      <c r="AB712" s="74"/>
      <c r="AC712" s="75"/>
      <c r="AD712" s="70" t="s">
        <v>543</v>
      </c>
    </row>
    <row r="713" spans="1:30" s="76" customFormat="1" ht="37.5">
      <c r="A713" s="82">
        <f>+SUBTOTAL(3,$B$7:B713)</f>
        <v>707</v>
      </c>
      <c r="B713" s="82" t="s">
        <v>444</v>
      </c>
      <c r="C713" s="82" t="s">
        <v>111</v>
      </c>
      <c r="D713" s="66" t="s">
        <v>298</v>
      </c>
      <c r="E713" s="82">
        <v>1</v>
      </c>
      <c r="F713" s="67">
        <v>307405558</v>
      </c>
      <c r="G713" s="66" t="s">
        <v>1462</v>
      </c>
      <c r="H713" s="66" t="s">
        <v>161</v>
      </c>
      <c r="I713" s="66" t="s">
        <v>10</v>
      </c>
      <c r="J713" s="82" t="s">
        <v>66</v>
      </c>
      <c r="K713" s="67">
        <v>2000</v>
      </c>
      <c r="L713" s="82">
        <f t="shared" si="48"/>
        <v>0</v>
      </c>
      <c r="M713" s="67">
        <v>2000</v>
      </c>
      <c r="N713" s="82"/>
      <c r="O713" s="82">
        <f t="shared" si="49"/>
        <v>0</v>
      </c>
      <c r="P713" s="82">
        <f t="shared" si="50"/>
        <v>0</v>
      </c>
      <c r="Q713" s="67"/>
      <c r="R713" s="82"/>
      <c r="S713" s="67"/>
      <c r="T713" s="82"/>
      <c r="U713" s="67"/>
      <c r="V713" s="82"/>
      <c r="W713" s="82"/>
      <c r="X713" s="82"/>
      <c r="Y713" s="68">
        <v>10</v>
      </c>
      <c r="Z713" s="82"/>
      <c r="AA713" s="69">
        <v>44560</v>
      </c>
      <c r="AB713" s="74"/>
      <c r="AC713" s="75"/>
      <c r="AD713" s="70" t="s">
        <v>445</v>
      </c>
    </row>
    <row r="714" spans="1:30" s="76" customFormat="1" ht="37.5">
      <c r="A714" s="82">
        <f>+SUBTOTAL(3,$B$7:B714)</f>
        <v>708</v>
      </c>
      <c r="B714" s="82" t="s">
        <v>444</v>
      </c>
      <c r="C714" s="82" t="s">
        <v>111</v>
      </c>
      <c r="D714" s="66" t="s">
        <v>298</v>
      </c>
      <c r="E714" s="82">
        <v>2</v>
      </c>
      <c r="F714" s="67">
        <v>201467948</v>
      </c>
      <c r="G714" s="66" t="s">
        <v>1463</v>
      </c>
      <c r="H714" s="66" t="s">
        <v>1464</v>
      </c>
      <c r="I714" s="66" t="s">
        <v>10</v>
      </c>
      <c r="J714" s="82" t="s">
        <v>30</v>
      </c>
      <c r="K714" s="67">
        <v>500</v>
      </c>
      <c r="L714" s="82">
        <f t="shared" si="48"/>
        <v>0</v>
      </c>
      <c r="M714" s="67">
        <v>200</v>
      </c>
      <c r="N714" s="82"/>
      <c r="O714" s="82">
        <f t="shared" si="49"/>
        <v>300</v>
      </c>
      <c r="P714" s="82">
        <f t="shared" si="50"/>
        <v>0</v>
      </c>
      <c r="Q714" s="67">
        <v>300</v>
      </c>
      <c r="R714" s="82"/>
      <c r="S714" s="67"/>
      <c r="T714" s="82"/>
      <c r="U714" s="67"/>
      <c r="V714" s="82"/>
      <c r="W714" s="82"/>
      <c r="X714" s="82"/>
      <c r="Y714" s="68">
        <v>4</v>
      </c>
      <c r="Z714" s="82"/>
      <c r="AA714" s="18">
        <v>44621</v>
      </c>
      <c r="AB714" s="74"/>
      <c r="AC714" s="75"/>
      <c r="AD714" s="70" t="s">
        <v>543</v>
      </c>
    </row>
    <row r="715" spans="1:30" s="76" customFormat="1" ht="56.25">
      <c r="A715" s="82">
        <f>+SUBTOTAL(3,$B$7:B715)</f>
        <v>709</v>
      </c>
      <c r="B715" s="82" t="s">
        <v>444</v>
      </c>
      <c r="C715" s="82" t="s">
        <v>111</v>
      </c>
      <c r="D715" s="66" t="s">
        <v>298</v>
      </c>
      <c r="E715" s="82">
        <v>4</v>
      </c>
      <c r="F715" s="67">
        <v>307240804</v>
      </c>
      <c r="G715" s="66" t="s">
        <v>1465</v>
      </c>
      <c r="H715" s="66" t="s">
        <v>1466</v>
      </c>
      <c r="I715" s="66" t="s">
        <v>10</v>
      </c>
      <c r="J715" s="82" t="s">
        <v>60</v>
      </c>
      <c r="K715" s="67">
        <v>4000</v>
      </c>
      <c r="L715" s="82">
        <f t="shared" si="48"/>
        <v>900</v>
      </c>
      <c r="M715" s="67">
        <v>3000</v>
      </c>
      <c r="N715" s="82"/>
      <c r="O715" s="82">
        <f t="shared" si="49"/>
        <v>1000</v>
      </c>
      <c r="P715" s="82">
        <f t="shared" si="50"/>
        <v>900</v>
      </c>
      <c r="Q715" s="67">
        <v>1000</v>
      </c>
      <c r="R715" s="82">
        <v>900</v>
      </c>
      <c r="S715" s="67"/>
      <c r="T715" s="82"/>
      <c r="U715" s="67"/>
      <c r="V715" s="82"/>
      <c r="W715" s="82"/>
      <c r="X715" s="82"/>
      <c r="Y715" s="68">
        <v>5</v>
      </c>
      <c r="Z715" s="82"/>
      <c r="AA715" s="18">
        <v>44378</v>
      </c>
      <c r="AB715" s="74"/>
      <c r="AC715" s="75"/>
      <c r="AD715" s="70" t="s">
        <v>543</v>
      </c>
    </row>
    <row r="716" spans="1:30" s="76" customFormat="1" ht="37.5">
      <c r="A716" s="82">
        <f>+SUBTOTAL(3,$B$7:B716)</f>
        <v>710</v>
      </c>
      <c r="B716" s="82" t="s">
        <v>444</v>
      </c>
      <c r="C716" s="82" t="s">
        <v>111</v>
      </c>
      <c r="D716" s="66" t="s">
        <v>298</v>
      </c>
      <c r="E716" s="82">
        <v>3</v>
      </c>
      <c r="F716" s="67">
        <v>306074308</v>
      </c>
      <c r="G716" s="66" t="s">
        <v>1467</v>
      </c>
      <c r="H716" s="66" t="s">
        <v>144</v>
      </c>
      <c r="I716" s="66" t="s">
        <v>10</v>
      </c>
      <c r="J716" s="82" t="s">
        <v>59</v>
      </c>
      <c r="K716" s="67">
        <v>700</v>
      </c>
      <c r="L716" s="82">
        <f t="shared" si="48"/>
        <v>400</v>
      </c>
      <c r="M716" s="67">
        <v>200</v>
      </c>
      <c r="N716" s="82"/>
      <c r="O716" s="82">
        <f t="shared" si="49"/>
        <v>500</v>
      </c>
      <c r="P716" s="82">
        <f t="shared" si="50"/>
        <v>400</v>
      </c>
      <c r="Q716" s="67">
        <v>500</v>
      </c>
      <c r="R716" s="82">
        <v>400</v>
      </c>
      <c r="S716" s="67"/>
      <c r="T716" s="82"/>
      <c r="U716" s="67"/>
      <c r="V716" s="82"/>
      <c r="W716" s="82"/>
      <c r="X716" s="82"/>
      <c r="Y716" s="68">
        <v>4</v>
      </c>
      <c r="Z716" s="82"/>
      <c r="AA716" s="18">
        <v>44377</v>
      </c>
      <c r="AB716" s="74"/>
      <c r="AC716" s="75"/>
      <c r="AD716" s="70" t="s">
        <v>543</v>
      </c>
    </row>
    <row r="717" spans="1:30" s="76" customFormat="1" ht="37.5">
      <c r="A717" s="82">
        <f>+SUBTOTAL(3,$B$7:B717)</f>
        <v>711</v>
      </c>
      <c r="B717" s="82" t="s">
        <v>444</v>
      </c>
      <c r="C717" s="82" t="s">
        <v>111</v>
      </c>
      <c r="D717" s="66" t="s">
        <v>298</v>
      </c>
      <c r="E717" s="82">
        <v>4</v>
      </c>
      <c r="F717" s="67">
        <v>307513978</v>
      </c>
      <c r="G717" s="66" t="s">
        <v>1468</v>
      </c>
      <c r="H717" s="66" t="s">
        <v>1469</v>
      </c>
      <c r="I717" s="66" t="s">
        <v>10</v>
      </c>
      <c r="J717" s="82" t="s">
        <v>30</v>
      </c>
      <c r="K717" s="67">
        <v>1000</v>
      </c>
      <c r="L717" s="82">
        <f t="shared" si="48"/>
        <v>700</v>
      </c>
      <c r="M717" s="67">
        <v>200</v>
      </c>
      <c r="N717" s="82"/>
      <c r="O717" s="82">
        <f t="shared" si="49"/>
        <v>800</v>
      </c>
      <c r="P717" s="82">
        <f t="shared" si="50"/>
        <v>700</v>
      </c>
      <c r="Q717" s="67">
        <v>800</v>
      </c>
      <c r="R717" s="82">
        <v>700</v>
      </c>
      <c r="S717" s="67"/>
      <c r="T717" s="82"/>
      <c r="U717" s="67"/>
      <c r="V717" s="82"/>
      <c r="W717" s="82"/>
      <c r="X717" s="82"/>
      <c r="Y717" s="68">
        <v>5</v>
      </c>
      <c r="Z717" s="82"/>
      <c r="AA717" s="69">
        <v>44531</v>
      </c>
      <c r="AB717" s="74"/>
      <c r="AC717" s="75"/>
      <c r="AD717" s="70" t="s">
        <v>460</v>
      </c>
    </row>
    <row r="718" spans="1:30" s="76" customFormat="1" ht="56.25">
      <c r="A718" s="82">
        <f>+SUBTOTAL(3,$B$7:B718)</f>
        <v>712</v>
      </c>
      <c r="B718" s="82" t="s">
        <v>444</v>
      </c>
      <c r="C718" s="82" t="s">
        <v>111</v>
      </c>
      <c r="D718" s="66" t="s">
        <v>298</v>
      </c>
      <c r="E718" s="82">
        <v>4</v>
      </c>
      <c r="F718" s="67">
        <v>302655006</v>
      </c>
      <c r="G718" s="66" t="s">
        <v>1470</v>
      </c>
      <c r="H718" s="66" t="s">
        <v>1471</v>
      </c>
      <c r="I718" s="66" t="s">
        <v>6</v>
      </c>
      <c r="J718" s="82" t="s">
        <v>12</v>
      </c>
      <c r="K718" s="67">
        <v>1730</v>
      </c>
      <c r="L718" s="82">
        <f t="shared" si="48"/>
        <v>0</v>
      </c>
      <c r="M718" s="67">
        <v>700</v>
      </c>
      <c r="N718" s="82"/>
      <c r="O718" s="82">
        <f t="shared" si="49"/>
        <v>1019.9999999999999</v>
      </c>
      <c r="P718" s="82">
        <f t="shared" si="50"/>
        <v>0</v>
      </c>
      <c r="Q718" s="67">
        <v>0</v>
      </c>
      <c r="R718" s="82"/>
      <c r="S718" s="67">
        <v>100</v>
      </c>
      <c r="T718" s="82"/>
      <c r="U718" s="67"/>
      <c r="V718" s="82"/>
      <c r="W718" s="82"/>
      <c r="X718" s="82"/>
      <c r="Y718" s="68">
        <v>7</v>
      </c>
      <c r="Z718" s="82"/>
      <c r="AA718" s="69">
        <v>44470</v>
      </c>
      <c r="AB718" s="74"/>
      <c r="AC718" s="75"/>
      <c r="AD718" s="70" t="s">
        <v>543</v>
      </c>
    </row>
    <row r="719" spans="1:30" s="76" customFormat="1" ht="37.5">
      <c r="A719" s="82">
        <f>+SUBTOTAL(3,$B$7:B719)</f>
        <v>713</v>
      </c>
      <c r="B719" s="82" t="s">
        <v>444</v>
      </c>
      <c r="C719" s="82" t="s">
        <v>111</v>
      </c>
      <c r="D719" s="66" t="s">
        <v>298</v>
      </c>
      <c r="E719" s="82">
        <v>2</v>
      </c>
      <c r="F719" s="67">
        <v>307522136</v>
      </c>
      <c r="G719" s="66" t="s">
        <v>1472</v>
      </c>
      <c r="H719" s="66" t="s">
        <v>1469</v>
      </c>
      <c r="I719" s="66" t="s">
        <v>10</v>
      </c>
      <c r="J719" s="82" t="s">
        <v>30</v>
      </c>
      <c r="K719" s="67">
        <v>300</v>
      </c>
      <c r="L719" s="82">
        <f t="shared" si="48"/>
        <v>100</v>
      </c>
      <c r="M719" s="67">
        <v>200</v>
      </c>
      <c r="N719" s="82"/>
      <c r="O719" s="82">
        <f t="shared" si="49"/>
        <v>100</v>
      </c>
      <c r="P719" s="82">
        <f t="shared" si="50"/>
        <v>100</v>
      </c>
      <c r="Q719" s="67">
        <v>100</v>
      </c>
      <c r="R719" s="82">
        <v>100</v>
      </c>
      <c r="S719" s="67"/>
      <c r="T719" s="82"/>
      <c r="U719" s="67"/>
      <c r="V719" s="82"/>
      <c r="W719" s="82"/>
      <c r="X719" s="82"/>
      <c r="Y719" s="68">
        <v>5</v>
      </c>
      <c r="Z719" s="82"/>
      <c r="AA719" s="69">
        <v>44531</v>
      </c>
      <c r="AB719" s="74"/>
      <c r="AC719" s="75"/>
      <c r="AD719" s="70" t="s">
        <v>445</v>
      </c>
    </row>
    <row r="720" spans="1:30" s="76" customFormat="1" ht="37.5">
      <c r="A720" s="82">
        <f>+SUBTOTAL(3,$B$7:B720)</f>
        <v>714</v>
      </c>
      <c r="B720" s="82" t="s">
        <v>444</v>
      </c>
      <c r="C720" s="82" t="s">
        <v>111</v>
      </c>
      <c r="D720" s="66" t="s">
        <v>298</v>
      </c>
      <c r="E720" s="82">
        <v>3</v>
      </c>
      <c r="F720" s="67">
        <v>303440234</v>
      </c>
      <c r="G720" s="66" t="s">
        <v>1473</v>
      </c>
      <c r="H720" s="66" t="s">
        <v>1474</v>
      </c>
      <c r="I720" s="66" t="s">
        <v>10</v>
      </c>
      <c r="J720" s="82" t="s">
        <v>60</v>
      </c>
      <c r="K720" s="67">
        <v>500</v>
      </c>
      <c r="L720" s="82">
        <f t="shared" si="48"/>
        <v>700</v>
      </c>
      <c r="M720" s="67">
        <v>200</v>
      </c>
      <c r="N720" s="82"/>
      <c r="O720" s="82">
        <f t="shared" si="49"/>
        <v>300</v>
      </c>
      <c r="P720" s="82">
        <f t="shared" si="50"/>
        <v>700</v>
      </c>
      <c r="Q720" s="67">
        <v>300</v>
      </c>
      <c r="R720" s="82">
        <v>700</v>
      </c>
      <c r="S720" s="67"/>
      <c r="T720" s="82"/>
      <c r="U720" s="67"/>
      <c r="V720" s="82"/>
      <c r="W720" s="82"/>
      <c r="X720" s="82"/>
      <c r="Y720" s="68">
        <v>6</v>
      </c>
      <c r="Z720" s="82"/>
      <c r="AA720" s="18">
        <v>44531</v>
      </c>
      <c r="AB720" s="74"/>
      <c r="AC720" s="75"/>
      <c r="AD720" s="70" t="s">
        <v>543</v>
      </c>
    </row>
    <row r="721" spans="1:30" s="76" customFormat="1" ht="37.5">
      <c r="A721" s="82">
        <f>+SUBTOTAL(3,$B$7:B721)</f>
        <v>715</v>
      </c>
      <c r="B721" s="82" t="s">
        <v>444</v>
      </c>
      <c r="C721" s="82" t="s">
        <v>111</v>
      </c>
      <c r="D721" s="66" t="s">
        <v>298</v>
      </c>
      <c r="E721" s="82">
        <v>3</v>
      </c>
      <c r="F721" s="67">
        <v>304384255</v>
      </c>
      <c r="G721" s="66" t="s">
        <v>1475</v>
      </c>
      <c r="H721" s="66" t="s">
        <v>1476</v>
      </c>
      <c r="I721" s="66" t="s">
        <v>10</v>
      </c>
      <c r="J721" s="82" t="s">
        <v>30</v>
      </c>
      <c r="K721" s="67">
        <v>600</v>
      </c>
      <c r="L721" s="82">
        <f t="shared" si="48"/>
        <v>500</v>
      </c>
      <c r="M721" s="67">
        <v>100</v>
      </c>
      <c r="N721" s="82"/>
      <c r="O721" s="82">
        <f t="shared" si="49"/>
        <v>500</v>
      </c>
      <c r="P721" s="82">
        <f t="shared" si="50"/>
        <v>500</v>
      </c>
      <c r="Q721" s="67">
        <v>500</v>
      </c>
      <c r="R721" s="82">
        <v>500</v>
      </c>
      <c r="S721" s="67"/>
      <c r="T721" s="82"/>
      <c r="U721" s="67"/>
      <c r="V721" s="82"/>
      <c r="W721" s="82"/>
      <c r="X721" s="82"/>
      <c r="Y721" s="68">
        <v>3</v>
      </c>
      <c r="Z721" s="82"/>
      <c r="AA721" s="69">
        <v>44531</v>
      </c>
      <c r="AB721" s="74"/>
      <c r="AC721" s="75"/>
      <c r="AD721" s="70" t="s">
        <v>460</v>
      </c>
    </row>
    <row r="722" spans="1:30" s="76" customFormat="1" ht="37.5">
      <c r="A722" s="82">
        <f>+SUBTOTAL(3,$B$7:B722)</f>
        <v>716</v>
      </c>
      <c r="B722" s="82" t="s">
        <v>444</v>
      </c>
      <c r="C722" s="82" t="s">
        <v>111</v>
      </c>
      <c r="D722" s="66" t="s">
        <v>298</v>
      </c>
      <c r="E722" s="82">
        <v>4</v>
      </c>
      <c r="F722" s="67">
        <v>306468171</v>
      </c>
      <c r="G722" s="66" t="s">
        <v>1477</v>
      </c>
      <c r="H722" s="66" t="s">
        <v>144</v>
      </c>
      <c r="I722" s="65" t="s">
        <v>10</v>
      </c>
      <c r="J722" s="82" t="s">
        <v>59</v>
      </c>
      <c r="K722" s="67">
        <v>400</v>
      </c>
      <c r="L722" s="82">
        <f t="shared" si="48"/>
        <v>300</v>
      </c>
      <c r="M722" s="67">
        <v>100</v>
      </c>
      <c r="N722" s="82"/>
      <c r="O722" s="82">
        <f t="shared" si="49"/>
        <v>300</v>
      </c>
      <c r="P722" s="82">
        <f t="shared" si="50"/>
        <v>300</v>
      </c>
      <c r="Q722" s="67">
        <v>300</v>
      </c>
      <c r="R722" s="82">
        <v>300</v>
      </c>
      <c r="S722" s="67"/>
      <c r="T722" s="82"/>
      <c r="U722" s="67"/>
      <c r="V722" s="82"/>
      <c r="W722" s="82"/>
      <c r="X722" s="82"/>
      <c r="Y722" s="68">
        <v>4</v>
      </c>
      <c r="Z722" s="82"/>
      <c r="AA722" s="69">
        <v>44531</v>
      </c>
      <c r="AB722" s="74"/>
      <c r="AC722" s="75"/>
      <c r="AD722" s="70" t="s">
        <v>543</v>
      </c>
    </row>
    <row r="723" spans="1:30" s="76" customFormat="1" ht="56.25">
      <c r="A723" s="82">
        <f>+SUBTOTAL(3,$B$7:B723)</f>
        <v>717</v>
      </c>
      <c r="B723" s="82" t="s">
        <v>444</v>
      </c>
      <c r="C723" s="82" t="s">
        <v>111</v>
      </c>
      <c r="D723" s="66" t="s">
        <v>298</v>
      </c>
      <c r="E723" s="82">
        <v>4</v>
      </c>
      <c r="F723" s="67">
        <v>201436409</v>
      </c>
      <c r="G723" s="66" t="s">
        <v>1478</v>
      </c>
      <c r="H723" s="66" t="s">
        <v>1479</v>
      </c>
      <c r="I723" s="66" t="s">
        <v>10</v>
      </c>
      <c r="J723" s="82" t="s">
        <v>30</v>
      </c>
      <c r="K723" s="67">
        <v>9000</v>
      </c>
      <c r="L723" s="82">
        <f t="shared" si="48"/>
        <v>0</v>
      </c>
      <c r="M723" s="67">
        <v>2000</v>
      </c>
      <c r="N723" s="82"/>
      <c r="O723" s="82">
        <f t="shared" si="49"/>
        <v>7000</v>
      </c>
      <c r="P723" s="82">
        <f t="shared" si="50"/>
        <v>0</v>
      </c>
      <c r="Q723" s="67">
        <v>7000</v>
      </c>
      <c r="R723" s="82"/>
      <c r="S723" s="67"/>
      <c r="T723" s="82"/>
      <c r="U723" s="67"/>
      <c r="V723" s="82"/>
      <c r="W723" s="82"/>
      <c r="X723" s="82"/>
      <c r="Y723" s="68">
        <v>10</v>
      </c>
      <c r="Z723" s="82"/>
      <c r="AA723" s="69">
        <v>44531</v>
      </c>
      <c r="AB723" s="74"/>
      <c r="AC723" s="75"/>
      <c r="AD723" s="70" t="s">
        <v>543</v>
      </c>
    </row>
    <row r="724" spans="1:30" s="76" customFormat="1" ht="37.5">
      <c r="A724" s="82">
        <f>+SUBTOTAL(3,$B$7:B724)</f>
        <v>718</v>
      </c>
      <c r="B724" s="82" t="s">
        <v>444</v>
      </c>
      <c r="C724" s="82" t="s">
        <v>111</v>
      </c>
      <c r="D724" s="66" t="s">
        <v>298</v>
      </c>
      <c r="E724" s="82">
        <v>3</v>
      </c>
      <c r="F724" s="67">
        <v>307351516</v>
      </c>
      <c r="G724" s="66" t="s">
        <v>1480</v>
      </c>
      <c r="H724" s="66" t="s">
        <v>1481</v>
      </c>
      <c r="I724" s="66" t="s">
        <v>10</v>
      </c>
      <c r="J724" s="82" t="s">
        <v>66</v>
      </c>
      <c r="K724" s="67">
        <v>1300</v>
      </c>
      <c r="L724" s="82">
        <f t="shared" si="48"/>
        <v>700</v>
      </c>
      <c r="M724" s="67">
        <v>400</v>
      </c>
      <c r="N724" s="82"/>
      <c r="O724" s="82">
        <f t="shared" si="49"/>
        <v>900</v>
      </c>
      <c r="P724" s="82">
        <f t="shared" si="50"/>
        <v>700</v>
      </c>
      <c r="Q724" s="67">
        <v>900</v>
      </c>
      <c r="R724" s="82">
        <v>700</v>
      </c>
      <c r="S724" s="67"/>
      <c r="T724" s="82"/>
      <c r="U724" s="67"/>
      <c r="V724" s="82"/>
      <c r="W724" s="82"/>
      <c r="X724" s="82"/>
      <c r="Y724" s="68">
        <v>12</v>
      </c>
      <c r="Z724" s="82"/>
      <c r="AA724" s="69">
        <v>44501</v>
      </c>
      <c r="AB724" s="74"/>
      <c r="AC724" s="75"/>
      <c r="AD724" s="70" t="s">
        <v>445</v>
      </c>
    </row>
    <row r="725" spans="1:30" s="76" customFormat="1" ht="37.5">
      <c r="A725" s="82">
        <f>+SUBTOTAL(3,$B$7:B725)</f>
        <v>719</v>
      </c>
      <c r="B725" s="95" t="s">
        <v>2100</v>
      </c>
      <c r="C725" s="82" t="s">
        <v>111</v>
      </c>
      <c r="D725" s="66" t="s">
        <v>298</v>
      </c>
      <c r="E725" s="82">
        <v>1</v>
      </c>
      <c r="F725" s="67">
        <v>304991584</v>
      </c>
      <c r="G725" s="66" t="s">
        <v>307</v>
      </c>
      <c r="H725" s="66" t="s">
        <v>308</v>
      </c>
      <c r="I725" s="66" t="s">
        <v>6</v>
      </c>
      <c r="J725" s="82" t="s">
        <v>32</v>
      </c>
      <c r="K725" s="67">
        <v>141900</v>
      </c>
      <c r="L725" s="82">
        <f t="shared" si="48"/>
        <v>0</v>
      </c>
      <c r="M725" s="67">
        <v>111000</v>
      </c>
      <c r="N725" s="82"/>
      <c r="O725" s="82">
        <f t="shared" si="49"/>
        <v>0</v>
      </c>
      <c r="P725" s="82">
        <f t="shared" si="50"/>
        <v>0</v>
      </c>
      <c r="Q725" s="67"/>
      <c r="R725" s="82"/>
      <c r="S725" s="67"/>
      <c r="T725" s="82"/>
      <c r="U725" s="67">
        <v>3000</v>
      </c>
      <c r="V725" s="82"/>
      <c r="W725" s="82"/>
      <c r="X725" s="82"/>
      <c r="Y725" s="68">
        <v>200</v>
      </c>
      <c r="Z725" s="82"/>
      <c r="AA725" s="69">
        <v>44560</v>
      </c>
      <c r="AB725" s="74"/>
      <c r="AC725" s="75"/>
      <c r="AD725" s="70" t="s">
        <v>477</v>
      </c>
    </row>
    <row r="726" spans="1:30" s="76" customFormat="1" ht="37.5">
      <c r="A726" s="82">
        <f>+SUBTOTAL(3,$B$7:B726)</f>
        <v>720</v>
      </c>
      <c r="B726" s="82" t="s">
        <v>444</v>
      </c>
      <c r="C726" s="82" t="s">
        <v>111</v>
      </c>
      <c r="D726" s="66" t="s">
        <v>298</v>
      </c>
      <c r="E726" s="82">
        <v>1</v>
      </c>
      <c r="F726" s="67">
        <v>305560788</v>
      </c>
      <c r="G726" s="66" t="s">
        <v>309</v>
      </c>
      <c r="H726" s="66" t="s">
        <v>141</v>
      </c>
      <c r="I726" s="66" t="s">
        <v>9</v>
      </c>
      <c r="J726" s="82" t="s">
        <v>40</v>
      </c>
      <c r="K726" s="67">
        <v>900</v>
      </c>
      <c r="L726" s="82">
        <f t="shared" si="48"/>
        <v>900</v>
      </c>
      <c r="M726" s="67">
        <v>400</v>
      </c>
      <c r="N726" s="82">
        <v>400</v>
      </c>
      <c r="O726" s="82">
        <f t="shared" si="49"/>
        <v>500</v>
      </c>
      <c r="P726" s="82">
        <f t="shared" si="50"/>
        <v>500</v>
      </c>
      <c r="Q726" s="67">
        <v>500</v>
      </c>
      <c r="R726" s="82">
        <v>500</v>
      </c>
      <c r="S726" s="67"/>
      <c r="T726" s="82"/>
      <c r="U726" s="67"/>
      <c r="V726" s="82"/>
      <c r="W726" s="82"/>
      <c r="X726" s="82"/>
      <c r="Y726" s="68">
        <v>3</v>
      </c>
      <c r="Z726" s="82">
        <v>3</v>
      </c>
      <c r="AA726" s="18">
        <v>44348</v>
      </c>
      <c r="AB726" s="74">
        <v>44116</v>
      </c>
      <c r="AC726" s="75" t="s">
        <v>1920</v>
      </c>
      <c r="AD726" s="70" t="s">
        <v>3</v>
      </c>
    </row>
    <row r="727" spans="1:30" s="76" customFormat="1" ht="37.5">
      <c r="A727" s="82">
        <f>+SUBTOTAL(3,$B$7:B727)</f>
        <v>721</v>
      </c>
      <c r="B727" s="82" t="s">
        <v>444</v>
      </c>
      <c r="C727" s="82" t="s">
        <v>111</v>
      </c>
      <c r="D727" s="66" t="s">
        <v>298</v>
      </c>
      <c r="E727" s="82">
        <v>1</v>
      </c>
      <c r="F727" s="67">
        <v>305502447</v>
      </c>
      <c r="G727" s="66" t="s">
        <v>1783</v>
      </c>
      <c r="H727" s="66" t="s">
        <v>139</v>
      </c>
      <c r="I727" s="66" t="s">
        <v>9</v>
      </c>
      <c r="J727" s="82" t="s">
        <v>40</v>
      </c>
      <c r="K727" s="67">
        <v>1250</v>
      </c>
      <c r="L727" s="82">
        <f t="shared" si="48"/>
        <v>800</v>
      </c>
      <c r="M727" s="67">
        <v>250</v>
      </c>
      <c r="N727" s="82"/>
      <c r="O727" s="82">
        <f t="shared" si="49"/>
        <v>1000</v>
      </c>
      <c r="P727" s="82">
        <f t="shared" si="50"/>
        <v>800</v>
      </c>
      <c r="Q727" s="67">
        <v>1000</v>
      </c>
      <c r="R727" s="82">
        <v>800</v>
      </c>
      <c r="S727" s="67"/>
      <c r="T727" s="82"/>
      <c r="U727" s="67"/>
      <c r="V727" s="82"/>
      <c r="W727" s="82"/>
      <c r="X727" s="82"/>
      <c r="Y727" s="68">
        <v>5</v>
      </c>
      <c r="Z727" s="82"/>
      <c r="AA727" s="69">
        <v>44501</v>
      </c>
      <c r="AB727" s="74"/>
      <c r="AC727" s="75"/>
      <c r="AD727" s="70" t="s">
        <v>3</v>
      </c>
    </row>
    <row r="728" spans="1:30" s="76" customFormat="1" ht="37.5">
      <c r="A728" s="82">
        <f>+SUBTOTAL(3,$B$7:B728)</f>
        <v>722</v>
      </c>
      <c r="B728" s="82" t="s">
        <v>444</v>
      </c>
      <c r="C728" s="82" t="s">
        <v>111</v>
      </c>
      <c r="D728" s="66" t="s">
        <v>298</v>
      </c>
      <c r="E728" s="82">
        <v>1</v>
      </c>
      <c r="F728" s="67">
        <v>307427238</v>
      </c>
      <c r="G728" s="66" t="s">
        <v>1482</v>
      </c>
      <c r="H728" s="66" t="s">
        <v>141</v>
      </c>
      <c r="I728" s="66" t="s">
        <v>9</v>
      </c>
      <c r="J728" s="82" t="s">
        <v>40</v>
      </c>
      <c r="K728" s="67">
        <v>1250</v>
      </c>
      <c r="L728" s="82">
        <f t="shared" si="48"/>
        <v>0</v>
      </c>
      <c r="M728" s="67">
        <v>850</v>
      </c>
      <c r="N728" s="82"/>
      <c r="O728" s="82">
        <f t="shared" si="49"/>
        <v>400</v>
      </c>
      <c r="P728" s="82">
        <f t="shared" si="50"/>
        <v>0</v>
      </c>
      <c r="Q728" s="67">
        <v>400</v>
      </c>
      <c r="R728" s="82"/>
      <c r="S728" s="67"/>
      <c r="T728" s="82"/>
      <c r="U728" s="67"/>
      <c r="V728" s="82"/>
      <c r="W728" s="82"/>
      <c r="X728" s="82"/>
      <c r="Y728" s="68">
        <v>5</v>
      </c>
      <c r="Z728" s="82"/>
      <c r="AA728" s="69">
        <v>44470</v>
      </c>
      <c r="AB728" s="74"/>
      <c r="AC728" s="75"/>
      <c r="AD728" s="70" t="s">
        <v>3</v>
      </c>
    </row>
    <row r="729" spans="1:30" s="76" customFormat="1" ht="37.5">
      <c r="A729" s="82">
        <f>+SUBTOTAL(3,$B$7:B729)</f>
        <v>723</v>
      </c>
      <c r="B729" s="82" t="s">
        <v>444</v>
      </c>
      <c r="C729" s="82" t="s">
        <v>111</v>
      </c>
      <c r="D729" s="66" t="s">
        <v>298</v>
      </c>
      <c r="E729" s="82">
        <v>1</v>
      </c>
      <c r="F729" s="67">
        <v>307269996</v>
      </c>
      <c r="G729" s="66" t="s">
        <v>1483</v>
      </c>
      <c r="H729" s="66" t="s">
        <v>141</v>
      </c>
      <c r="I729" s="66" t="s">
        <v>9</v>
      </c>
      <c r="J729" s="82" t="s">
        <v>40</v>
      </c>
      <c r="K729" s="67">
        <v>2000</v>
      </c>
      <c r="L729" s="82">
        <f t="shared" si="48"/>
        <v>2000</v>
      </c>
      <c r="M729" s="67">
        <v>500</v>
      </c>
      <c r="N729" s="82">
        <v>500</v>
      </c>
      <c r="O729" s="82">
        <f t="shared" si="49"/>
        <v>1500</v>
      </c>
      <c r="P729" s="82">
        <f t="shared" si="50"/>
        <v>1500</v>
      </c>
      <c r="Q729" s="67">
        <v>1500</v>
      </c>
      <c r="R729" s="82">
        <v>1500</v>
      </c>
      <c r="S729" s="67"/>
      <c r="T729" s="82"/>
      <c r="U729" s="67"/>
      <c r="V729" s="82"/>
      <c r="W729" s="82"/>
      <c r="X729" s="82"/>
      <c r="Y729" s="68">
        <v>6</v>
      </c>
      <c r="Z729" s="82">
        <v>2</v>
      </c>
      <c r="AA729" s="69">
        <v>44196</v>
      </c>
      <c r="AB729" s="74">
        <v>44163</v>
      </c>
      <c r="AC729" s="75" t="s">
        <v>2054</v>
      </c>
      <c r="AD729" s="70" t="s">
        <v>3</v>
      </c>
    </row>
    <row r="730" spans="1:30" s="76" customFormat="1" ht="37.5">
      <c r="A730" s="82">
        <f>+SUBTOTAL(3,$B$7:B730)</f>
        <v>724</v>
      </c>
      <c r="B730" s="82" t="s">
        <v>444</v>
      </c>
      <c r="C730" s="82" t="s">
        <v>111</v>
      </c>
      <c r="D730" s="66" t="s">
        <v>298</v>
      </c>
      <c r="E730" s="82">
        <v>1</v>
      </c>
      <c r="F730" s="67">
        <v>307380630</v>
      </c>
      <c r="G730" s="66" t="s">
        <v>1484</v>
      </c>
      <c r="H730" s="66" t="s">
        <v>141</v>
      </c>
      <c r="I730" s="66" t="s">
        <v>9</v>
      </c>
      <c r="J730" s="82" t="s">
        <v>40</v>
      </c>
      <c r="K730" s="67">
        <v>2000</v>
      </c>
      <c r="L730" s="82">
        <f t="shared" si="48"/>
        <v>1500</v>
      </c>
      <c r="M730" s="67">
        <v>500</v>
      </c>
      <c r="N730" s="82"/>
      <c r="O730" s="82">
        <f t="shared" si="49"/>
        <v>1500</v>
      </c>
      <c r="P730" s="82">
        <f t="shared" si="50"/>
        <v>1500</v>
      </c>
      <c r="Q730" s="67">
        <v>1500</v>
      </c>
      <c r="R730" s="82">
        <v>1500</v>
      </c>
      <c r="S730" s="67"/>
      <c r="T730" s="82"/>
      <c r="U730" s="67"/>
      <c r="V730" s="82"/>
      <c r="W730" s="82"/>
      <c r="X730" s="82"/>
      <c r="Y730" s="68">
        <v>5</v>
      </c>
      <c r="Z730" s="82"/>
      <c r="AA730" s="69">
        <v>44348</v>
      </c>
      <c r="AB730" s="74"/>
      <c r="AC730" s="75"/>
      <c r="AD730" s="70" t="s">
        <v>3</v>
      </c>
    </row>
    <row r="731" spans="1:30" s="76" customFormat="1" ht="37.5">
      <c r="A731" s="82">
        <f>+SUBTOTAL(3,$B$7:B731)</f>
        <v>725</v>
      </c>
      <c r="B731" s="82" t="s">
        <v>444</v>
      </c>
      <c r="C731" s="82" t="s">
        <v>111</v>
      </c>
      <c r="D731" s="66" t="s">
        <v>298</v>
      </c>
      <c r="E731" s="82">
        <v>1</v>
      </c>
      <c r="F731" s="67">
        <v>302186416</v>
      </c>
      <c r="G731" s="66" t="s">
        <v>1485</v>
      </c>
      <c r="H731" s="66" t="s">
        <v>1486</v>
      </c>
      <c r="I731" s="66" t="s">
        <v>9</v>
      </c>
      <c r="J731" s="82" t="s">
        <v>40</v>
      </c>
      <c r="K731" s="67">
        <v>3000</v>
      </c>
      <c r="L731" s="82">
        <f t="shared" si="48"/>
        <v>2000</v>
      </c>
      <c r="M731" s="67">
        <v>1000</v>
      </c>
      <c r="N731" s="82"/>
      <c r="O731" s="82">
        <f t="shared" si="49"/>
        <v>2000</v>
      </c>
      <c r="P731" s="82">
        <f t="shared" si="50"/>
        <v>2000</v>
      </c>
      <c r="Q731" s="67">
        <v>2000</v>
      </c>
      <c r="R731" s="82">
        <v>2000</v>
      </c>
      <c r="S731" s="67"/>
      <c r="T731" s="82"/>
      <c r="U731" s="67"/>
      <c r="V731" s="82"/>
      <c r="W731" s="82"/>
      <c r="X731" s="82"/>
      <c r="Y731" s="68">
        <v>5</v>
      </c>
      <c r="Z731" s="82"/>
      <c r="AA731" s="69">
        <v>44348</v>
      </c>
      <c r="AB731" s="74"/>
      <c r="AC731" s="75"/>
      <c r="AD731" s="70" t="s">
        <v>3</v>
      </c>
    </row>
    <row r="732" spans="1:30" s="76" customFormat="1" ht="37.5">
      <c r="A732" s="82">
        <f>+SUBTOTAL(3,$B$7:B732)</f>
        <v>726</v>
      </c>
      <c r="B732" s="82" t="s">
        <v>444</v>
      </c>
      <c r="C732" s="82" t="s">
        <v>111</v>
      </c>
      <c r="D732" s="66" t="s">
        <v>298</v>
      </c>
      <c r="E732" s="82">
        <v>3</v>
      </c>
      <c r="F732" s="67">
        <v>305103706</v>
      </c>
      <c r="G732" s="66" t="s">
        <v>1487</v>
      </c>
      <c r="H732" s="66" t="s">
        <v>1488</v>
      </c>
      <c r="I732" s="66" t="s">
        <v>9</v>
      </c>
      <c r="J732" s="82" t="s">
        <v>47</v>
      </c>
      <c r="K732" s="67">
        <v>12000</v>
      </c>
      <c r="L732" s="82">
        <f t="shared" si="48"/>
        <v>2212</v>
      </c>
      <c r="M732" s="67">
        <v>4000</v>
      </c>
      <c r="N732" s="82"/>
      <c r="O732" s="82">
        <f t="shared" si="49"/>
        <v>8000</v>
      </c>
      <c r="P732" s="82">
        <f t="shared" si="50"/>
        <v>2212</v>
      </c>
      <c r="Q732" s="67">
        <v>8000</v>
      </c>
      <c r="R732" s="82">
        <v>2212</v>
      </c>
      <c r="S732" s="67"/>
      <c r="T732" s="82"/>
      <c r="U732" s="67"/>
      <c r="V732" s="82"/>
      <c r="W732" s="82"/>
      <c r="X732" s="82"/>
      <c r="Y732" s="68">
        <v>6</v>
      </c>
      <c r="Z732" s="82"/>
      <c r="AA732" s="69">
        <v>44470</v>
      </c>
      <c r="AB732" s="74"/>
      <c r="AC732" s="75"/>
      <c r="AD732" s="70" t="s">
        <v>4</v>
      </c>
    </row>
    <row r="733" spans="1:30" s="76" customFormat="1" ht="37.5">
      <c r="A733" s="82">
        <f>+SUBTOTAL(3,$B$7:B733)</f>
        <v>727</v>
      </c>
      <c r="B733" s="82" t="s">
        <v>444</v>
      </c>
      <c r="C733" s="82" t="s">
        <v>111</v>
      </c>
      <c r="D733" s="66" t="s">
        <v>298</v>
      </c>
      <c r="E733" s="82">
        <v>1</v>
      </c>
      <c r="F733" s="67">
        <v>307281484</v>
      </c>
      <c r="G733" s="66" t="s">
        <v>2064</v>
      </c>
      <c r="H733" s="66" t="s">
        <v>2065</v>
      </c>
      <c r="I733" s="66" t="s">
        <v>9</v>
      </c>
      <c r="J733" s="82" t="s">
        <v>63</v>
      </c>
      <c r="K733" s="67">
        <v>7000</v>
      </c>
      <c r="L733" s="82">
        <v>7000</v>
      </c>
      <c r="M733" s="67">
        <v>1000</v>
      </c>
      <c r="N733" s="82">
        <v>1000</v>
      </c>
      <c r="O733" s="82">
        <f t="shared" si="49"/>
        <v>6000</v>
      </c>
      <c r="P733" s="82">
        <f t="shared" si="50"/>
        <v>6000</v>
      </c>
      <c r="Q733" s="67">
        <v>6000</v>
      </c>
      <c r="R733" s="82">
        <v>6000</v>
      </c>
      <c r="S733" s="67"/>
      <c r="T733" s="82"/>
      <c r="U733" s="67"/>
      <c r="V733" s="82"/>
      <c r="W733" s="82"/>
      <c r="X733" s="82"/>
      <c r="Y733" s="68">
        <v>2</v>
      </c>
      <c r="Z733" s="82">
        <v>2</v>
      </c>
      <c r="AA733" s="69">
        <v>44175</v>
      </c>
      <c r="AB733" s="74">
        <v>44175</v>
      </c>
      <c r="AC733" s="75" t="s">
        <v>2066</v>
      </c>
      <c r="AD733" s="70" t="s">
        <v>445</v>
      </c>
    </row>
    <row r="734" spans="1:30" s="76" customFormat="1" ht="37.5">
      <c r="A734" s="82">
        <f>+SUBTOTAL(3,$B$7:B734)</f>
        <v>728</v>
      </c>
      <c r="B734" s="82" t="s">
        <v>444</v>
      </c>
      <c r="C734" s="82" t="s">
        <v>111</v>
      </c>
      <c r="D734" s="66" t="s">
        <v>298</v>
      </c>
      <c r="E734" s="82">
        <v>2</v>
      </c>
      <c r="F734" s="67">
        <v>307563022</v>
      </c>
      <c r="G734" s="66" t="s">
        <v>1489</v>
      </c>
      <c r="H734" s="66" t="s">
        <v>1469</v>
      </c>
      <c r="I734" s="66" t="s">
        <v>10</v>
      </c>
      <c r="J734" s="82" t="s">
        <v>30</v>
      </c>
      <c r="K734" s="67">
        <v>300</v>
      </c>
      <c r="L734" s="82">
        <f t="shared" ref="L734:L745" si="51">+N734+R734+T734*10.2+V734*10.2</f>
        <v>300</v>
      </c>
      <c r="M734" s="67">
        <v>200</v>
      </c>
      <c r="N734" s="82">
        <v>200</v>
      </c>
      <c r="O734" s="82">
        <f t="shared" si="49"/>
        <v>100</v>
      </c>
      <c r="P734" s="82">
        <f t="shared" si="50"/>
        <v>100</v>
      </c>
      <c r="Q734" s="67">
        <v>100</v>
      </c>
      <c r="R734" s="82">
        <v>100</v>
      </c>
      <c r="S734" s="67"/>
      <c r="T734" s="82"/>
      <c r="U734" s="67"/>
      <c r="V734" s="82"/>
      <c r="W734" s="82"/>
      <c r="X734" s="82"/>
      <c r="Y734" s="68">
        <v>4</v>
      </c>
      <c r="Z734" s="82">
        <v>4</v>
      </c>
      <c r="AA734" s="69">
        <v>44166</v>
      </c>
      <c r="AB734" s="74">
        <v>44155</v>
      </c>
      <c r="AC734" s="75" t="s">
        <v>2012</v>
      </c>
      <c r="AD734" s="70" t="s">
        <v>7</v>
      </c>
    </row>
    <row r="735" spans="1:30" s="76" customFormat="1" ht="37.5">
      <c r="A735" s="82">
        <f>+SUBTOTAL(3,$B$7:B735)</f>
        <v>729</v>
      </c>
      <c r="B735" s="82" t="s">
        <v>444</v>
      </c>
      <c r="C735" s="82" t="s">
        <v>111</v>
      </c>
      <c r="D735" s="66" t="s">
        <v>298</v>
      </c>
      <c r="E735" s="82">
        <v>2</v>
      </c>
      <c r="F735" s="67">
        <v>307419144</v>
      </c>
      <c r="G735" s="66" t="s">
        <v>1490</v>
      </c>
      <c r="H735" s="66" t="s">
        <v>1469</v>
      </c>
      <c r="I735" s="66" t="s">
        <v>10</v>
      </c>
      <c r="J735" s="82" t="s">
        <v>30</v>
      </c>
      <c r="K735" s="67">
        <v>600</v>
      </c>
      <c r="L735" s="82">
        <f t="shared" si="51"/>
        <v>250</v>
      </c>
      <c r="M735" s="67">
        <v>200</v>
      </c>
      <c r="N735" s="82"/>
      <c r="O735" s="82">
        <f t="shared" si="49"/>
        <v>400</v>
      </c>
      <c r="P735" s="82">
        <f t="shared" si="50"/>
        <v>250</v>
      </c>
      <c r="Q735" s="67">
        <v>400</v>
      </c>
      <c r="R735" s="82">
        <v>250</v>
      </c>
      <c r="S735" s="67"/>
      <c r="T735" s="82"/>
      <c r="U735" s="67"/>
      <c r="V735" s="82"/>
      <c r="W735" s="82"/>
      <c r="X735" s="82"/>
      <c r="Y735" s="68">
        <v>5</v>
      </c>
      <c r="Z735" s="82"/>
      <c r="AA735" s="69">
        <v>44531</v>
      </c>
      <c r="AB735" s="74"/>
      <c r="AC735" s="75"/>
      <c r="AD735" s="70" t="s">
        <v>7</v>
      </c>
    </row>
    <row r="736" spans="1:30" s="76" customFormat="1" ht="37.5">
      <c r="A736" s="82">
        <f>+SUBTOTAL(3,$B$7:B736)</f>
        <v>730</v>
      </c>
      <c r="B736" s="82" t="s">
        <v>444</v>
      </c>
      <c r="C736" s="82" t="s">
        <v>111</v>
      </c>
      <c r="D736" s="66" t="s">
        <v>298</v>
      </c>
      <c r="E736" s="82">
        <v>1</v>
      </c>
      <c r="F736" s="67">
        <v>307385900</v>
      </c>
      <c r="G736" s="66" t="s">
        <v>1491</v>
      </c>
      <c r="H736" s="66" t="s">
        <v>158</v>
      </c>
      <c r="I736" s="66" t="s">
        <v>9</v>
      </c>
      <c r="J736" s="82" t="s">
        <v>37</v>
      </c>
      <c r="K736" s="67">
        <v>293</v>
      </c>
      <c r="L736" s="82">
        <f t="shared" si="51"/>
        <v>223</v>
      </c>
      <c r="M736" s="67">
        <v>70</v>
      </c>
      <c r="N736" s="82"/>
      <c r="O736" s="82">
        <f t="shared" si="49"/>
        <v>223</v>
      </c>
      <c r="P736" s="82">
        <f t="shared" si="50"/>
        <v>223</v>
      </c>
      <c r="Q736" s="67">
        <v>223</v>
      </c>
      <c r="R736" s="82">
        <v>223</v>
      </c>
      <c r="S736" s="67"/>
      <c r="T736" s="82"/>
      <c r="U736" s="67"/>
      <c r="V736" s="82"/>
      <c r="W736" s="82"/>
      <c r="X736" s="82"/>
      <c r="Y736" s="68">
        <v>4</v>
      </c>
      <c r="Z736" s="82"/>
      <c r="AA736" s="18">
        <v>44501</v>
      </c>
      <c r="AB736" s="74"/>
      <c r="AC736" s="75"/>
      <c r="AD736" s="70" t="s">
        <v>7</v>
      </c>
    </row>
    <row r="737" spans="1:30" s="76" customFormat="1" ht="37.5">
      <c r="A737" s="82">
        <f>+SUBTOTAL(3,$B$7:B737)</f>
        <v>731</v>
      </c>
      <c r="B737" s="82" t="s">
        <v>444</v>
      </c>
      <c r="C737" s="82" t="s">
        <v>111</v>
      </c>
      <c r="D737" s="66" t="s">
        <v>298</v>
      </c>
      <c r="E737" s="82">
        <v>1</v>
      </c>
      <c r="F737" s="67">
        <v>307421737</v>
      </c>
      <c r="G737" s="66" t="s">
        <v>1492</v>
      </c>
      <c r="H737" s="66" t="s">
        <v>141</v>
      </c>
      <c r="I737" s="66" t="s">
        <v>9</v>
      </c>
      <c r="J737" s="82" t="s">
        <v>40</v>
      </c>
      <c r="K737" s="67">
        <v>260</v>
      </c>
      <c r="L737" s="82">
        <f t="shared" si="51"/>
        <v>200</v>
      </c>
      <c r="M737" s="67">
        <v>60</v>
      </c>
      <c r="N737" s="82"/>
      <c r="O737" s="82">
        <f t="shared" si="49"/>
        <v>200</v>
      </c>
      <c r="P737" s="82">
        <f t="shared" si="50"/>
        <v>200</v>
      </c>
      <c r="Q737" s="67">
        <v>200</v>
      </c>
      <c r="R737" s="82">
        <v>200</v>
      </c>
      <c r="S737" s="67"/>
      <c r="T737" s="82"/>
      <c r="U737" s="67"/>
      <c r="V737" s="82"/>
      <c r="W737" s="82"/>
      <c r="X737" s="82"/>
      <c r="Y737" s="68">
        <v>3</v>
      </c>
      <c r="Z737" s="82"/>
      <c r="AA737" s="69">
        <v>44501</v>
      </c>
      <c r="AB737" s="74"/>
      <c r="AC737" s="75"/>
      <c r="AD737" s="70" t="s">
        <v>7</v>
      </c>
    </row>
    <row r="738" spans="1:30" s="76" customFormat="1" ht="37.5">
      <c r="A738" s="82">
        <f>+SUBTOTAL(3,$B$7:B738)</f>
        <v>732</v>
      </c>
      <c r="B738" s="82" t="s">
        <v>444</v>
      </c>
      <c r="C738" s="82" t="s">
        <v>111</v>
      </c>
      <c r="D738" s="66" t="s">
        <v>298</v>
      </c>
      <c r="E738" s="82">
        <v>2</v>
      </c>
      <c r="F738" s="67">
        <v>307415846</v>
      </c>
      <c r="G738" s="66" t="s">
        <v>1978</v>
      </c>
      <c r="H738" s="66" t="s">
        <v>131</v>
      </c>
      <c r="I738" s="66" t="s">
        <v>9</v>
      </c>
      <c r="J738" s="82" t="s">
        <v>37</v>
      </c>
      <c r="K738" s="67">
        <v>1000</v>
      </c>
      <c r="L738" s="82">
        <f t="shared" si="51"/>
        <v>865</v>
      </c>
      <c r="M738" s="67">
        <v>500</v>
      </c>
      <c r="N738" s="82">
        <v>500</v>
      </c>
      <c r="O738" s="82">
        <f t="shared" si="49"/>
        <v>500</v>
      </c>
      <c r="P738" s="82">
        <f t="shared" si="50"/>
        <v>365</v>
      </c>
      <c r="Q738" s="67">
        <v>500</v>
      </c>
      <c r="R738" s="82">
        <v>365</v>
      </c>
      <c r="S738" s="67"/>
      <c r="T738" s="82"/>
      <c r="U738" s="67"/>
      <c r="V738" s="82"/>
      <c r="W738" s="82"/>
      <c r="X738" s="82"/>
      <c r="Y738" s="68">
        <v>3</v>
      </c>
      <c r="Z738" s="82">
        <v>6</v>
      </c>
      <c r="AA738" s="69">
        <v>44166</v>
      </c>
      <c r="AB738" s="74">
        <v>44162</v>
      </c>
      <c r="AC738" s="75" t="s">
        <v>1926</v>
      </c>
      <c r="AD738" s="70" t="s">
        <v>7</v>
      </c>
    </row>
    <row r="739" spans="1:30" s="76" customFormat="1" ht="37.5">
      <c r="A739" s="82">
        <f>+SUBTOTAL(3,$B$7:B739)</f>
        <v>733</v>
      </c>
      <c r="B739" s="82" t="s">
        <v>444</v>
      </c>
      <c r="C739" s="82" t="s">
        <v>111</v>
      </c>
      <c r="D739" s="66" t="s">
        <v>310</v>
      </c>
      <c r="E739" s="82">
        <v>2</v>
      </c>
      <c r="F739" s="67">
        <v>302733486</v>
      </c>
      <c r="G739" s="66" t="s">
        <v>1493</v>
      </c>
      <c r="H739" s="66" t="s">
        <v>1494</v>
      </c>
      <c r="I739" s="66" t="s">
        <v>6</v>
      </c>
      <c r="J739" s="82" t="s">
        <v>11</v>
      </c>
      <c r="K739" s="67">
        <v>1200</v>
      </c>
      <c r="L739" s="82">
        <f t="shared" si="51"/>
        <v>600</v>
      </c>
      <c r="M739" s="67">
        <v>500</v>
      </c>
      <c r="N739" s="82"/>
      <c r="O739" s="82">
        <f t="shared" si="49"/>
        <v>700</v>
      </c>
      <c r="P739" s="82">
        <f t="shared" si="50"/>
        <v>600</v>
      </c>
      <c r="Q739" s="67">
        <v>700</v>
      </c>
      <c r="R739" s="82">
        <v>600</v>
      </c>
      <c r="S739" s="67"/>
      <c r="T739" s="82"/>
      <c r="U739" s="67"/>
      <c r="V739" s="82"/>
      <c r="W739" s="82"/>
      <c r="X739" s="82"/>
      <c r="Y739" s="68">
        <v>5</v>
      </c>
      <c r="Z739" s="82"/>
      <c r="AA739" s="69">
        <v>44378</v>
      </c>
      <c r="AB739" s="74"/>
      <c r="AC739" s="75"/>
      <c r="AD739" s="70" t="s">
        <v>0</v>
      </c>
    </row>
    <row r="740" spans="1:30" s="76" customFormat="1" ht="37.5">
      <c r="A740" s="82">
        <f>+SUBTOTAL(3,$B$7:B740)</f>
        <v>734</v>
      </c>
      <c r="B740" s="82" t="s">
        <v>444</v>
      </c>
      <c r="C740" s="82" t="s">
        <v>111</v>
      </c>
      <c r="D740" s="66" t="s">
        <v>310</v>
      </c>
      <c r="E740" s="82">
        <v>3</v>
      </c>
      <c r="F740" s="67">
        <v>306468679</v>
      </c>
      <c r="G740" s="66" t="s">
        <v>312</v>
      </c>
      <c r="H740" s="66" t="s">
        <v>313</v>
      </c>
      <c r="I740" s="66" t="s">
        <v>9</v>
      </c>
      <c r="J740" s="82" t="s">
        <v>39</v>
      </c>
      <c r="K740" s="67">
        <v>15450.000000000002</v>
      </c>
      <c r="L740" s="82">
        <f t="shared" si="51"/>
        <v>0</v>
      </c>
      <c r="M740" s="67">
        <v>0</v>
      </c>
      <c r="N740" s="82"/>
      <c r="O740" s="82">
        <f t="shared" si="49"/>
        <v>0</v>
      </c>
      <c r="P740" s="82">
        <f t="shared" si="50"/>
        <v>0</v>
      </c>
      <c r="Q740" s="67">
        <v>0</v>
      </c>
      <c r="R740" s="82"/>
      <c r="S740" s="67">
        <v>0</v>
      </c>
      <c r="T740" s="82"/>
      <c r="U740" s="67">
        <v>1500</v>
      </c>
      <c r="V740" s="82"/>
      <c r="W740" s="82"/>
      <c r="X740" s="82"/>
      <c r="Y740" s="68">
        <v>40</v>
      </c>
      <c r="Z740" s="82"/>
      <c r="AA740" s="69">
        <v>44440</v>
      </c>
      <c r="AB740" s="74"/>
      <c r="AC740" s="75"/>
      <c r="AD740" s="70" t="s">
        <v>477</v>
      </c>
    </row>
    <row r="741" spans="1:30" s="76" customFormat="1" ht="37.5">
      <c r="A741" s="82">
        <f>+SUBTOTAL(3,$B$7:B741)</f>
        <v>735</v>
      </c>
      <c r="B741" s="82" t="s">
        <v>444</v>
      </c>
      <c r="C741" s="82" t="s">
        <v>111</v>
      </c>
      <c r="D741" s="66" t="s">
        <v>310</v>
      </c>
      <c r="E741" s="82">
        <v>3</v>
      </c>
      <c r="F741" s="67">
        <v>302719613</v>
      </c>
      <c r="G741" s="66" t="s">
        <v>314</v>
      </c>
      <c r="H741" s="66" t="s">
        <v>112</v>
      </c>
      <c r="I741" s="66" t="s">
        <v>6</v>
      </c>
      <c r="J741" s="82" t="s">
        <v>13</v>
      </c>
      <c r="K741" s="67">
        <v>9603</v>
      </c>
      <c r="L741" s="82">
        <f t="shared" si="51"/>
        <v>2754</v>
      </c>
      <c r="M741" s="67">
        <v>1260</v>
      </c>
      <c r="N741" s="82"/>
      <c r="O741" s="82">
        <f t="shared" si="49"/>
        <v>8262</v>
      </c>
      <c r="P741" s="82">
        <f t="shared" si="50"/>
        <v>2754</v>
      </c>
      <c r="Q741" s="67">
        <v>0</v>
      </c>
      <c r="R741" s="82"/>
      <c r="S741" s="67">
        <v>810</v>
      </c>
      <c r="T741" s="82">
        <v>270</v>
      </c>
      <c r="U741" s="67">
        <v>0</v>
      </c>
      <c r="V741" s="82"/>
      <c r="W741" s="82"/>
      <c r="X741" s="82"/>
      <c r="Y741" s="68">
        <v>20</v>
      </c>
      <c r="Z741" s="82"/>
      <c r="AA741" s="18">
        <v>44256</v>
      </c>
      <c r="AB741" s="74"/>
      <c r="AC741" s="75"/>
      <c r="AD741" s="70" t="s">
        <v>1</v>
      </c>
    </row>
    <row r="742" spans="1:30" s="76" customFormat="1" ht="37.5">
      <c r="A742" s="82">
        <f>+SUBTOTAL(3,$B$7:B742)</f>
        <v>736</v>
      </c>
      <c r="B742" s="82" t="s">
        <v>444</v>
      </c>
      <c r="C742" s="82" t="s">
        <v>111</v>
      </c>
      <c r="D742" s="66" t="s">
        <v>310</v>
      </c>
      <c r="E742" s="82">
        <v>3</v>
      </c>
      <c r="F742" s="67">
        <v>305101424</v>
      </c>
      <c r="G742" s="66" t="s">
        <v>317</v>
      </c>
      <c r="H742" s="66" t="s">
        <v>164</v>
      </c>
      <c r="I742" s="66" t="s">
        <v>10</v>
      </c>
      <c r="J742" s="82" t="s">
        <v>45</v>
      </c>
      <c r="K742" s="67">
        <v>3500</v>
      </c>
      <c r="L742" s="82">
        <f t="shared" si="51"/>
        <v>0</v>
      </c>
      <c r="M742" s="67">
        <v>1500</v>
      </c>
      <c r="N742" s="82"/>
      <c r="O742" s="82">
        <f t="shared" si="49"/>
        <v>2000</v>
      </c>
      <c r="P742" s="82">
        <f t="shared" si="50"/>
        <v>0</v>
      </c>
      <c r="Q742" s="67">
        <v>2000</v>
      </c>
      <c r="R742" s="82"/>
      <c r="S742" s="67">
        <v>0</v>
      </c>
      <c r="T742" s="82"/>
      <c r="U742" s="67">
        <v>0</v>
      </c>
      <c r="V742" s="82"/>
      <c r="W742" s="82"/>
      <c r="X742" s="82"/>
      <c r="Y742" s="68">
        <v>2</v>
      </c>
      <c r="Z742" s="82"/>
      <c r="AA742" s="69">
        <v>44470</v>
      </c>
      <c r="AB742" s="74"/>
      <c r="AC742" s="75"/>
      <c r="AD742" s="70" t="s">
        <v>460</v>
      </c>
    </row>
    <row r="743" spans="1:30" s="76" customFormat="1" ht="37.5">
      <c r="A743" s="82">
        <f>+SUBTOTAL(3,$B$7:B743)</f>
        <v>737</v>
      </c>
      <c r="B743" s="82" t="s">
        <v>444</v>
      </c>
      <c r="C743" s="82" t="s">
        <v>111</v>
      </c>
      <c r="D743" s="66" t="s">
        <v>310</v>
      </c>
      <c r="E743" s="82">
        <v>3</v>
      </c>
      <c r="F743" s="67">
        <v>206786659</v>
      </c>
      <c r="G743" s="66" t="s">
        <v>315</v>
      </c>
      <c r="H743" s="66" t="s">
        <v>127</v>
      </c>
      <c r="I743" s="66" t="s">
        <v>10</v>
      </c>
      <c r="J743" s="82" t="s">
        <v>66</v>
      </c>
      <c r="K743" s="67">
        <v>2000</v>
      </c>
      <c r="L743" s="82">
        <f t="shared" si="51"/>
        <v>0</v>
      </c>
      <c r="M743" s="67">
        <v>500</v>
      </c>
      <c r="N743" s="82"/>
      <c r="O743" s="82">
        <f t="shared" si="49"/>
        <v>1500</v>
      </c>
      <c r="P743" s="82">
        <f t="shared" si="50"/>
        <v>0</v>
      </c>
      <c r="Q743" s="67">
        <v>1500</v>
      </c>
      <c r="R743" s="82"/>
      <c r="S743" s="67">
        <v>0</v>
      </c>
      <c r="T743" s="82"/>
      <c r="U743" s="67">
        <v>0</v>
      </c>
      <c r="V743" s="82"/>
      <c r="W743" s="82"/>
      <c r="X743" s="82"/>
      <c r="Y743" s="68">
        <v>10</v>
      </c>
      <c r="Z743" s="82"/>
      <c r="AA743" s="69">
        <v>44531</v>
      </c>
      <c r="AB743" s="74"/>
      <c r="AC743" s="75"/>
      <c r="AD743" s="70" t="s">
        <v>4</v>
      </c>
    </row>
    <row r="744" spans="1:30" s="76" customFormat="1" ht="37.5">
      <c r="A744" s="82">
        <f>+SUBTOTAL(3,$B$7:B744)</f>
        <v>738</v>
      </c>
      <c r="B744" s="82" t="s">
        <v>444</v>
      </c>
      <c r="C744" s="82" t="s">
        <v>111</v>
      </c>
      <c r="D744" s="66" t="s">
        <v>310</v>
      </c>
      <c r="E744" s="82">
        <v>1</v>
      </c>
      <c r="F744" s="67">
        <v>300798953</v>
      </c>
      <c r="G744" s="66" t="s">
        <v>318</v>
      </c>
      <c r="H744" s="66" t="s">
        <v>164</v>
      </c>
      <c r="I744" s="66" t="s">
        <v>10</v>
      </c>
      <c r="J744" s="82" t="s">
        <v>45</v>
      </c>
      <c r="K744" s="67">
        <v>6000</v>
      </c>
      <c r="L744" s="82">
        <f t="shared" si="51"/>
        <v>0</v>
      </c>
      <c r="M744" s="67">
        <v>2000</v>
      </c>
      <c r="N744" s="82"/>
      <c r="O744" s="82">
        <f t="shared" si="49"/>
        <v>4000</v>
      </c>
      <c r="P744" s="82">
        <f t="shared" si="50"/>
        <v>0</v>
      </c>
      <c r="Q744" s="67">
        <v>4000</v>
      </c>
      <c r="R744" s="82"/>
      <c r="S744" s="67">
        <v>0</v>
      </c>
      <c r="T744" s="82"/>
      <c r="U744" s="67">
        <v>0</v>
      </c>
      <c r="V744" s="82"/>
      <c r="W744" s="82"/>
      <c r="X744" s="82"/>
      <c r="Y744" s="68">
        <v>2</v>
      </c>
      <c r="Z744" s="82"/>
      <c r="AA744" s="69">
        <v>44440</v>
      </c>
      <c r="AB744" s="74"/>
      <c r="AC744" s="75"/>
      <c r="AD744" s="70" t="s">
        <v>460</v>
      </c>
    </row>
    <row r="745" spans="1:30" s="76" customFormat="1" ht="37.5">
      <c r="A745" s="82">
        <f>+SUBTOTAL(3,$B$7:B745)</f>
        <v>739</v>
      </c>
      <c r="B745" s="82" t="s">
        <v>444</v>
      </c>
      <c r="C745" s="82" t="s">
        <v>111</v>
      </c>
      <c r="D745" s="66" t="s">
        <v>310</v>
      </c>
      <c r="E745" s="82">
        <v>3</v>
      </c>
      <c r="F745" s="67">
        <v>306367875</v>
      </c>
      <c r="G745" s="66" t="s">
        <v>1495</v>
      </c>
      <c r="H745" s="66" t="s">
        <v>137</v>
      </c>
      <c r="I745" s="66" t="s">
        <v>9</v>
      </c>
      <c r="J745" s="82" t="s">
        <v>36</v>
      </c>
      <c r="K745" s="67">
        <v>2550</v>
      </c>
      <c r="L745" s="82">
        <f t="shared" si="51"/>
        <v>1600</v>
      </c>
      <c r="M745" s="67">
        <v>950</v>
      </c>
      <c r="N745" s="82"/>
      <c r="O745" s="82">
        <f t="shared" si="49"/>
        <v>1600</v>
      </c>
      <c r="P745" s="82">
        <f t="shared" si="50"/>
        <v>1600</v>
      </c>
      <c r="Q745" s="67">
        <v>1600</v>
      </c>
      <c r="R745" s="82">
        <v>1600</v>
      </c>
      <c r="S745" s="67">
        <v>0</v>
      </c>
      <c r="T745" s="82"/>
      <c r="U745" s="67">
        <v>0</v>
      </c>
      <c r="V745" s="82"/>
      <c r="W745" s="82"/>
      <c r="X745" s="82"/>
      <c r="Y745" s="68">
        <v>5</v>
      </c>
      <c r="Z745" s="82"/>
      <c r="AA745" s="69">
        <v>44560</v>
      </c>
      <c r="AB745" s="74"/>
      <c r="AC745" s="75"/>
      <c r="AD745" s="70" t="s">
        <v>445</v>
      </c>
    </row>
    <row r="746" spans="1:30" s="76" customFormat="1" ht="37.5">
      <c r="A746" s="82">
        <f>+SUBTOTAL(3,$B$7:B746)</f>
        <v>740</v>
      </c>
      <c r="B746" s="82" t="s">
        <v>444</v>
      </c>
      <c r="C746" s="82" t="s">
        <v>111</v>
      </c>
      <c r="D746" s="66" t="s">
        <v>310</v>
      </c>
      <c r="E746" s="82">
        <v>1</v>
      </c>
      <c r="F746" s="67">
        <v>306471906</v>
      </c>
      <c r="G746" s="66" t="s">
        <v>1496</v>
      </c>
      <c r="H746" s="66" t="s">
        <v>132</v>
      </c>
      <c r="I746" s="66" t="s">
        <v>9</v>
      </c>
      <c r="J746" s="82" t="s">
        <v>37</v>
      </c>
      <c r="K746" s="67">
        <v>815</v>
      </c>
      <c r="L746" s="82">
        <v>706</v>
      </c>
      <c r="M746" s="67">
        <v>300</v>
      </c>
      <c r="N746" s="82">
        <v>300</v>
      </c>
      <c r="O746" s="82">
        <f t="shared" si="49"/>
        <v>509.99999999999994</v>
      </c>
      <c r="P746" s="82">
        <f t="shared" si="50"/>
        <v>408</v>
      </c>
      <c r="Q746" s="67">
        <v>0</v>
      </c>
      <c r="R746" s="82"/>
      <c r="S746" s="67">
        <v>50</v>
      </c>
      <c r="T746" s="82">
        <v>40</v>
      </c>
      <c r="U746" s="67">
        <v>0</v>
      </c>
      <c r="V746" s="82"/>
      <c r="W746" s="82"/>
      <c r="X746" s="82"/>
      <c r="Y746" s="68">
        <v>6</v>
      </c>
      <c r="Z746" s="82">
        <v>2</v>
      </c>
      <c r="AA746" s="18">
        <v>44166</v>
      </c>
      <c r="AB746" s="74">
        <v>44155</v>
      </c>
      <c r="AC746" s="75" t="s">
        <v>1996</v>
      </c>
      <c r="AD746" s="70" t="s">
        <v>1</v>
      </c>
    </row>
    <row r="747" spans="1:30" s="76" customFormat="1" ht="37.5">
      <c r="A747" s="82">
        <f>+SUBTOTAL(3,$B$7:B747)</f>
        <v>741</v>
      </c>
      <c r="B747" s="82" t="s">
        <v>444</v>
      </c>
      <c r="C747" s="82" t="s">
        <v>111</v>
      </c>
      <c r="D747" s="66" t="s">
        <v>310</v>
      </c>
      <c r="E747" s="82">
        <v>4</v>
      </c>
      <c r="F747" s="67">
        <v>307077033</v>
      </c>
      <c r="G747" s="66" t="s">
        <v>1497</v>
      </c>
      <c r="H747" s="66" t="s">
        <v>1498</v>
      </c>
      <c r="I747" s="66" t="s">
        <v>10</v>
      </c>
      <c r="J747" s="82" t="s">
        <v>66</v>
      </c>
      <c r="K747" s="67">
        <v>1000</v>
      </c>
      <c r="L747" s="82">
        <f t="shared" ref="L747:L810" si="52">+N747+R747+T747*10.2+V747*10.2</f>
        <v>300</v>
      </c>
      <c r="M747" s="67">
        <v>400</v>
      </c>
      <c r="N747" s="82"/>
      <c r="O747" s="82">
        <f t="shared" si="49"/>
        <v>600</v>
      </c>
      <c r="P747" s="82">
        <f t="shared" si="50"/>
        <v>300</v>
      </c>
      <c r="Q747" s="67">
        <v>600</v>
      </c>
      <c r="R747" s="82">
        <v>300</v>
      </c>
      <c r="S747" s="67">
        <v>0</v>
      </c>
      <c r="T747" s="82"/>
      <c r="U747" s="67">
        <v>0</v>
      </c>
      <c r="V747" s="82"/>
      <c r="W747" s="82"/>
      <c r="X747" s="82"/>
      <c r="Y747" s="68">
        <v>10</v>
      </c>
      <c r="Z747" s="82"/>
      <c r="AA747" s="69">
        <v>44560</v>
      </c>
      <c r="AB747" s="74"/>
      <c r="AC747" s="75"/>
      <c r="AD747" s="70" t="s">
        <v>453</v>
      </c>
    </row>
    <row r="748" spans="1:30" s="76" customFormat="1" ht="37.5">
      <c r="A748" s="82">
        <f>+SUBTOTAL(3,$B$7:B748)</f>
        <v>742</v>
      </c>
      <c r="B748" s="82" t="s">
        <v>444</v>
      </c>
      <c r="C748" s="82" t="s">
        <v>111</v>
      </c>
      <c r="D748" s="66" t="s">
        <v>310</v>
      </c>
      <c r="E748" s="82">
        <v>3</v>
      </c>
      <c r="F748" s="67">
        <v>300910703</v>
      </c>
      <c r="G748" s="66" t="s">
        <v>1499</v>
      </c>
      <c r="H748" s="66" t="s">
        <v>138</v>
      </c>
      <c r="I748" s="66" t="s">
        <v>9</v>
      </c>
      <c r="J748" s="82" t="s">
        <v>36</v>
      </c>
      <c r="K748" s="67">
        <v>400</v>
      </c>
      <c r="L748" s="82">
        <f t="shared" si="52"/>
        <v>0</v>
      </c>
      <c r="M748" s="67">
        <v>400</v>
      </c>
      <c r="N748" s="82"/>
      <c r="O748" s="82">
        <f t="shared" si="49"/>
        <v>0</v>
      </c>
      <c r="P748" s="82">
        <f t="shared" si="50"/>
        <v>0</v>
      </c>
      <c r="Q748" s="67"/>
      <c r="R748" s="82"/>
      <c r="S748" s="67">
        <v>0</v>
      </c>
      <c r="T748" s="82"/>
      <c r="U748" s="67">
        <v>0</v>
      </c>
      <c r="V748" s="82"/>
      <c r="W748" s="82"/>
      <c r="X748" s="82"/>
      <c r="Y748" s="68">
        <v>12</v>
      </c>
      <c r="Z748" s="82"/>
      <c r="AA748" s="69">
        <v>44285</v>
      </c>
      <c r="AB748" s="74"/>
      <c r="AC748" s="75"/>
      <c r="AD748" s="70" t="s">
        <v>453</v>
      </c>
    </row>
    <row r="749" spans="1:30" s="76" customFormat="1" ht="37.5">
      <c r="A749" s="82">
        <f>+SUBTOTAL(3,$B$7:B749)</f>
        <v>743</v>
      </c>
      <c r="B749" s="82" t="s">
        <v>444</v>
      </c>
      <c r="C749" s="82" t="s">
        <v>111</v>
      </c>
      <c r="D749" s="66" t="s">
        <v>310</v>
      </c>
      <c r="E749" s="82">
        <v>3</v>
      </c>
      <c r="F749" s="67">
        <v>306148514</v>
      </c>
      <c r="G749" s="66" t="s">
        <v>1499</v>
      </c>
      <c r="H749" s="66" t="s">
        <v>1500</v>
      </c>
      <c r="I749" s="66" t="s">
        <v>9</v>
      </c>
      <c r="J749" s="82" t="s">
        <v>37</v>
      </c>
      <c r="K749" s="67">
        <v>200</v>
      </c>
      <c r="L749" s="82">
        <f t="shared" si="52"/>
        <v>0</v>
      </c>
      <c r="M749" s="67">
        <v>200</v>
      </c>
      <c r="N749" s="82"/>
      <c r="O749" s="82">
        <f t="shared" si="49"/>
        <v>0</v>
      </c>
      <c r="P749" s="82">
        <f t="shared" si="50"/>
        <v>0</v>
      </c>
      <c r="Q749" s="67">
        <v>0</v>
      </c>
      <c r="R749" s="82"/>
      <c r="S749" s="67">
        <v>0</v>
      </c>
      <c r="T749" s="82"/>
      <c r="U749" s="67">
        <v>0</v>
      </c>
      <c r="V749" s="82"/>
      <c r="W749" s="82"/>
      <c r="X749" s="82"/>
      <c r="Y749" s="68">
        <v>5</v>
      </c>
      <c r="Z749" s="82"/>
      <c r="AA749" s="69">
        <v>44285</v>
      </c>
      <c r="AB749" s="74"/>
      <c r="AC749" s="75"/>
      <c r="AD749" s="70" t="s">
        <v>453</v>
      </c>
    </row>
    <row r="750" spans="1:30" s="76" customFormat="1" ht="37.5">
      <c r="A750" s="82">
        <f>+SUBTOTAL(3,$B$7:B750)</f>
        <v>744</v>
      </c>
      <c r="B750" s="82" t="s">
        <v>444</v>
      </c>
      <c r="C750" s="82" t="s">
        <v>111</v>
      </c>
      <c r="D750" s="66" t="s">
        <v>310</v>
      </c>
      <c r="E750" s="82">
        <v>3</v>
      </c>
      <c r="F750" s="67">
        <v>306148514</v>
      </c>
      <c r="G750" s="66" t="s">
        <v>1501</v>
      </c>
      <c r="H750" s="66" t="s">
        <v>1502</v>
      </c>
      <c r="I750" s="66" t="s">
        <v>9</v>
      </c>
      <c r="J750" s="82" t="s">
        <v>36</v>
      </c>
      <c r="K750" s="67">
        <v>21000</v>
      </c>
      <c r="L750" s="82">
        <f t="shared" si="52"/>
        <v>3350</v>
      </c>
      <c r="M750" s="67">
        <v>3000</v>
      </c>
      <c r="N750" s="82"/>
      <c r="O750" s="82">
        <f t="shared" si="49"/>
        <v>18000</v>
      </c>
      <c r="P750" s="82">
        <f t="shared" si="50"/>
        <v>3350</v>
      </c>
      <c r="Q750" s="67">
        <v>18000</v>
      </c>
      <c r="R750" s="82">
        <v>3350</v>
      </c>
      <c r="S750" s="67">
        <v>0</v>
      </c>
      <c r="T750" s="82"/>
      <c r="U750" s="67">
        <v>0</v>
      </c>
      <c r="V750" s="82"/>
      <c r="W750" s="82"/>
      <c r="X750" s="82"/>
      <c r="Y750" s="68">
        <v>20</v>
      </c>
      <c r="Z750" s="82"/>
      <c r="AA750" s="69">
        <v>44561</v>
      </c>
      <c r="AB750" s="74"/>
      <c r="AC750" s="75"/>
      <c r="AD750" s="70" t="s">
        <v>460</v>
      </c>
    </row>
    <row r="751" spans="1:30" s="76" customFormat="1" ht="37.5">
      <c r="A751" s="82">
        <f>+SUBTOTAL(3,$B$7:B751)</f>
        <v>745</v>
      </c>
      <c r="B751" s="82" t="s">
        <v>444</v>
      </c>
      <c r="C751" s="82" t="s">
        <v>111</v>
      </c>
      <c r="D751" s="66" t="s">
        <v>310</v>
      </c>
      <c r="E751" s="82">
        <v>4</v>
      </c>
      <c r="F751" s="67">
        <v>306791190</v>
      </c>
      <c r="G751" s="66" t="s">
        <v>1503</v>
      </c>
      <c r="H751" s="66" t="s">
        <v>1504</v>
      </c>
      <c r="I751" s="66" t="s">
        <v>9</v>
      </c>
      <c r="J751" s="82" t="s">
        <v>36</v>
      </c>
      <c r="K751" s="67">
        <v>10000</v>
      </c>
      <c r="L751" s="82">
        <f t="shared" si="52"/>
        <v>2500</v>
      </c>
      <c r="M751" s="67">
        <v>1500</v>
      </c>
      <c r="N751" s="82"/>
      <c r="O751" s="82">
        <f t="shared" si="49"/>
        <v>8500</v>
      </c>
      <c r="P751" s="82">
        <f t="shared" si="50"/>
        <v>2500</v>
      </c>
      <c r="Q751" s="67">
        <v>8500</v>
      </c>
      <c r="R751" s="82">
        <v>2500</v>
      </c>
      <c r="S751" s="67">
        <v>0</v>
      </c>
      <c r="T751" s="82"/>
      <c r="U751" s="67">
        <v>0</v>
      </c>
      <c r="V751" s="82"/>
      <c r="W751" s="82"/>
      <c r="X751" s="82"/>
      <c r="Y751" s="68">
        <v>50</v>
      </c>
      <c r="Z751" s="82"/>
      <c r="AA751" s="69">
        <v>44561</v>
      </c>
      <c r="AB751" s="74"/>
      <c r="AC751" s="75"/>
      <c r="AD751" s="70" t="s">
        <v>445</v>
      </c>
    </row>
    <row r="752" spans="1:30" s="76" customFormat="1" ht="37.5">
      <c r="A752" s="82">
        <f>+SUBTOTAL(3,$B$7:B752)</f>
        <v>746</v>
      </c>
      <c r="B752" s="82" t="s">
        <v>444</v>
      </c>
      <c r="C752" s="82" t="s">
        <v>111</v>
      </c>
      <c r="D752" s="66" t="s">
        <v>310</v>
      </c>
      <c r="E752" s="82">
        <v>3</v>
      </c>
      <c r="F752" s="67">
        <v>304741791</v>
      </c>
      <c r="G752" s="66" t="s">
        <v>1505</v>
      </c>
      <c r="H752" s="66" t="s">
        <v>1506</v>
      </c>
      <c r="I752" s="66" t="s">
        <v>10</v>
      </c>
      <c r="J752" s="82" t="s">
        <v>44</v>
      </c>
      <c r="K752" s="67">
        <v>1000</v>
      </c>
      <c r="L752" s="82">
        <f t="shared" si="52"/>
        <v>200</v>
      </c>
      <c r="M752" s="67">
        <v>800</v>
      </c>
      <c r="N752" s="82"/>
      <c r="O752" s="82">
        <f t="shared" si="49"/>
        <v>200</v>
      </c>
      <c r="P752" s="82">
        <f t="shared" si="50"/>
        <v>200</v>
      </c>
      <c r="Q752" s="67">
        <v>200</v>
      </c>
      <c r="R752" s="82">
        <v>200</v>
      </c>
      <c r="S752" s="67">
        <v>0</v>
      </c>
      <c r="T752" s="82"/>
      <c r="U752" s="67">
        <v>0</v>
      </c>
      <c r="V752" s="82"/>
      <c r="W752" s="82"/>
      <c r="X752" s="82"/>
      <c r="Y752" s="68">
        <v>8</v>
      </c>
      <c r="Z752" s="82"/>
      <c r="AA752" s="69">
        <v>44348</v>
      </c>
      <c r="AB752" s="74"/>
      <c r="AC752" s="75"/>
      <c r="AD752" s="70" t="s">
        <v>453</v>
      </c>
    </row>
    <row r="753" spans="1:30" s="76" customFormat="1" ht="37.5">
      <c r="A753" s="82">
        <f>+SUBTOTAL(3,$B$7:B753)</f>
        <v>747</v>
      </c>
      <c r="B753" s="95" t="s">
        <v>2100</v>
      </c>
      <c r="C753" s="82" t="s">
        <v>111</v>
      </c>
      <c r="D753" s="66" t="s">
        <v>310</v>
      </c>
      <c r="E753" s="82">
        <v>3</v>
      </c>
      <c r="F753" s="67">
        <v>307402657</v>
      </c>
      <c r="G753" s="66" t="s">
        <v>1507</v>
      </c>
      <c r="H753" s="66" t="s">
        <v>1508</v>
      </c>
      <c r="I753" s="66" t="s">
        <v>9</v>
      </c>
      <c r="J753" s="82" t="s">
        <v>37</v>
      </c>
      <c r="K753" s="67">
        <v>23275</v>
      </c>
      <c r="L753" s="82">
        <f t="shared" si="52"/>
        <v>0</v>
      </c>
      <c r="M753" s="67">
        <v>5250</v>
      </c>
      <c r="N753" s="82"/>
      <c r="O753" s="82">
        <f t="shared" si="49"/>
        <v>17850</v>
      </c>
      <c r="P753" s="82">
        <f t="shared" si="50"/>
        <v>0</v>
      </c>
      <c r="Q753" s="67">
        <v>0</v>
      </c>
      <c r="R753" s="82"/>
      <c r="S753" s="67">
        <v>1750</v>
      </c>
      <c r="T753" s="82"/>
      <c r="U753" s="67">
        <v>0</v>
      </c>
      <c r="V753" s="82"/>
      <c r="W753" s="82"/>
      <c r="X753" s="82"/>
      <c r="Y753" s="68">
        <v>50</v>
      </c>
      <c r="Z753" s="82"/>
      <c r="AA753" s="18">
        <v>44531</v>
      </c>
      <c r="AB753" s="74"/>
      <c r="AC753" s="75"/>
      <c r="AD753" s="70" t="s">
        <v>543</v>
      </c>
    </row>
    <row r="754" spans="1:30" s="76" customFormat="1" ht="37.5">
      <c r="A754" s="82">
        <f>+SUBTOTAL(3,$B$7:B754)</f>
        <v>748</v>
      </c>
      <c r="B754" s="82" t="s">
        <v>444</v>
      </c>
      <c r="C754" s="82" t="s">
        <v>111</v>
      </c>
      <c r="D754" s="66" t="s">
        <v>310</v>
      </c>
      <c r="E754" s="82">
        <v>3</v>
      </c>
      <c r="F754" s="67">
        <v>307337319</v>
      </c>
      <c r="G754" s="66" t="s">
        <v>1509</v>
      </c>
      <c r="H754" s="66" t="s">
        <v>131</v>
      </c>
      <c r="I754" s="66" t="s">
        <v>9</v>
      </c>
      <c r="J754" s="82" t="s">
        <v>37</v>
      </c>
      <c r="K754" s="67">
        <v>1500</v>
      </c>
      <c r="L754" s="82">
        <f t="shared" si="52"/>
        <v>1000</v>
      </c>
      <c r="M754" s="67">
        <v>300</v>
      </c>
      <c r="N754" s="82"/>
      <c r="O754" s="82">
        <f t="shared" si="49"/>
        <v>1200</v>
      </c>
      <c r="P754" s="82">
        <f t="shared" si="50"/>
        <v>1000</v>
      </c>
      <c r="Q754" s="67">
        <v>1200</v>
      </c>
      <c r="R754" s="82">
        <v>1000</v>
      </c>
      <c r="S754" s="67"/>
      <c r="T754" s="82"/>
      <c r="U754" s="67"/>
      <c r="V754" s="82"/>
      <c r="W754" s="82"/>
      <c r="X754" s="82"/>
      <c r="Y754" s="68">
        <v>10</v>
      </c>
      <c r="Z754" s="82"/>
      <c r="AA754" s="18">
        <v>44285</v>
      </c>
      <c r="AB754" s="74"/>
      <c r="AC754" s="75"/>
      <c r="AD754" s="70" t="s">
        <v>1</v>
      </c>
    </row>
    <row r="755" spans="1:30" s="76" customFormat="1" ht="37.5">
      <c r="A755" s="82">
        <f>+SUBTOTAL(3,$B$7:B755)</f>
        <v>749</v>
      </c>
      <c r="B755" s="82" t="s">
        <v>444</v>
      </c>
      <c r="C755" s="82" t="s">
        <v>111</v>
      </c>
      <c r="D755" s="66" t="s">
        <v>310</v>
      </c>
      <c r="E755" s="82">
        <v>3</v>
      </c>
      <c r="F755" s="67">
        <v>302509479</v>
      </c>
      <c r="G755" s="66" t="s">
        <v>1510</v>
      </c>
      <c r="H755" s="66" t="s">
        <v>131</v>
      </c>
      <c r="I755" s="66" t="s">
        <v>9</v>
      </c>
      <c r="J755" s="82" t="s">
        <v>37</v>
      </c>
      <c r="K755" s="67">
        <v>40000</v>
      </c>
      <c r="L755" s="82">
        <f t="shared" si="52"/>
        <v>0</v>
      </c>
      <c r="M755" s="67">
        <v>10000</v>
      </c>
      <c r="N755" s="82"/>
      <c r="O755" s="82">
        <f t="shared" si="49"/>
        <v>30000</v>
      </c>
      <c r="P755" s="82">
        <f t="shared" si="50"/>
        <v>0</v>
      </c>
      <c r="Q755" s="67">
        <v>30000</v>
      </c>
      <c r="R755" s="82"/>
      <c r="S755" s="67"/>
      <c r="T755" s="82"/>
      <c r="U755" s="67"/>
      <c r="V755" s="82"/>
      <c r="W755" s="82"/>
      <c r="X755" s="82"/>
      <c r="Y755" s="68">
        <v>100</v>
      </c>
      <c r="Z755" s="82"/>
      <c r="AA755" s="18">
        <v>44438</v>
      </c>
      <c r="AB755" s="74"/>
      <c r="AC755" s="75"/>
      <c r="AD755" s="70" t="s">
        <v>453</v>
      </c>
    </row>
    <row r="756" spans="1:30" s="76" customFormat="1" ht="37.5">
      <c r="A756" s="82">
        <f>+SUBTOTAL(3,$B$7:B756)</f>
        <v>750</v>
      </c>
      <c r="B756" s="82" t="s">
        <v>444</v>
      </c>
      <c r="C756" s="82" t="s">
        <v>111</v>
      </c>
      <c r="D756" s="66" t="s">
        <v>310</v>
      </c>
      <c r="E756" s="82">
        <v>2</v>
      </c>
      <c r="F756" s="67">
        <v>306658078</v>
      </c>
      <c r="G756" s="66" t="s">
        <v>1511</v>
      </c>
      <c r="H756" s="66" t="s">
        <v>1512</v>
      </c>
      <c r="I756" s="66" t="s">
        <v>6</v>
      </c>
      <c r="J756" s="82" t="s">
        <v>51</v>
      </c>
      <c r="K756" s="67">
        <v>4720</v>
      </c>
      <c r="L756" s="82">
        <f t="shared" si="52"/>
        <v>0</v>
      </c>
      <c r="M756" s="67">
        <v>600</v>
      </c>
      <c r="N756" s="82"/>
      <c r="O756" s="82">
        <f t="shared" si="49"/>
        <v>4079.9999999999995</v>
      </c>
      <c r="P756" s="82">
        <f t="shared" si="50"/>
        <v>0</v>
      </c>
      <c r="Q756" s="67"/>
      <c r="R756" s="82"/>
      <c r="S756" s="67">
        <v>400</v>
      </c>
      <c r="T756" s="82"/>
      <c r="U756" s="67"/>
      <c r="V756" s="82"/>
      <c r="W756" s="82"/>
      <c r="X756" s="82"/>
      <c r="Y756" s="68">
        <v>15</v>
      </c>
      <c r="Z756" s="82"/>
      <c r="AA756" s="69">
        <v>44834</v>
      </c>
      <c r="AB756" s="74"/>
      <c r="AC756" s="75"/>
      <c r="AD756" s="70" t="s">
        <v>453</v>
      </c>
    </row>
    <row r="757" spans="1:30" s="76" customFormat="1" ht="37.5">
      <c r="A757" s="82">
        <f>+SUBTOTAL(3,$B$7:B757)</f>
        <v>751</v>
      </c>
      <c r="B757" s="82" t="s">
        <v>444</v>
      </c>
      <c r="C757" s="82" t="s">
        <v>111</v>
      </c>
      <c r="D757" s="66" t="s">
        <v>310</v>
      </c>
      <c r="E757" s="82">
        <v>4</v>
      </c>
      <c r="F757" s="67">
        <v>307599769</v>
      </c>
      <c r="G757" s="66" t="s">
        <v>1513</v>
      </c>
      <c r="H757" s="66" t="s">
        <v>1254</v>
      </c>
      <c r="I757" s="66" t="s">
        <v>10</v>
      </c>
      <c r="J757" s="82" t="s">
        <v>30</v>
      </c>
      <c r="K757" s="67">
        <v>1500</v>
      </c>
      <c r="L757" s="82">
        <f t="shared" si="52"/>
        <v>850</v>
      </c>
      <c r="M757" s="67">
        <v>400</v>
      </c>
      <c r="N757" s="82">
        <v>400</v>
      </c>
      <c r="O757" s="82">
        <f t="shared" si="49"/>
        <v>1100</v>
      </c>
      <c r="P757" s="82">
        <f t="shared" si="50"/>
        <v>450</v>
      </c>
      <c r="Q757" s="67">
        <v>1100</v>
      </c>
      <c r="R757" s="82">
        <v>450</v>
      </c>
      <c r="S757" s="67"/>
      <c r="T757" s="82"/>
      <c r="U757" s="67"/>
      <c r="V757" s="82"/>
      <c r="W757" s="82"/>
      <c r="X757" s="82"/>
      <c r="Y757" s="68">
        <v>8</v>
      </c>
      <c r="Z757" s="82">
        <v>8</v>
      </c>
      <c r="AA757" s="69">
        <v>44258</v>
      </c>
      <c r="AB757" s="74">
        <v>44221</v>
      </c>
      <c r="AC757" s="75" t="s">
        <v>2102</v>
      </c>
      <c r="AD757" s="70" t="s">
        <v>453</v>
      </c>
    </row>
    <row r="758" spans="1:30" s="76" customFormat="1" ht="37.5">
      <c r="A758" s="82">
        <f>+SUBTOTAL(3,$B$7:B758)</f>
        <v>752</v>
      </c>
      <c r="B758" s="82" t="s">
        <v>444</v>
      </c>
      <c r="C758" s="82" t="s">
        <v>111</v>
      </c>
      <c r="D758" s="66" t="s">
        <v>310</v>
      </c>
      <c r="E758" s="82">
        <v>1</v>
      </c>
      <c r="F758" s="67">
        <v>204642926</v>
      </c>
      <c r="G758" s="66" t="s">
        <v>1514</v>
      </c>
      <c r="H758" s="66" t="s">
        <v>1515</v>
      </c>
      <c r="I758" s="66" t="s">
        <v>10</v>
      </c>
      <c r="J758" s="82" t="s">
        <v>30</v>
      </c>
      <c r="K758" s="67">
        <v>1300</v>
      </c>
      <c r="L758" s="82">
        <f t="shared" si="52"/>
        <v>0</v>
      </c>
      <c r="M758" s="67">
        <v>300</v>
      </c>
      <c r="N758" s="82"/>
      <c r="O758" s="82">
        <f t="shared" si="49"/>
        <v>1000</v>
      </c>
      <c r="P758" s="82">
        <f t="shared" si="50"/>
        <v>0</v>
      </c>
      <c r="Q758" s="67">
        <v>1000</v>
      </c>
      <c r="R758" s="82"/>
      <c r="S758" s="67"/>
      <c r="T758" s="82"/>
      <c r="U758" s="67"/>
      <c r="V758" s="82"/>
      <c r="W758" s="82"/>
      <c r="X758" s="82"/>
      <c r="Y758" s="68">
        <v>10</v>
      </c>
      <c r="Z758" s="82"/>
      <c r="AA758" s="69">
        <v>44289</v>
      </c>
      <c r="AB758" s="74"/>
      <c r="AC758" s="75"/>
      <c r="AD758" s="70" t="s">
        <v>453</v>
      </c>
    </row>
    <row r="759" spans="1:30" s="76" customFormat="1" ht="37.5">
      <c r="A759" s="82">
        <f>+SUBTOTAL(3,$B$7:B759)</f>
        <v>753</v>
      </c>
      <c r="B759" s="82" t="s">
        <v>444</v>
      </c>
      <c r="C759" s="82" t="s">
        <v>111</v>
      </c>
      <c r="D759" s="66" t="s">
        <v>310</v>
      </c>
      <c r="E759" s="82">
        <v>4</v>
      </c>
      <c r="F759" s="67">
        <v>307625972</v>
      </c>
      <c r="G759" s="66" t="s">
        <v>1516</v>
      </c>
      <c r="H759" s="66" t="s">
        <v>136</v>
      </c>
      <c r="I759" s="66" t="s">
        <v>9</v>
      </c>
      <c r="J759" s="82" t="s">
        <v>36</v>
      </c>
      <c r="K759" s="67">
        <v>3200</v>
      </c>
      <c r="L759" s="82">
        <f t="shared" si="52"/>
        <v>0</v>
      </c>
      <c r="M759" s="67">
        <v>200</v>
      </c>
      <c r="N759" s="82"/>
      <c r="O759" s="82">
        <f t="shared" si="49"/>
        <v>3000</v>
      </c>
      <c r="P759" s="82">
        <f t="shared" si="50"/>
        <v>0</v>
      </c>
      <c r="Q759" s="67">
        <v>3000</v>
      </c>
      <c r="R759" s="82"/>
      <c r="S759" s="67"/>
      <c r="T759" s="82"/>
      <c r="U759" s="67"/>
      <c r="V759" s="82"/>
      <c r="W759" s="82"/>
      <c r="X759" s="82"/>
      <c r="Y759" s="68">
        <v>15</v>
      </c>
      <c r="Z759" s="82"/>
      <c r="AA759" s="69">
        <v>44622</v>
      </c>
      <c r="AB759" s="74"/>
      <c r="AC759" s="75"/>
      <c r="AD759" s="70" t="s">
        <v>445</v>
      </c>
    </row>
    <row r="760" spans="1:30" s="76" customFormat="1" ht="37.5">
      <c r="A760" s="82">
        <f>+SUBTOTAL(3,$B$7:B760)</f>
        <v>754</v>
      </c>
      <c r="B760" s="82" t="s">
        <v>444</v>
      </c>
      <c r="C760" s="82" t="s">
        <v>111</v>
      </c>
      <c r="D760" s="66" t="s">
        <v>310</v>
      </c>
      <c r="E760" s="82">
        <v>4</v>
      </c>
      <c r="F760" s="67">
        <v>307657269</v>
      </c>
      <c r="G760" s="66" t="s">
        <v>1517</v>
      </c>
      <c r="H760" s="66" t="s">
        <v>1518</v>
      </c>
      <c r="I760" s="66" t="s">
        <v>6</v>
      </c>
      <c r="J760" s="82" t="s">
        <v>34</v>
      </c>
      <c r="K760" s="67">
        <v>12000</v>
      </c>
      <c r="L760" s="82">
        <f t="shared" si="52"/>
        <v>9771.5999999999985</v>
      </c>
      <c r="M760" s="67">
        <v>5000</v>
      </c>
      <c r="N760" s="82"/>
      <c r="O760" s="82">
        <f t="shared" si="49"/>
        <v>7000</v>
      </c>
      <c r="P760" s="82">
        <f t="shared" si="50"/>
        <v>9771.5999999999985</v>
      </c>
      <c r="Q760" s="67">
        <v>7000</v>
      </c>
      <c r="R760" s="82"/>
      <c r="S760" s="67"/>
      <c r="T760" s="82">
        <v>958</v>
      </c>
      <c r="U760" s="67"/>
      <c r="V760" s="82"/>
      <c r="W760" s="82"/>
      <c r="X760" s="82"/>
      <c r="Y760" s="68">
        <v>38</v>
      </c>
      <c r="Z760" s="82"/>
      <c r="AA760" s="69">
        <v>44560</v>
      </c>
      <c r="AB760" s="74"/>
      <c r="AC760" s="75"/>
      <c r="AD760" s="70" t="s">
        <v>453</v>
      </c>
    </row>
    <row r="761" spans="1:30" s="76" customFormat="1" ht="37.5">
      <c r="A761" s="82">
        <f>+SUBTOTAL(3,$B$7:B761)</f>
        <v>755</v>
      </c>
      <c r="B761" s="82" t="s">
        <v>444</v>
      </c>
      <c r="C761" s="82" t="s">
        <v>111</v>
      </c>
      <c r="D761" s="66" t="s">
        <v>310</v>
      </c>
      <c r="E761" s="82">
        <v>1</v>
      </c>
      <c r="F761" s="67">
        <v>303309290</v>
      </c>
      <c r="G761" s="66" t="s">
        <v>1519</v>
      </c>
      <c r="H761" s="66" t="s">
        <v>1520</v>
      </c>
      <c r="I761" s="66" t="s">
        <v>10</v>
      </c>
      <c r="J761" s="82" t="s">
        <v>30</v>
      </c>
      <c r="K761" s="67">
        <v>5000</v>
      </c>
      <c r="L761" s="82">
        <f t="shared" si="52"/>
        <v>1500</v>
      </c>
      <c r="M761" s="67">
        <v>2000</v>
      </c>
      <c r="N761" s="82"/>
      <c r="O761" s="82">
        <f t="shared" si="49"/>
        <v>3000</v>
      </c>
      <c r="P761" s="82">
        <f t="shared" si="50"/>
        <v>1500</v>
      </c>
      <c r="Q761" s="67">
        <v>3000</v>
      </c>
      <c r="R761" s="82">
        <v>1500</v>
      </c>
      <c r="S761" s="67"/>
      <c r="T761" s="82"/>
      <c r="U761" s="67"/>
      <c r="V761" s="82"/>
      <c r="W761" s="82"/>
      <c r="X761" s="82"/>
      <c r="Y761" s="68">
        <v>18</v>
      </c>
      <c r="Z761" s="82"/>
      <c r="AA761" s="69">
        <v>44560</v>
      </c>
      <c r="AB761" s="74"/>
      <c r="AC761" s="75"/>
      <c r="AD761" s="70" t="s">
        <v>453</v>
      </c>
    </row>
    <row r="762" spans="1:30" s="76" customFormat="1" ht="37.5">
      <c r="A762" s="82">
        <f>+SUBTOTAL(3,$B$7:B762)</f>
        <v>756</v>
      </c>
      <c r="B762" s="82" t="s">
        <v>444</v>
      </c>
      <c r="C762" s="82" t="s">
        <v>111</v>
      </c>
      <c r="D762" s="66" t="s">
        <v>310</v>
      </c>
      <c r="E762" s="82">
        <v>3</v>
      </c>
      <c r="F762" s="67">
        <v>303795385</v>
      </c>
      <c r="G762" s="66" t="s">
        <v>324</v>
      </c>
      <c r="H762" s="66" t="s">
        <v>141</v>
      </c>
      <c r="I762" s="66" t="s">
        <v>9</v>
      </c>
      <c r="J762" s="82" t="s">
        <v>40</v>
      </c>
      <c r="K762" s="67">
        <v>10000</v>
      </c>
      <c r="L762" s="82">
        <f t="shared" si="52"/>
        <v>10000</v>
      </c>
      <c r="M762" s="67">
        <v>4000</v>
      </c>
      <c r="N762" s="82">
        <v>4000</v>
      </c>
      <c r="O762" s="82">
        <f t="shared" si="49"/>
        <v>6000</v>
      </c>
      <c r="P762" s="82">
        <f t="shared" si="50"/>
        <v>6000</v>
      </c>
      <c r="Q762" s="67">
        <v>6000</v>
      </c>
      <c r="R762" s="82">
        <v>6000</v>
      </c>
      <c r="S762" s="67">
        <v>0</v>
      </c>
      <c r="T762" s="82"/>
      <c r="U762" s="67">
        <v>0</v>
      </c>
      <c r="V762" s="82"/>
      <c r="W762" s="82"/>
      <c r="X762" s="82"/>
      <c r="Y762" s="68">
        <v>10</v>
      </c>
      <c r="Z762" s="82">
        <v>10</v>
      </c>
      <c r="AA762" s="69">
        <v>44195</v>
      </c>
      <c r="AB762" s="74">
        <v>44175</v>
      </c>
      <c r="AC762" s="75" t="s">
        <v>2056</v>
      </c>
      <c r="AD762" s="70" t="s">
        <v>3</v>
      </c>
    </row>
    <row r="763" spans="1:30" s="76" customFormat="1" ht="37.5">
      <c r="A763" s="82">
        <f>+SUBTOTAL(3,$B$7:B763)</f>
        <v>757</v>
      </c>
      <c r="B763" s="82" t="s">
        <v>444</v>
      </c>
      <c r="C763" s="82" t="s">
        <v>111</v>
      </c>
      <c r="D763" s="66" t="s">
        <v>310</v>
      </c>
      <c r="E763" s="82">
        <v>2</v>
      </c>
      <c r="F763" s="67">
        <v>306367875</v>
      </c>
      <c r="G763" s="66" t="s">
        <v>1521</v>
      </c>
      <c r="H763" s="66" t="s">
        <v>40</v>
      </c>
      <c r="I763" s="66" t="s">
        <v>9</v>
      </c>
      <c r="J763" s="82" t="s">
        <v>40</v>
      </c>
      <c r="K763" s="67">
        <v>625</v>
      </c>
      <c r="L763" s="82">
        <f t="shared" si="52"/>
        <v>300</v>
      </c>
      <c r="M763" s="67">
        <v>125</v>
      </c>
      <c r="N763" s="82"/>
      <c r="O763" s="82">
        <f t="shared" si="49"/>
        <v>500</v>
      </c>
      <c r="P763" s="82">
        <f t="shared" si="50"/>
        <v>300</v>
      </c>
      <c r="Q763" s="67">
        <v>500</v>
      </c>
      <c r="R763" s="82">
        <v>300</v>
      </c>
      <c r="S763" s="67">
        <v>0</v>
      </c>
      <c r="T763" s="82"/>
      <c r="U763" s="67">
        <v>0</v>
      </c>
      <c r="V763" s="82"/>
      <c r="W763" s="82"/>
      <c r="X763" s="82"/>
      <c r="Y763" s="68">
        <v>2</v>
      </c>
      <c r="Z763" s="82"/>
      <c r="AA763" s="69">
        <v>44285</v>
      </c>
      <c r="AB763" s="74"/>
      <c r="AC763" s="75"/>
      <c r="AD763" s="70" t="s">
        <v>3</v>
      </c>
    </row>
    <row r="764" spans="1:30" s="76" customFormat="1" ht="37.5">
      <c r="A764" s="82">
        <f>+SUBTOTAL(3,$B$7:B764)</f>
        <v>758</v>
      </c>
      <c r="B764" s="82" t="s">
        <v>444</v>
      </c>
      <c r="C764" s="82" t="s">
        <v>111</v>
      </c>
      <c r="D764" s="66" t="s">
        <v>310</v>
      </c>
      <c r="E764" s="82">
        <v>2</v>
      </c>
      <c r="F764" s="67">
        <v>203323714</v>
      </c>
      <c r="G764" s="66" t="s">
        <v>1522</v>
      </c>
      <c r="H764" s="66" t="s">
        <v>37</v>
      </c>
      <c r="I764" s="66" t="s">
        <v>9</v>
      </c>
      <c r="J764" s="82" t="s">
        <v>37</v>
      </c>
      <c r="K764" s="67">
        <v>700</v>
      </c>
      <c r="L764" s="82">
        <f t="shared" si="52"/>
        <v>700</v>
      </c>
      <c r="M764" s="67">
        <v>300</v>
      </c>
      <c r="N764" s="82">
        <v>300</v>
      </c>
      <c r="O764" s="82">
        <f t="shared" si="49"/>
        <v>400</v>
      </c>
      <c r="P764" s="82">
        <f t="shared" si="50"/>
        <v>400</v>
      </c>
      <c r="Q764" s="67">
        <v>400</v>
      </c>
      <c r="R764" s="82">
        <v>400</v>
      </c>
      <c r="S764" s="67">
        <v>0</v>
      </c>
      <c r="T764" s="82"/>
      <c r="U764" s="67">
        <v>0</v>
      </c>
      <c r="V764" s="82"/>
      <c r="W764" s="82"/>
      <c r="X764" s="82"/>
      <c r="Y764" s="68">
        <v>6</v>
      </c>
      <c r="Z764" s="82">
        <v>6</v>
      </c>
      <c r="AA764" s="69">
        <v>44196</v>
      </c>
      <c r="AB764" s="74">
        <v>44175</v>
      </c>
      <c r="AC764" s="75" t="s">
        <v>2057</v>
      </c>
      <c r="AD764" s="70" t="s">
        <v>3</v>
      </c>
    </row>
    <row r="765" spans="1:30" s="76" customFormat="1" ht="37.5">
      <c r="A765" s="82">
        <f>+SUBTOTAL(3,$B$7:B765)</f>
        <v>759</v>
      </c>
      <c r="B765" s="82" t="s">
        <v>444</v>
      </c>
      <c r="C765" s="82" t="s">
        <v>111</v>
      </c>
      <c r="D765" s="66" t="s">
        <v>310</v>
      </c>
      <c r="E765" s="82">
        <v>3</v>
      </c>
      <c r="F765" s="67">
        <v>305985685</v>
      </c>
      <c r="G765" s="66" t="s">
        <v>1523</v>
      </c>
      <c r="H765" s="66" t="s">
        <v>1524</v>
      </c>
      <c r="I765" s="66" t="s">
        <v>6</v>
      </c>
      <c r="J765" s="82" t="s">
        <v>13</v>
      </c>
      <c r="K765" s="67">
        <v>10180</v>
      </c>
      <c r="L765" s="82">
        <f t="shared" si="52"/>
        <v>3060</v>
      </c>
      <c r="M765" s="67">
        <v>4000</v>
      </c>
      <c r="N765" s="82"/>
      <c r="O765" s="82">
        <f t="shared" si="49"/>
        <v>6120</v>
      </c>
      <c r="P765" s="82">
        <f t="shared" si="50"/>
        <v>3060</v>
      </c>
      <c r="Q765" s="67"/>
      <c r="R765" s="82"/>
      <c r="S765" s="67">
        <v>600</v>
      </c>
      <c r="T765" s="82">
        <v>300</v>
      </c>
      <c r="U765" s="67"/>
      <c r="V765" s="82"/>
      <c r="W765" s="82"/>
      <c r="X765" s="82"/>
      <c r="Y765" s="68">
        <v>35</v>
      </c>
      <c r="Z765" s="82"/>
      <c r="AA765" s="69">
        <v>44560</v>
      </c>
      <c r="AB765" s="74"/>
      <c r="AC765" s="75"/>
      <c r="AD765" s="70" t="s">
        <v>3</v>
      </c>
    </row>
    <row r="766" spans="1:30" s="76" customFormat="1" ht="37.5">
      <c r="A766" s="82">
        <f>+SUBTOTAL(3,$B$7:B766)</f>
        <v>760</v>
      </c>
      <c r="B766" s="82" t="s">
        <v>444</v>
      </c>
      <c r="C766" s="82" t="s">
        <v>111</v>
      </c>
      <c r="D766" s="66" t="s">
        <v>310</v>
      </c>
      <c r="E766" s="82">
        <v>3</v>
      </c>
      <c r="F766" s="67">
        <v>307193451</v>
      </c>
      <c r="G766" s="66" t="s">
        <v>1525</v>
      </c>
      <c r="H766" s="66" t="s">
        <v>1526</v>
      </c>
      <c r="I766" s="66" t="s">
        <v>6</v>
      </c>
      <c r="J766" s="82" t="s">
        <v>13</v>
      </c>
      <c r="K766" s="67">
        <v>16387</v>
      </c>
      <c r="L766" s="82">
        <f t="shared" si="52"/>
        <v>0</v>
      </c>
      <c r="M766" s="67">
        <v>3100</v>
      </c>
      <c r="N766" s="82"/>
      <c r="O766" s="82">
        <f t="shared" si="49"/>
        <v>13157.999999999998</v>
      </c>
      <c r="P766" s="82">
        <f t="shared" si="50"/>
        <v>0</v>
      </c>
      <c r="Q766" s="67"/>
      <c r="R766" s="82"/>
      <c r="S766" s="67">
        <v>1290</v>
      </c>
      <c r="T766" s="82"/>
      <c r="U766" s="67"/>
      <c r="V766" s="82"/>
      <c r="W766" s="82"/>
      <c r="X766" s="82"/>
      <c r="Y766" s="68">
        <v>20</v>
      </c>
      <c r="Z766" s="82"/>
      <c r="AA766" s="69">
        <v>44896</v>
      </c>
      <c r="AB766" s="74"/>
      <c r="AC766" s="75"/>
      <c r="AD766" s="70" t="s">
        <v>3</v>
      </c>
    </row>
    <row r="767" spans="1:30" s="76" customFormat="1" ht="37.5">
      <c r="A767" s="82">
        <f>+SUBTOTAL(3,$B$7:B767)</f>
        <v>761</v>
      </c>
      <c r="B767" s="82" t="s">
        <v>444</v>
      </c>
      <c r="C767" s="82" t="s">
        <v>111</v>
      </c>
      <c r="D767" s="66" t="s">
        <v>310</v>
      </c>
      <c r="E767" s="82">
        <v>2</v>
      </c>
      <c r="F767" s="67">
        <v>306631681</v>
      </c>
      <c r="G767" s="66" t="s">
        <v>1527</v>
      </c>
      <c r="H767" s="66" t="s">
        <v>1528</v>
      </c>
      <c r="I767" s="66" t="s">
        <v>1529</v>
      </c>
      <c r="J767" s="82" t="s">
        <v>12</v>
      </c>
      <c r="K767" s="67">
        <v>950</v>
      </c>
      <c r="L767" s="82">
        <f t="shared" si="52"/>
        <v>700</v>
      </c>
      <c r="M767" s="67">
        <v>250</v>
      </c>
      <c r="N767" s="82"/>
      <c r="O767" s="82">
        <f t="shared" si="49"/>
        <v>700</v>
      </c>
      <c r="P767" s="82">
        <f t="shared" si="50"/>
        <v>700</v>
      </c>
      <c r="Q767" s="67">
        <v>700</v>
      </c>
      <c r="R767" s="82">
        <v>700</v>
      </c>
      <c r="S767" s="67"/>
      <c r="T767" s="82"/>
      <c r="U767" s="67"/>
      <c r="V767" s="82"/>
      <c r="W767" s="82"/>
      <c r="X767" s="82"/>
      <c r="Y767" s="68">
        <v>6</v>
      </c>
      <c r="Z767" s="82"/>
      <c r="AA767" s="69">
        <v>44348</v>
      </c>
      <c r="AB767" s="74"/>
      <c r="AC767" s="75"/>
      <c r="AD767" s="70" t="s">
        <v>3</v>
      </c>
    </row>
    <row r="768" spans="1:30" s="76" customFormat="1" ht="37.5">
      <c r="A768" s="82">
        <f>+SUBTOTAL(3,$B$7:B768)</f>
        <v>762</v>
      </c>
      <c r="B768" s="82" t="s">
        <v>444</v>
      </c>
      <c r="C768" s="82" t="s">
        <v>111</v>
      </c>
      <c r="D768" s="66" t="s">
        <v>310</v>
      </c>
      <c r="E768" s="82">
        <v>2</v>
      </c>
      <c r="F768" s="67">
        <v>589523147</v>
      </c>
      <c r="G768" s="66" t="s">
        <v>1530</v>
      </c>
      <c r="H768" s="66" t="s">
        <v>1531</v>
      </c>
      <c r="I768" s="66" t="s">
        <v>6</v>
      </c>
      <c r="J768" s="82" t="s">
        <v>31</v>
      </c>
      <c r="K768" s="67">
        <v>15000</v>
      </c>
      <c r="L768" s="82">
        <f t="shared" si="52"/>
        <v>0</v>
      </c>
      <c r="M768" s="67">
        <v>15000</v>
      </c>
      <c r="N768" s="82"/>
      <c r="O768" s="82">
        <f t="shared" si="49"/>
        <v>0</v>
      </c>
      <c r="P768" s="82">
        <f t="shared" si="50"/>
        <v>0</v>
      </c>
      <c r="Q768" s="67"/>
      <c r="R768" s="82"/>
      <c r="S768" s="67"/>
      <c r="T768" s="82"/>
      <c r="U768" s="67"/>
      <c r="V768" s="82"/>
      <c r="W768" s="82"/>
      <c r="X768" s="82"/>
      <c r="Y768" s="68">
        <v>110</v>
      </c>
      <c r="Z768" s="82"/>
      <c r="AA768" s="69">
        <v>44531</v>
      </c>
      <c r="AB768" s="74"/>
      <c r="AC768" s="75"/>
      <c r="AD768" s="70" t="s">
        <v>477</v>
      </c>
    </row>
    <row r="769" spans="1:30" s="76" customFormat="1" ht="37.5">
      <c r="A769" s="82">
        <f>+SUBTOTAL(3,$B$7:B769)</f>
        <v>763</v>
      </c>
      <c r="B769" s="82" t="s">
        <v>444</v>
      </c>
      <c r="C769" s="82" t="s">
        <v>111</v>
      </c>
      <c r="D769" s="66" t="s">
        <v>310</v>
      </c>
      <c r="E769" s="82">
        <v>2</v>
      </c>
      <c r="F769" s="67">
        <v>214587325</v>
      </c>
      <c r="G769" s="66" t="s">
        <v>1532</v>
      </c>
      <c r="H769" s="66" t="s">
        <v>1533</v>
      </c>
      <c r="I769" s="66" t="s">
        <v>6</v>
      </c>
      <c r="J769" s="82" t="s">
        <v>12</v>
      </c>
      <c r="K769" s="67">
        <v>30630</v>
      </c>
      <c r="L769" s="82">
        <f t="shared" si="52"/>
        <v>0</v>
      </c>
      <c r="M769" s="67">
        <v>9000</v>
      </c>
      <c r="N769" s="82"/>
      <c r="O769" s="82">
        <f t="shared" si="49"/>
        <v>21420</v>
      </c>
      <c r="P769" s="82">
        <f t="shared" si="50"/>
        <v>0</v>
      </c>
      <c r="Q769" s="67"/>
      <c r="R769" s="82"/>
      <c r="S769" s="67">
        <v>2100</v>
      </c>
      <c r="T769" s="82"/>
      <c r="U769" s="67"/>
      <c r="V769" s="82"/>
      <c r="W769" s="82"/>
      <c r="X769" s="82"/>
      <c r="Y769" s="68">
        <v>10</v>
      </c>
      <c r="Z769" s="82"/>
      <c r="AA769" s="69">
        <v>44896</v>
      </c>
      <c r="AB769" s="74"/>
      <c r="AC769" s="75"/>
      <c r="AD769" s="70" t="s">
        <v>543</v>
      </c>
    </row>
    <row r="770" spans="1:30" s="76" customFormat="1" ht="37.5">
      <c r="A770" s="82">
        <f>+SUBTOTAL(3,$B$7:B770)</f>
        <v>764</v>
      </c>
      <c r="B770" s="95" t="s">
        <v>2100</v>
      </c>
      <c r="C770" s="82" t="s">
        <v>111</v>
      </c>
      <c r="D770" s="66" t="s">
        <v>310</v>
      </c>
      <c r="E770" s="82">
        <v>2</v>
      </c>
      <c r="F770" s="67">
        <v>303412964</v>
      </c>
      <c r="G770" s="66" t="s">
        <v>1534</v>
      </c>
      <c r="H770" s="66" t="s">
        <v>1535</v>
      </c>
      <c r="I770" s="66" t="s">
        <v>6</v>
      </c>
      <c r="J770" s="82" t="s">
        <v>32</v>
      </c>
      <c r="K770" s="67">
        <v>66630</v>
      </c>
      <c r="L770" s="82">
        <f t="shared" si="52"/>
        <v>44500</v>
      </c>
      <c r="M770" s="67">
        <v>21928</v>
      </c>
      <c r="N770" s="82"/>
      <c r="O770" s="82">
        <f t="shared" si="49"/>
        <v>44268</v>
      </c>
      <c r="P770" s="82">
        <f t="shared" si="50"/>
        <v>44500</v>
      </c>
      <c r="Q770" s="67"/>
      <c r="R770" s="82">
        <v>44500</v>
      </c>
      <c r="S770" s="67">
        <v>4340</v>
      </c>
      <c r="T770" s="82"/>
      <c r="U770" s="67"/>
      <c r="V770" s="82"/>
      <c r="W770" s="82"/>
      <c r="X770" s="82"/>
      <c r="Y770" s="68">
        <v>50</v>
      </c>
      <c r="Z770" s="82"/>
      <c r="AA770" s="18">
        <v>44470</v>
      </c>
      <c r="AB770" s="74"/>
      <c r="AC770" s="75"/>
      <c r="AD770" s="70" t="s">
        <v>4</v>
      </c>
    </row>
    <row r="771" spans="1:30" s="76" customFormat="1" ht="37.5">
      <c r="A771" s="82">
        <f>+SUBTOTAL(3,$B$7:B771)</f>
        <v>765</v>
      </c>
      <c r="B771" s="95" t="s">
        <v>2100</v>
      </c>
      <c r="C771" s="82" t="s">
        <v>111</v>
      </c>
      <c r="D771" s="66" t="s">
        <v>310</v>
      </c>
      <c r="E771" s="82">
        <v>2</v>
      </c>
      <c r="F771" s="67">
        <v>307334813</v>
      </c>
      <c r="G771" s="66" t="s">
        <v>1536</v>
      </c>
      <c r="H771" s="66" t="s">
        <v>1537</v>
      </c>
      <c r="I771" s="66" t="s">
        <v>6</v>
      </c>
      <c r="J771" s="82" t="s">
        <v>34</v>
      </c>
      <c r="K771" s="67">
        <v>118400</v>
      </c>
      <c r="L771" s="82">
        <f t="shared" si="52"/>
        <v>24914.519999999997</v>
      </c>
      <c r="M771" s="67">
        <v>36000</v>
      </c>
      <c r="N771" s="82"/>
      <c r="O771" s="82">
        <f t="shared" si="49"/>
        <v>81600</v>
      </c>
      <c r="P771" s="82">
        <f t="shared" si="50"/>
        <v>24914.519999999997</v>
      </c>
      <c r="Q771" s="67"/>
      <c r="R771" s="82"/>
      <c r="S771" s="67">
        <v>8000</v>
      </c>
      <c r="T771" s="82">
        <v>2442.6</v>
      </c>
      <c r="U771" s="67"/>
      <c r="V771" s="82"/>
      <c r="W771" s="82"/>
      <c r="X771" s="82"/>
      <c r="Y771" s="68">
        <v>1500</v>
      </c>
      <c r="Z771" s="82"/>
      <c r="AA771" s="18">
        <v>44560</v>
      </c>
      <c r="AB771" s="74"/>
      <c r="AC771" s="75"/>
      <c r="AD771" s="70" t="s">
        <v>543</v>
      </c>
    </row>
    <row r="772" spans="1:30" s="76" customFormat="1" ht="37.5">
      <c r="A772" s="82">
        <f>+SUBTOTAL(3,$B$7:B772)</f>
        <v>766</v>
      </c>
      <c r="B772" s="95" t="s">
        <v>444</v>
      </c>
      <c r="C772" s="82" t="s">
        <v>111</v>
      </c>
      <c r="D772" s="66" t="s">
        <v>310</v>
      </c>
      <c r="E772" s="82">
        <v>2</v>
      </c>
      <c r="F772" s="67">
        <v>214789365</v>
      </c>
      <c r="G772" s="66" t="s">
        <v>1538</v>
      </c>
      <c r="H772" s="66" t="s">
        <v>1539</v>
      </c>
      <c r="I772" s="66" t="s">
        <v>6</v>
      </c>
      <c r="J772" s="82" t="s">
        <v>34</v>
      </c>
      <c r="K772" s="67">
        <v>17620</v>
      </c>
      <c r="L772" s="82">
        <f t="shared" si="52"/>
        <v>9771.5999999999985</v>
      </c>
      <c r="M772" s="67">
        <v>13500</v>
      </c>
      <c r="N772" s="82"/>
      <c r="O772" s="82">
        <f t="shared" si="49"/>
        <v>4079.9999999999995</v>
      </c>
      <c r="P772" s="82">
        <f t="shared" si="50"/>
        <v>9771.5999999999985</v>
      </c>
      <c r="Q772" s="67"/>
      <c r="R772" s="82"/>
      <c r="S772" s="67">
        <v>400</v>
      </c>
      <c r="T772" s="82">
        <v>958</v>
      </c>
      <c r="U772" s="67"/>
      <c r="V772" s="82"/>
      <c r="W772" s="82"/>
      <c r="X772" s="82"/>
      <c r="Y772" s="68">
        <v>600</v>
      </c>
      <c r="Z772" s="82"/>
      <c r="AA772" s="69">
        <v>44560</v>
      </c>
      <c r="AB772" s="74"/>
      <c r="AC772" s="75"/>
      <c r="AD772" s="70" t="s">
        <v>453</v>
      </c>
    </row>
    <row r="773" spans="1:30" s="76" customFormat="1" ht="37.5">
      <c r="A773" s="82">
        <f>+SUBTOTAL(3,$B$7:B773)</f>
        <v>767</v>
      </c>
      <c r="B773" s="82" t="s">
        <v>444</v>
      </c>
      <c r="C773" s="82" t="s">
        <v>111</v>
      </c>
      <c r="D773" s="66" t="s">
        <v>310</v>
      </c>
      <c r="E773" s="82">
        <v>2</v>
      </c>
      <c r="F773" s="67">
        <v>2014302562</v>
      </c>
      <c r="G773" s="66" t="s">
        <v>1540</v>
      </c>
      <c r="H773" s="66" t="s">
        <v>1541</v>
      </c>
      <c r="I773" s="66" t="s">
        <v>6</v>
      </c>
      <c r="J773" s="82" t="s">
        <v>12</v>
      </c>
      <c r="K773" s="67">
        <v>30600</v>
      </c>
      <c r="L773" s="82">
        <f t="shared" si="52"/>
        <v>0</v>
      </c>
      <c r="M773" s="67">
        <v>10000</v>
      </c>
      <c r="N773" s="82"/>
      <c r="O773" s="82">
        <f t="shared" si="49"/>
        <v>20400</v>
      </c>
      <c r="P773" s="82">
        <f t="shared" si="50"/>
        <v>0</v>
      </c>
      <c r="Q773" s="67"/>
      <c r="R773" s="82"/>
      <c r="S773" s="67">
        <v>2000</v>
      </c>
      <c r="T773" s="82"/>
      <c r="U773" s="67"/>
      <c r="V773" s="82"/>
      <c r="W773" s="82"/>
      <c r="X773" s="82"/>
      <c r="Y773" s="68">
        <v>50</v>
      </c>
      <c r="Z773" s="82"/>
      <c r="AA773" s="69">
        <v>44835</v>
      </c>
      <c r="AB773" s="74"/>
      <c r="AC773" s="75"/>
      <c r="AD773" s="70" t="s">
        <v>460</v>
      </c>
    </row>
    <row r="774" spans="1:30" s="76" customFormat="1" ht="37.5">
      <c r="A774" s="82">
        <f>+SUBTOTAL(3,$B$7:B774)</f>
        <v>768</v>
      </c>
      <c r="B774" s="82" t="s">
        <v>444</v>
      </c>
      <c r="C774" s="82" t="s">
        <v>111</v>
      </c>
      <c r="D774" s="66" t="s">
        <v>310</v>
      </c>
      <c r="E774" s="82">
        <v>2</v>
      </c>
      <c r="F774" s="67">
        <v>465879231</v>
      </c>
      <c r="G774" s="66" t="s">
        <v>1542</v>
      </c>
      <c r="H774" s="66" t="s">
        <v>1543</v>
      </c>
      <c r="I774" s="66" t="s">
        <v>10</v>
      </c>
      <c r="J774" s="82" t="s">
        <v>46</v>
      </c>
      <c r="K774" s="67">
        <v>600</v>
      </c>
      <c r="L774" s="82">
        <f t="shared" si="52"/>
        <v>0</v>
      </c>
      <c r="M774" s="67">
        <v>200</v>
      </c>
      <c r="N774" s="82"/>
      <c r="O774" s="82">
        <f t="shared" si="49"/>
        <v>400</v>
      </c>
      <c r="P774" s="82">
        <f t="shared" si="50"/>
        <v>0</v>
      </c>
      <c r="Q774" s="67">
        <v>400</v>
      </c>
      <c r="R774" s="82"/>
      <c r="S774" s="67"/>
      <c r="T774" s="82"/>
      <c r="U774" s="67"/>
      <c r="V774" s="82"/>
      <c r="W774" s="82"/>
      <c r="X774" s="82"/>
      <c r="Y774" s="68">
        <v>15</v>
      </c>
      <c r="Z774" s="82"/>
      <c r="AA774" s="69">
        <v>44501</v>
      </c>
      <c r="AB774" s="74"/>
      <c r="AC774" s="75"/>
      <c r="AD774" s="70" t="s">
        <v>446</v>
      </c>
    </row>
    <row r="775" spans="1:30" s="76" customFormat="1" ht="56.25">
      <c r="A775" s="82">
        <f>+SUBTOTAL(3,$B$7:B775)</f>
        <v>769</v>
      </c>
      <c r="B775" s="82" t="s">
        <v>444</v>
      </c>
      <c r="C775" s="82" t="s">
        <v>111</v>
      </c>
      <c r="D775" s="66" t="s">
        <v>310</v>
      </c>
      <c r="E775" s="82">
        <v>2</v>
      </c>
      <c r="F775" s="67">
        <v>306034048</v>
      </c>
      <c r="G775" s="66" t="s">
        <v>1544</v>
      </c>
      <c r="H775" s="66" t="s">
        <v>1545</v>
      </c>
      <c r="I775" s="66" t="s">
        <v>10</v>
      </c>
      <c r="J775" s="82" t="s">
        <v>30</v>
      </c>
      <c r="K775" s="67">
        <v>4000</v>
      </c>
      <c r="L775" s="82">
        <f t="shared" si="52"/>
        <v>0</v>
      </c>
      <c r="M775" s="67">
        <v>4000</v>
      </c>
      <c r="N775" s="82"/>
      <c r="O775" s="82">
        <f t="shared" ref="O775:O838" si="53">+Q775+S775*10.2</f>
        <v>0</v>
      </c>
      <c r="P775" s="82">
        <f t="shared" ref="P775:P838" si="54">+R775+T775*10.2</f>
        <v>0</v>
      </c>
      <c r="Q775" s="67"/>
      <c r="R775" s="82"/>
      <c r="S775" s="67"/>
      <c r="T775" s="82"/>
      <c r="U775" s="67"/>
      <c r="V775" s="82"/>
      <c r="W775" s="82"/>
      <c r="X775" s="82"/>
      <c r="Y775" s="68">
        <v>10</v>
      </c>
      <c r="Z775" s="82"/>
      <c r="AA775" s="69">
        <v>44501</v>
      </c>
      <c r="AB775" s="74"/>
      <c r="AC775" s="75"/>
      <c r="AD775" s="70" t="s">
        <v>453</v>
      </c>
    </row>
    <row r="776" spans="1:30" s="76" customFormat="1" ht="37.5">
      <c r="A776" s="82">
        <f>+SUBTOTAL(3,$B$7:B776)</f>
        <v>770</v>
      </c>
      <c r="B776" s="82" t="s">
        <v>444</v>
      </c>
      <c r="C776" s="82" t="s">
        <v>111</v>
      </c>
      <c r="D776" s="66" t="s">
        <v>310</v>
      </c>
      <c r="E776" s="82">
        <v>2</v>
      </c>
      <c r="F776" s="67">
        <v>125896321</v>
      </c>
      <c r="G776" s="66" t="s">
        <v>1546</v>
      </c>
      <c r="H776" s="66" t="s">
        <v>1547</v>
      </c>
      <c r="I776" s="66" t="s">
        <v>6</v>
      </c>
      <c r="J776" s="82" t="s">
        <v>12</v>
      </c>
      <c r="K776" s="67">
        <v>3030</v>
      </c>
      <c r="L776" s="82">
        <f t="shared" si="52"/>
        <v>500</v>
      </c>
      <c r="M776" s="67">
        <v>2000</v>
      </c>
      <c r="N776" s="82"/>
      <c r="O776" s="82">
        <f t="shared" si="53"/>
        <v>1019.9999999999999</v>
      </c>
      <c r="P776" s="82">
        <f t="shared" si="54"/>
        <v>500</v>
      </c>
      <c r="Q776" s="67"/>
      <c r="R776" s="82">
        <v>500</v>
      </c>
      <c r="S776" s="67">
        <v>100</v>
      </c>
      <c r="T776" s="82"/>
      <c r="U776" s="67"/>
      <c r="V776" s="82"/>
      <c r="W776" s="82"/>
      <c r="X776" s="82"/>
      <c r="Y776" s="68">
        <v>10</v>
      </c>
      <c r="Z776" s="82"/>
      <c r="AA776" s="69">
        <v>44510</v>
      </c>
      <c r="AB776" s="74"/>
      <c r="AC776" s="75"/>
      <c r="AD776" s="70" t="s">
        <v>453</v>
      </c>
    </row>
    <row r="777" spans="1:30" s="76" customFormat="1" ht="37.5">
      <c r="A777" s="82">
        <f>+SUBTOTAL(3,$B$7:B777)</f>
        <v>771</v>
      </c>
      <c r="B777" s="82" t="s">
        <v>444</v>
      </c>
      <c r="C777" s="82" t="s">
        <v>111</v>
      </c>
      <c r="D777" s="66" t="s">
        <v>310</v>
      </c>
      <c r="E777" s="82">
        <v>3</v>
      </c>
      <c r="F777" s="67">
        <v>302265239</v>
      </c>
      <c r="G777" s="66" t="s">
        <v>1548</v>
      </c>
      <c r="H777" s="66" t="s">
        <v>1549</v>
      </c>
      <c r="I777" s="66" t="s">
        <v>6</v>
      </c>
      <c r="J777" s="82" t="s">
        <v>54</v>
      </c>
      <c r="K777" s="67">
        <v>31908.000000000004</v>
      </c>
      <c r="L777" s="82">
        <f t="shared" si="52"/>
        <v>0</v>
      </c>
      <c r="M777" s="67">
        <v>1008</v>
      </c>
      <c r="N777" s="82"/>
      <c r="O777" s="82">
        <f t="shared" si="53"/>
        <v>30599.999999999996</v>
      </c>
      <c r="P777" s="82">
        <f t="shared" si="54"/>
        <v>0</v>
      </c>
      <c r="Q777" s="67"/>
      <c r="R777" s="82"/>
      <c r="S777" s="67">
        <v>3000</v>
      </c>
      <c r="T777" s="82"/>
      <c r="U777" s="67">
        <v>0</v>
      </c>
      <c r="V777" s="82"/>
      <c r="W777" s="82"/>
      <c r="X777" s="82"/>
      <c r="Y777" s="68">
        <v>45</v>
      </c>
      <c r="Z777" s="82"/>
      <c r="AA777" s="69">
        <v>44531</v>
      </c>
      <c r="AB777" s="74"/>
      <c r="AC777" s="75"/>
      <c r="AD777" s="70" t="s">
        <v>0</v>
      </c>
    </row>
    <row r="778" spans="1:30" s="76" customFormat="1" ht="37.5">
      <c r="A778" s="82">
        <f>+SUBTOTAL(3,$B$7:B778)</f>
        <v>772</v>
      </c>
      <c r="B778" s="95" t="s">
        <v>2100</v>
      </c>
      <c r="C778" s="82" t="s">
        <v>111</v>
      </c>
      <c r="D778" s="66" t="s">
        <v>310</v>
      </c>
      <c r="E778" s="82">
        <v>3</v>
      </c>
      <c r="F778" s="67">
        <v>305488797</v>
      </c>
      <c r="G778" s="66" t="s">
        <v>2101</v>
      </c>
      <c r="H778" s="66" t="s">
        <v>1550</v>
      </c>
      <c r="I778" s="66" t="s">
        <v>10</v>
      </c>
      <c r="J778" s="82" t="s">
        <v>66</v>
      </c>
      <c r="K778" s="67">
        <v>51500</v>
      </c>
      <c r="L778" s="82">
        <f t="shared" si="52"/>
        <v>0</v>
      </c>
      <c r="M778" s="67">
        <v>0</v>
      </c>
      <c r="N778" s="82"/>
      <c r="O778" s="82">
        <f t="shared" si="53"/>
        <v>0</v>
      </c>
      <c r="P778" s="82">
        <f t="shared" si="54"/>
        <v>0</v>
      </c>
      <c r="Q778" s="67">
        <v>0</v>
      </c>
      <c r="R778" s="82"/>
      <c r="S778" s="67"/>
      <c r="T778" s="82"/>
      <c r="U778" s="67">
        <v>5000</v>
      </c>
      <c r="V778" s="82"/>
      <c r="W778" s="82"/>
      <c r="X778" s="82"/>
      <c r="Y778" s="68">
        <v>90</v>
      </c>
      <c r="Z778" s="82"/>
      <c r="AA778" s="18">
        <v>44560</v>
      </c>
      <c r="AB778" s="74"/>
      <c r="AC778" s="75"/>
      <c r="AD778" s="70" t="s">
        <v>477</v>
      </c>
    </row>
    <row r="779" spans="1:30" s="76" customFormat="1" ht="37.5">
      <c r="A779" s="82">
        <f>+SUBTOTAL(3,$B$7:B779)</f>
        <v>773</v>
      </c>
      <c r="B779" s="82" t="s">
        <v>444</v>
      </c>
      <c r="C779" s="82" t="s">
        <v>111</v>
      </c>
      <c r="D779" s="66" t="s">
        <v>310</v>
      </c>
      <c r="E779" s="82">
        <v>3</v>
      </c>
      <c r="F779" s="67">
        <v>306189740</v>
      </c>
      <c r="G779" s="66" t="s">
        <v>1551</v>
      </c>
      <c r="H779" s="66" t="s">
        <v>1552</v>
      </c>
      <c r="I779" s="66" t="s">
        <v>9</v>
      </c>
      <c r="J779" s="82" t="s">
        <v>39</v>
      </c>
      <c r="K779" s="67">
        <v>12360</v>
      </c>
      <c r="L779" s="82">
        <f t="shared" si="52"/>
        <v>0</v>
      </c>
      <c r="M779" s="67"/>
      <c r="N779" s="82"/>
      <c r="O779" s="82">
        <f t="shared" si="53"/>
        <v>0</v>
      </c>
      <c r="P779" s="82">
        <f t="shared" si="54"/>
        <v>0</v>
      </c>
      <c r="Q779" s="67"/>
      <c r="R779" s="82"/>
      <c r="S779" s="67"/>
      <c r="T779" s="82"/>
      <c r="U779" s="67">
        <v>1200</v>
      </c>
      <c r="V779" s="82"/>
      <c r="W779" s="82"/>
      <c r="X779" s="82"/>
      <c r="Y779" s="68">
        <v>60</v>
      </c>
      <c r="Z779" s="82"/>
      <c r="AA779" s="69">
        <v>44531</v>
      </c>
      <c r="AB779" s="74"/>
      <c r="AC779" s="75"/>
      <c r="AD779" s="70" t="s">
        <v>477</v>
      </c>
    </row>
    <row r="780" spans="1:30" s="76" customFormat="1" ht="37.5">
      <c r="A780" s="82">
        <f>+SUBTOTAL(3,$B$7:B780)</f>
        <v>774</v>
      </c>
      <c r="B780" s="82" t="s">
        <v>444</v>
      </c>
      <c r="C780" s="82" t="s">
        <v>111</v>
      </c>
      <c r="D780" s="66" t="s">
        <v>310</v>
      </c>
      <c r="E780" s="82">
        <v>2</v>
      </c>
      <c r="F780" s="67" t="s">
        <v>1921</v>
      </c>
      <c r="G780" s="66" t="s">
        <v>319</v>
      </c>
      <c r="H780" s="66" t="s">
        <v>320</v>
      </c>
      <c r="I780" s="66" t="s">
        <v>10</v>
      </c>
      <c r="J780" s="82" t="s">
        <v>66</v>
      </c>
      <c r="K780" s="67">
        <v>33000</v>
      </c>
      <c r="L780" s="82">
        <f t="shared" si="52"/>
        <v>33000</v>
      </c>
      <c r="M780" s="67">
        <v>30000</v>
      </c>
      <c r="N780" s="82">
        <v>30000</v>
      </c>
      <c r="O780" s="82">
        <f t="shared" si="53"/>
        <v>3000</v>
      </c>
      <c r="P780" s="82">
        <f t="shared" si="54"/>
        <v>3000</v>
      </c>
      <c r="Q780" s="67">
        <v>3000</v>
      </c>
      <c r="R780" s="82">
        <v>3000</v>
      </c>
      <c r="S780" s="67">
        <v>0</v>
      </c>
      <c r="T780" s="82"/>
      <c r="U780" s="67">
        <v>0</v>
      </c>
      <c r="V780" s="82"/>
      <c r="W780" s="82"/>
      <c r="X780" s="82"/>
      <c r="Y780" s="68">
        <v>30</v>
      </c>
      <c r="Z780" s="82">
        <v>30</v>
      </c>
      <c r="AA780" s="69">
        <v>44166</v>
      </c>
      <c r="AB780" s="74">
        <v>44088</v>
      </c>
      <c r="AC780" s="75" t="s">
        <v>1997</v>
      </c>
      <c r="AD780" s="70" t="s">
        <v>84</v>
      </c>
    </row>
    <row r="781" spans="1:30" s="76" customFormat="1" ht="37.5">
      <c r="A781" s="82">
        <f>+SUBTOTAL(3,$B$7:B781)</f>
        <v>775</v>
      </c>
      <c r="B781" s="82" t="s">
        <v>444</v>
      </c>
      <c r="C781" s="82" t="s">
        <v>111</v>
      </c>
      <c r="D781" s="66" t="s">
        <v>310</v>
      </c>
      <c r="E781" s="82">
        <v>4</v>
      </c>
      <c r="F781" s="67">
        <v>362589210</v>
      </c>
      <c r="G781" s="66" t="s">
        <v>1553</v>
      </c>
      <c r="H781" s="66" t="s">
        <v>1554</v>
      </c>
      <c r="I781" s="66" t="s">
        <v>9</v>
      </c>
      <c r="J781" s="82" t="s">
        <v>38</v>
      </c>
      <c r="K781" s="67">
        <v>2560</v>
      </c>
      <c r="L781" s="82">
        <f t="shared" si="52"/>
        <v>1350</v>
      </c>
      <c r="M781" s="67">
        <v>500</v>
      </c>
      <c r="N781" s="82"/>
      <c r="O781" s="82">
        <f t="shared" si="53"/>
        <v>2039.9999999999998</v>
      </c>
      <c r="P781" s="82">
        <f t="shared" si="54"/>
        <v>1350</v>
      </c>
      <c r="Q781" s="67"/>
      <c r="R781" s="82">
        <v>1350</v>
      </c>
      <c r="S781" s="67">
        <v>200</v>
      </c>
      <c r="T781" s="82"/>
      <c r="U781" s="67"/>
      <c r="V781" s="82"/>
      <c r="W781" s="82"/>
      <c r="X781" s="82"/>
      <c r="Y781" s="68">
        <v>8</v>
      </c>
      <c r="Z781" s="82"/>
      <c r="AA781" s="69">
        <v>44378</v>
      </c>
      <c r="AB781" s="74"/>
      <c r="AC781" s="75"/>
      <c r="AD781" s="70" t="s">
        <v>445</v>
      </c>
    </row>
    <row r="782" spans="1:30" s="76" customFormat="1" ht="37.5">
      <c r="A782" s="82">
        <f>+SUBTOTAL(3,$B$7:B782)</f>
        <v>776</v>
      </c>
      <c r="B782" s="82" t="s">
        <v>444</v>
      </c>
      <c r="C782" s="82" t="s">
        <v>111</v>
      </c>
      <c r="D782" s="66" t="s">
        <v>310</v>
      </c>
      <c r="E782" s="82">
        <v>2</v>
      </c>
      <c r="F782" s="67">
        <v>307868053</v>
      </c>
      <c r="G782" s="66" t="s">
        <v>1555</v>
      </c>
      <c r="H782" s="66" t="s">
        <v>131</v>
      </c>
      <c r="I782" s="66" t="s">
        <v>9</v>
      </c>
      <c r="J782" s="82" t="s">
        <v>37</v>
      </c>
      <c r="K782" s="67">
        <v>3200</v>
      </c>
      <c r="L782" s="82">
        <f t="shared" si="52"/>
        <v>0</v>
      </c>
      <c r="M782" s="67">
        <v>1000</v>
      </c>
      <c r="N782" s="82"/>
      <c r="O782" s="82">
        <f t="shared" si="53"/>
        <v>2200</v>
      </c>
      <c r="P782" s="82">
        <f t="shared" si="54"/>
        <v>0</v>
      </c>
      <c r="Q782" s="67">
        <v>2200</v>
      </c>
      <c r="R782" s="82"/>
      <c r="S782" s="67"/>
      <c r="T782" s="82"/>
      <c r="U782" s="67"/>
      <c r="V782" s="82"/>
      <c r="W782" s="82"/>
      <c r="X782" s="82"/>
      <c r="Y782" s="68">
        <v>8</v>
      </c>
      <c r="Z782" s="82"/>
      <c r="AA782" s="69">
        <v>44531</v>
      </c>
      <c r="AB782" s="74"/>
      <c r="AC782" s="75"/>
      <c r="AD782" s="70" t="s">
        <v>445</v>
      </c>
    </row>
    <row r="783" spans="1:30" s="76" customFormat="1" ht="37.5">
      <c r="A783" s="82">
        <f>+SUBTOTAL(3,$B$7:B783)</f>
        <v>777</v>
      </c>
      <c r="B783" s="82" t="s">
        <v>444</v>
      </c>
      <c r="C783" s="82" t="s">
        <v>111</v>
      </c>
      <c r="D783" s="66" t="s">
        <v>310</v>
      </c>
      <c r="E783" s="82">
        <v>3</v>
      </c>
      <c r="F783" s="67">
        <v>306426421</v>
      </c>
      <c r="G783" s="66" t="s">
        <v>1784</v>
      </c>
      <c r="H783" s="66" t="s">
        <v>131</v>
      </c>
      <c r="I783" s="66" t="s">
        <v>9</v>
      </c>
      <c r="J783" s="82" t="s">
        <v>37</v>
      </c>
      <c r="K783" s="67">
        <v>2560</v>
      </c>
      <c r="L783" s="82">
        <f t="shared" si="52"/>
        <v>2039.9999999999998</v>
      </c>
      <c r="M783" s="67">
        <v>500</v>
      </c>
      <c r="N783" s="82"/>
      <c r="O783" s="82">
        <f t="shared" si="53"/>
        <v>2039.9999999999998</v>
      </c>
      <c r="P783" s="82">
        <f t="shared" si="54"/>
        <v>2039.9999999999998</v>
      </c>
      <c r="Q783" s="67"/>
      <c r="R783" s="82"/>
      <c r="S783" s="67">
        <v>200</v>
      </c>
      <c r="T783" s="82">
        <v>200</v>
      </c>
      <c r="U783" s="67"/>
      <c r="V783" s="82"/>
      <c r="W783" s="82"/>
      <c r="X783" s="82"/>
      <c r="Y783" s="68">
        <v>8</v>
      </c>
      <c r="Z783" s="82"/>
      <c r="AA783" s="69">
        <v>44531</v>
      </c>
      <c r="AB783" s="74"/>
      <c r="AC783" s="75"/>
      <c r="AD783" s="70" t="s">
        <v>445</v>
      </c>
    </row>
    <row r="784" spans="1:30" s="76" customFormat="1" ht="37.5">
      <c r="A784" s="82">
        <f>+SUBTOTAL(3,$B$7:B784)</f>
        <v>778</v>
      </c>
      <c r="B784" s="82" t="s">
        <v>444</v>
      </c>
      <c r="C784" s="82" t="s">
        <v>111</v>
      </c>
      <c r="D784" s="66" t="s">
        <v>310</v>
      </c>
      <c r="E784" s="82">
        <v>3</v>
      </c>
      <c r="F784" s="67">
        <v>303425314</v>
      </c>
      <c r="G784" s="66" t="s">
        <v>316</v>
      </c>
      <c r="H784" s="66" t="s">
        <v>130</v>
      </c>
      <c r="I784" s="66" t="s">
        <v>9</v>
      </c>
      <c r="J784" s="82" t="s">
        <v>39</v>
      </c>
      <c r="K784" s="67">
        <v>11000</v>
      </c>
      <c r="L784" s="82">
        <f t="shared" si="52"/>
        <v>0</v>
      </c>
      <c r="M784" s="67">
        <v>3000</v>
      </c>
      <c r="N784" s="82"/>
      <c r="O784" s="82">
        <f t="shared" si="53"/>
        <v>8000</v>
      </c>
      <c r="P784" s="82">
        <f t="shared" si="54"/>
        <v>0</v>
      </c>
      <c r="Q784" s="67">
        <v>8000</v>
      </c>
      <c r="R784" s="82"/>
      <c r="S784" s="67">
        <v>0</v>
      </c>
      <c r="T784" s="82"/>
      <c r="U784" s="67">
        <v>0</v>
      </c>
      <c r="V784" s="82"/>
      <c r="W784" s="82"/>
      <c r="X784" s="82"/>
      <c r="Y784" s="68">
        <v>10</v>
      </c>
      <c r="Z784" s="82"/>
      <c r="AA784" s="69">
        <v>44866</v>
      </c>
      <c r="AB784" s="74"/>
      <c r="AC784" s="75"/>
      <c r="AD784" s="70" t="s">
        <v>7</v>
      </c>
    </row>
    <row r="785" spans="1:30" s="76" customFormat="1" ht="37.5">
      <c r="A785" s="82">
        <f>+SUBTOTAL(3,$B$7:B785)</f>
        <v>779</v>
      </c>
      <c r="B785" s="95" t="s">
        <v>2100</v>
      </c>
      <c r="C785" s="82" t="s">
        <v>111</v>
      </c>
      <c r="D785" s="66" t="s">
        <v>310</v>
      </c>
      <c r="E785" s="82">
        <v>1</v>
      </c>
      <c r="F785" s="67">
        <v>306845502</v>
      </c>
      <c r="G785" s="66" t="s">
        <v>322</v>
      </c>
      <c r="H785" s="66" t="s">
        <v>323</v>
      </c>
      <c r="I785" s="66" t="s">
        <v>6</v>
      </c>
      <c r="J785" s="82" t="s">
        <v>34</v>
      </c>
      <c r="K785" s="67">
        <v>196620</v>
      </c>
      <c r="L785" s="82">
        <f t="shared" si="52"/>
        <v>27147.3</v>
      </c>
      <c r="M785" s="67">
        <v>38000</v>
      </c>
      <c r="N785" s="82"/>
      <c r="O785" s="82">
        <f t="shared" si="53"/>
        <v>157080</v>
      </c>
      <c r="P785" s="82">
        <f t="shared" si="54"/>
        <v>27147.3</v>
      </c>
      <c r="Q785" s="67">
        <v>0</v>
      </c>
      <c r="R785" s="82"/>
      <c r="S785" s="67">
        <v>15400</v>
      </c>
      <c r="T785" s="82">
        <v>2661.5</v>
      </c>
      <c r="U785" s="67">
        <v>0</v>
      </c>
      <c r="V785" s="82"/>
      <c r="W785" s="82"/>
      <c r="X785" s="82"/>
      <c r="Y785" s="68">
        <v>250</v>
      </c>
      <c r="Z785" s="82"/>
      <c r="AA785" s="69">
        <v>44501</v>
      </c>
      <c r="AB785" s="74"/>
      <c r="AC785" s="75"/>
      <c r="AD785" s="70" t="s">
        <v>7</v>
      </c>
    </row>
    <row r="786" spans="1:30" s="76" customFormat="1" ht="37.5">
      <c r="A786" s="82">
        <f>+SUBTOTAL(3,$B$7:B786)</f>
        <v>780</v>
      </c>
      <c r="B786" s="82" t="s">
        <v>444</v>
      </c>
      <c r="C786" s="82" t="s">
        <v>111</v>
      </c>
      <c r="D786" s="66" t="s">
        <v>310</v>
      </c>
      <c r="E786" s="82">
        <v>1</v>
      </c>
      <c r="F786" s="67">
        <v>306927185</v>
      </c>
      <c r="G786" s="66" t="s">
        <v>325</v>
      </c>
      <c r="H786" s="66" t="s">
        <v>146</v>
      </c>
      <c r="I786" s="66" t="s">
        <v>9</v>
      </c>
      <c r="J786" s="82" t="s">
        <v>38</v>
      </c>
      <c r="K786" s="67">
        <v>1000</v>
      </c>
      <c r="L786" s="82">
        <f t="shared" si="52"/>
        <v>470</v>
      </c>
      <c r="M786" s="67">
        <v>300</v>
      </c>
      <c r="N786" s="82"/>
      <c r="O786" s="82">
        <f t="shared" si="53"/>
        <v>700</v>
      </c>
      <c r="P786" s="82">
        <f t="shared" si="54"/>
        <v>470</v>
      </c>
      <c r="Q786" s="67">
        <v>700</v>
      </c>
      <c r="R786" s="82">
        <v>470</v>
      </c>
      <c r="S786" s="67">
        <v>0</v>
      </c>
      <c r="T786" s="82"/>
      <c r="U786" s="67">
        <v>0</v>
      </c>
      <c r="V786" s="82"/>
      <c r="W786" s="82"/>
      <c r="X786" s="82"/>
      <c r="Y786" s="68">
        <v>8</v>
      </c>
      <c r="Z786" s="82"/>
      <c r="AA786" s="69">
        <v>44256</v>
      </c>
      <c r="AB786" s="74"/>
      <c r="AC786" s="75"/>
      <c r="AD786" s="70" t="s">
        <v>7</v>
      </c>
    </row>
    <row r="787" spans="1:30" s="76" customFormat="1" ht="37.5">
      <c r="A787" s="82">
        <f>+SUBTOTAL(3,$B$7:B787)</f>
        <v>781</v>
      </c>
      <c r="B787" s="82" t="s">
        <v>444</v>
      </c>
      <c r="C787" s="82" t="s">
        <v>111</v>
      </c>
      <c r="D787" s="66" t="s">
        <v>310</v>
      </c>
      <c r="E787" s="82">
        <v>4</v>
      </c>
      <c r="F787" s="67">
        <v>306898072</v>
      </c>
      <c r="G787" s="66" t="s">
        <v>1556</v>
      </c>
      <c r="H787" s="66" t="s">
        <v>1515</v>
      </c>
      <c r="I787" s="66" t="s">
        <v>10</v>
      </c>
      <c r="J787" s="82" t="s">
        <v>30</v>
      </c>
      <c r="K787" s="67">
        <v>750</v>
      </c>
      <c r="L787" s="82">
        <f t="shared" si="52"/>
        <v>200</v>
      </c>
      <c r="M787" s="67">
        <v>270</v>
      </c>
      <c r="N787" s="82"/>
      <c r="O787" s="82">
        <f t="shared" si="53"/>
        <v>480</v>
      </c>
      <c r="P787" s="82">
        <f t="shared" si="54"/>
        <v>200</v>
      </c>
      <c r="Q787" s="67">
        <v>480</v>
      </c>
      <c r="R787" s="82">
        <v>200</v>
      </c>
      <c r="S787" s="67">
        <v>0</v>
      </c>
      <c r="T787" s="82"/>
      <c r="U787" s="67">
        <v>0</v>
      </c>
      <c r="V787" s="82"/>
      <c r="W787" s="82"/>
      <c r="X787" s="82"/>
      <c r="Y787" s="68">
        <v>7</v>
      </c>
      <c r="Z787" s="82"/>
      <c r="AA787" s="69">
        <v>44317</v>
      </c>
      <c r="AB787" s="74"/>
      <c r="AC787" s="75"/>
      <c r="AD787" s="70" t="s">
        <v>7</v>
      </c>
    </row>
    <row r="788" spans="1:30" s="76" customFormat="1" ht="37.5">
      <c r="A788" s="82">
        <f>+SUBTOTAL(3,$B$7:B788)</f>
        <v>782</v>
      </c>
      <c r="B788" s="82" t="s">
        <v>444</v>
      </c>
      <c r="C788" s="82" t="s">
        <v>111</v>
      </c>
      <c r="D788" s="66" t="s">
        <v>310</v>
      </c>
      <c r="E788" s="82">
        <v>1</v>
      </c>
      <c r="F788" s="67">
        <v>305627489</v>
      </c>
      <c r="G788" s="66" t="s">
        <v>1557</v>
      </c>
      <c r="H788" s="66" t="s">
        <v>142</v>
      </c>
      <c r="I788" s="66" t="s">
        <v>10</v>
      </c>
      <c r="J788" s="82" t="s">
        <v>44</v>
      </c>
      <c r="K788" s="67">
        <v>1250</v>
      </c>
      <c r="L788" s="82">
        <f t="shared" si="52"/>
        <v>1240</v>
      </c>
      <c r="M788" s="67">
        <v>350</v>
      </c>
      <c r="N788" s="82">
        <v>350</v>
      </c>
      <c r="O788" s="82">
        <f t="shared" si="53"/>
        <v>900</v>
      </c>
      <c r="P788" s="82">
        <f t="shared" si="54"/>
        <v>890</v>
      </c>
      <c r="Q788" s="67">
        <v>900</v>
      </c>
      <c r="R788" s="82">
        <v>890</v>
      </c>
      <c r="S788" s="67">
        <v>0</v>
      </c>
      <c r="T788" s="82"/>
      <c r="U788" s="67">
        <v>0</v>
      </c>
      <c r="V788" s="82"/>
      <c r="W788" s="82"/>
      <c r="X788" s="82"/>
      <c r="Y788" s="68">
        <v>13</v>
      </c>
      <c r="Z788" s="82">
        <v>13</v>
      </c>
      <c r="AA788" s="69">
        <v>44195</v>
      </c>
      <c r="AB788" s="74">
        <v>44167</v>
      </c>
      <c r="AC788" s="75" t="s">
        <v>1868</v>
      </c>
      <c r="AD788" s="70" t="s">
        <v>7</v>
      </c>
    </row>
    <row r="789" spans="1:30" s="76" customFormat="1" ht="37.5">
      <c r="A789" s="82">
        <f>+SUBTOTAL(3,$B$7:B789)</f>
        <v>783</v>
      </c>
      <c r="B789" s="82" t="s">
        <v>444</v>
      </c>
      <c r="C789" s="82" t="s">
        <v>111</v>
      </c>
      <c r="D789" s="66" t="s">
        <v>310</v>
      </c>
      <c r="E789" s="82">
        <v>1</v>
      </c>
      <c r="F789" s="67">
        <v>306806644</v>
      </c>
      <c r="G789" s="66" t="s">
        <v>1558</v>
      </c>
      <c r="H789" s="66" t="s">
        <v>131</v>
      </c>
      <c r="I789" s="66" t="s">
        <v>9</v>
      </c>
      <c r="J789" s="82" t="s">
        <v>37</v>
      </c>
      <c r="K789" s="67">
        <v>1300</v>
      </c>
      <c r="L789" s="82">
        <f t="shared" si="52"/>
        <v>500</v>
      </c>
      <c r="M789" s="67">
        <v>300</v>
      </c>
      <c r="N789" s="82"/>
      <c r="O789" s="82">
        <f t="shared" si="53"/>
        <v>1000</v>
      </c>
      <c r="P789" s="82">
        <f t="shared" si="54"/>
        <v>500</v>
      </c>
      <c r="Q789" s="67">
        <v>1000</v>
      </c>
      <c r="R789" s="82">
        <v>500</v>
      </c>
      <c r="S789" s="67"/>
      <c r="T789" s="82"/>
      <c r="U789" s="67"/>
      <c r="V789" s="82"/>
      <c r="W789" s="82"/>
      <c r="X789" s="82"/>
      <c r="Y789" s="68">
        <v>12</v>
      </c>
      <c r="Z789" s="82"/>
      <c r="AA789" s="18">
        <v>44317</v>
      </c>
      <c r="AB789" s="74"/>
      <c r="AC789" s="75"/>
      <c r="AD789" s="70" t="s">
        <v>7</v>
      </c>
    </row>
    <row r="790" spans="1:30" s="76" customFormat="1" ht="37.5">
      <c r="A790" s="82">
        <f>+SUBTOTAL(3,$B$7:B790)</f>
        <v>784</v>
      </c>
      <c r="B790" s="82" t="s">
        <v>444</v>
      </c>
      <c r="C790" s="82" t="s">
        <v>111</v>
      </c>
      <c r="D790" s="66" t="s">
        <v>310</v>
      </c>
      <c r="E790" s="82">
        <v>3</v>
      </c>
      <c r="F790" s="67">
        <v>305736163</v>
      </c>
      <c r="G790" s="66" t="s">
        <v>1559</v>
      </c>
      <c r="H790" s="66" t="s">
        <v>131</v>
      </c>
      <c r="I790" s="66" t="s">
        <v>9</v>
      </c>
      <c r="J790" s="82" t="s">
        <v>37</v>
      </c>
      <c r="K790" s="67">
        <v>1000</v>
      </c>
      <c r="L790" s="82">
        <f t="shared" si="52"/>
        <v>670</v>
      </c>
      <c r="M790" s="67">
        <v>300</v>
      </c>
      <c r="N790" s="82"/>
      <c r="O790" s="82">
        <f t="shared" si="53"/>
        <v>700</v>
      </c>
      <c r="P790" s="82">
        <f t="shared" si="54"/>
        <v>670</v>
      </c>
      <c r="Q790" s="67">
        <v>700</v>
      </c>
      <c r="R790" s="82">
        <v>670</v>
      </c>
      <c r="S790" s="67"/>
      <c r="T790" s="82"/>
      <c r="U790" s="67"/>
      <c r="V790" s="82"/>
      <c r="W790" s="82"/>
      <c r="X790" s="82"/>
      <c r="Y790" s="68">
        <v>8</v>
      </c>
      <c r="Z790" s="82"/>
      <c r="AA790" s="69">
        <v>44531</v>
      </c>
      <c r="AB790" s="74"/>
      <c r="AC790" s="75"/>
      <c r="AD790" s="70" t="s">
        <v>7</v>
      </c>
    </row>
    <row r="791" spans="1:30" s="76" customFormat="1" ht="37.5">
      <c r="A791" s="82">
        <f>+SUBTOTAL(3,$B$7:B791)</f>
        <v>785</v>
      </c>
      <c r="B791" s="82" t="s">
        <v>444</v>
      </c>
      <c r="C791" s="82" t="s">
        <v>111</v>
      </c>
      <c r="D791" s="66" t="s">
        <v>310</v>
      </c>
      <c r="E791" s="82">
        <v>3</v>
      </c>
      <c r="F791" s="67">
        <v>305736163</v>
      </c>
      <c r="G791" s="66" t="s">
        <v>1560</v>
      </c>
      <c r="H791" s="66" t="s">
        <v>1561</v>
      </c>
      <c r="I791" s="66" t="s">
        <v>9</v>
      </c>
      <c r="J791" s="82" t="s">
        <v>37</v>
      </c>
      <c r="K791" s="67">
        <v>11740</v>
      </c>
      <c r="L791" s="82">
        <f t="shared" si="52"/>
        <v>0</v>
      </c>
      <c r="M791" s="67">
        <v>3500</v>
      </c>
      <c r="N791" s="82"/>
      <c r="O791" s="82">
        <f t="shared" si="53"/>
        <v>8159.9999999999991</v>
      </c>
      <c r="P791" s="82">
        <f t="shared" si="54"/>
        <v>0</v>
      </c>
      <c r="Q791" s="67"/>
      <c r="R791" s="82"/>
      <c r="S791" s="67">
        <v>800</v>
      </c>
      <c r="T791" s="82"/>
      <c r="U791" s="67"/>
      <c r="V791" s="82"/>
      <c r="W791" s="82"/>
      <c r="X791" s="82"/>
      <c r="Y791" s="68">
        <v>22</v>
      </c>
      <c r="Z791" s="82"/>
      <c r="AA791" s="69">
        <v>44560</v>
      </c>
      <c r="AB791" s="74"/>
      <c r="AC791" s="75"/>
      <c r="AD791" s="70" t="s">
        <v>7</v>
      </c>
    </row>
    <row r="792" spans="1:30" s="76" customFormat="1" ht="75">
      <c r="A792" s="82">
        <f>+SUBTOTAL(3,$B$7:B792)</f>
        <v>786</v>
      </c>
      <c r="B792" s="82" t="s">
        <v>444</v>
      </c>
      <c r="C792" s="82" t="s">
        <v>111</v>
      </c>
      <c r="D792" s="66" t="s">
        <v>310</v>
      </c>
      <c r="E792" s="82">
        <v>2</v>
      </c>
      <c r="F792" s="67">
        <v>2584561258</v>
      </c>
      <c r="G792" s="66" t="s">
        <v>1562</v>
      </c>
      <c r="H792" s="66" t="s">
        <v>1563</v>
      </c>
      <c r="I792" s="66" t="s">
        <v>6</v>
      </c>
      <c r="J792" s="82" t="s">
        <v>14</v>
      </c>
      <c r="K792" s="67">
        <v>42960</v>
      </c>
      <c r="L792" s="82">
        <f t="shared" si="52"/>
        <v>0</v>
      </c>
      <c r="M792" s="67">
        <v>10000</v>
      </c>
      <c r="N792" s="82"/>
      <c r="O792" s="82">
        <f t="shared" si="53"/>
        <v>32639.999999999996</v>
      </c>
      <c r="P792" s="82">
        <f t="shared" si="54"/>
        <v>0</v>
      </c>
      <c r="Q792" s="67"/>
      <c r="R792" s="82"/>
      <c r="S792" s="67">
        <v>3200</v>
      </c>
      <c r="T792" s="82"/>
      <c r="U792" s="67"/>
      <c r="V792" s="82"/>
      <c r="W792" s="82"/>
      <c r="X792" s="82"/>
      <c r="Y792" s="68">
        <v>30</v>
      </c>
      <c r="Z792" s="82"/>
      <c r="AA792" s="69">
        <v>44378</v>
      </c>
      <c r="AB792" s="74"/>
      <c r="AC792" s="75"/>
      <c r="AD792" s="70" t="s">
        <v>7</v>
      </c>
    </row>
    <row r="793" spans="1:30" s="76" customFormat="1" ht="37.5">
      <c r="A793" s="82">
        <f>+SUBTOTAL(3,$B$7:B793)</f>
        <v>787</v>
      </c>
      <c r="B793" s="82" t="s">
        <v>444</v>
      </c>
      <c r="C793" s="82" t="s">
        <v>111</v>
      </c>
      <c r="D793" s="66" t="s">
        <v>310</v>
      </c>
      <c r="E793" s="82">
        <v>2</v>
      </c>
      <c r="F793" s="67">
        <v>303755704</v>
      </c>
      <c r="G793" s="66" t="s">
        <v>1564</v>
      </c>
      <c r="H793" s="66" t="s">
        <v>1565</v>
      </c>
      <c r="I793" s="66" t="s">
        <v>6</v>
      </c>
      <c r="J793" s="82" t="s">
        <v>13</v>
      </c>
      <c r="K793" s="67">
        <v>15050</v>
      </c>
      <c r="L793" s="82">
        <f t="shared" si="52"/>
        <v>0</v>
      </c>
      <c r="M793" s="67">
        <v>4750</v>
      </c>
      <c r="N793" s="82"/>
      <c r="O793" s="82">
        <f t="shared" si="53"/>
        <v>10200</v>
      </c>
      <c r="P793" s="82">
        <f t="shared" si="54"/>
        <v>0</v>
      </c>
      <c r="Q793" s="67"/>
      <c r="R793" s="82"/>
      <c r="S793" s="67">
        <v>1000</v>
      </c>
      <c r="T793" s="82"/>
      <c r="U793" s="67"/>
      <c r="V793" s="82"/>
      <c r="W793" s="82"/>
      <c r="X793" s="82"/>
      <c r="Y793" s="68">
        <v>50</v>
      </c>
      <c r="Z793" s="82"/>
      <c r="AA793" s="69">
        <v>44470</v>
      </c>
      <c r="AB793" s="74"/>
      <c r="AC793" s="75"/>
      <c r="AD793" s="70" t="s">
        <v>7</v>
      </c>
    </row>
    <row r="794" spans="1:30" s="76" customFormat="1" ht="37.5">
      <c r="A794" s="82">
        <f>+SUBTOTAL(3,$B$7:B794)</f>
        <v>788</v>
      </c>
      <c r="B794" s="82" t="s">
        <v>444</v>
      </c>
      <c r="C794" s="82" t="s">
        <v>111</v>
      </c>
      <c r="D794" s="66" t="s">
        <v>310</v>
      </c>
      <c r="E794" s="82">
        <v>3</v>
      </c>
      <c r="F794" s="67">
        <v>304692560</v>
      </c>
      <c r="G794" s="66" t="s">
        <v>1566</v>
      </c>
      <c r="H794" s="66" t="s">
        <v>1567</v>
      </c>
      <c r="I794" s="66" t="s">
        <v>9</v>
      </c>
      <c r="J794" s="82" t="s">
        <v>41</v>
      </c>
      <c r="K794" s="67">
        <v>9210</v>
      </c>
      <c r="L794" s="82">
        <f t="shared" si="52"/>
        <v>0</v>
      </c>
      <c r="M794" s="67">
        <v>2000</v>
      </c>
      <c r="N794" s="82"/>
      <c r="O794" s="82">
        <f t="shared" si="53"/>
        <v>7139.9999999999991</v>
      </c>
      <c r="P794" s="82">
        <f t="shared" si="54"/>
        <v>0</v>
      </c>
      <c r="Q794" s="67"/>
      <c r="R794" s="82"/>
      <c r="S794" s="67">
        <v>700</v>
      </c>
      <c r="T794" s="82"/>
      <c r="U794" s="67"/>
      <c r="V794" s="82"/>
      <c r="W794" s="82"/>
      <c r="X794" s="82"/>
      <c r="Y794" s="68">
        <v>10</v>
      </c>
      <c r="Z794" s="82"/>
      <c r="AA794" s="69">
        <v>44470</v>
      </c>
      <c r="AB794" s="74"/>
      <c r="AC794" s="75"/>
      <c r="AD794" s="70" t="s">
        <v>3</v>
      </c>
    </row>
    <row r="795" spans="1:30" s="76" customFormat="1" ht="37.5">
      <c r="A795" s="82">
        <f>+SUBTOTAL(3,$B$7:B795)</f>
        <v>789</v>
      </c>
      <c r="B795" s="82" t="s">
        <v>444</v>
      </c>
      <c r="C795" s="82" t="s">
        <v>111</v>
      </c>
      <c r="D795" s="66" t="s">
        <v>326</v>
      </c>
      <c r="E795" s="82">
        <v>1</v>
      </c>
      <c r="F795" s="67">
        <v>304973733</v>
      </c>
      <c r="G795" s="66" t="s">
        <v>1568</v>
      </c>
      <c r="H795" s="66" t="s">
        <v>1975</v>
      </c>
      <c r="I795" s="66" t="s">
        <v>10</v>
      </c>
      <c r="J795" s="82" t="s">
        <v>45</v>
      </c>
      <c r="K795" s="67">
        <v>2500</v>
      </c>
      <c r="L795" s="82">
        <f t="shared" si="52"/>
        <v>2560</v>
      </c>
      <c r="M795" s="67">
        <v>500</v>
      </c>
      <c r="N795" s="82">
        <v>500</v>
      </c>
      <c r="O795" s="82">
        <f t="shared" si="53"/>
        <v>2000</v>
      </c>
      <c r="P795" s="82">
        <f t="shared" si="54"/>
        <v>2060</v>
      </c>
      <c r="Q795" s="67">
        <v>2000</v>
      </c>
      <c r="R795" s="82">
        <v>2060</v>
      </c>
      <c r="S795" s="67"/>
      <c r="T795" s="82"/>
      <c r="U795" s="67"/>
      <c r="V795" s="82"/>
      <c r="W795" s="82"/>
      <c r="X795" s="82"/>
      <c r="Y795" s="68">
        <v>20</v>
      </c>
      <c r="Z795" s="82">
        <v>20</v>
      </c>
      <c r="AA795" s="69">
        <v>44228</v>
      </c>
      <c r="AB795" s="74">
        <v>44214</v>
      </c>
      <c r="AC795" s="75" t="s">
        <v>2039</v>
      </c>
      <c r="AD795" s="70" t="s">
        <v>446</v>
      </c>
    </row>
    <row r="796" spans="1:30" s="76" customFormat="1" ht="37.5">
      <c r="A796" s="82">
        <f>+SUBTOTAL(3,$B$7:B796)</f>
        <v>790</v>
      </c>
      <c r="B796" s="82" t="s">
        <v>444</v>
      </c>
      <c r="C796" s="82" t="s">
        <v>111</v>
      </c>
      <c r="D796" s="66" t="s">
        <v>326</v>
      </c>
      <c r="E796" s="82">
        <v>2</v>
      </c>
      <c r="F796" s="67">
        <v>306068915</v>
      </c>
      <c r="G796" s="66" t="s">
        <v>1569</v>
      </c>
      <c r="H796" s="66" t="s">
        <v>1570</v>
      </c>
      <c r="I796" s="66" t="s">
        <v>6</v>
      </c>
      <c r="J796" s="82" t="s">
        <v>51</v>
      </c>
      <c r="K796" s="67">
        <v>15360</v>
      </c>
      <c r="L796" s="82">
        <f t="shared" si="52"/>
        <v>0</v>
      </c>
      <c r="M796" s="67">
        <v>3000</v>
      </c>
      <c r="N796" s="82"/>
      <c r="O796" s="82">
        <f t="shared" si="53"/>
        <v>12240</v>
      </c>
      <c r="P796" s="82">
        <f t="shared" si="54"/>
        <v>0</v>
      </c>
      <c r="Q796" s="67"/>
      <c r="R796" s="82"/>
      <c r="S796" s="67">
        <v>1200</v>
      </c>
      <c r="T796" s="82"/>
      <c r="U796" s="67"/>
      <c r="V796" s="82"/>
      <c r="W796" s="82"/>
      <c r="X796" s="82"/>
      <c r="Y796" s="68">
        <v>30</v>
      </c>
      <c r="Z796" s="82"/>
      <c r="AA796" s="69">
        <v>44621</v>
      </c>
      <c r="AB796" s="74"/>
      <c r="AC796" s="75"/>
      <c r="AD796" s="70" t="s">
        <v>543</v>
      </c>
    </row>
    <row r="797" spans="1:30" s="76" customFormat="1" ht="93.75">
      <c r="A797" s="82">
        <f>+SUBTOTAL(3,$B$7:B797)</f>
        <v>791</v>
      </c>
      <c r="B797" s="82" t="s">
        <v>444</v>
      </c>
      <c r="C797" s="82" t="s">
        <v>111</v>
      </c>
      <c r="D797" s="66" t="s">
        <v>326</v>
      </c>
      <c r="E797" s="82">
        <v>4</v>
      </c>
      <c r="F797" s="67">
        <v>306748456</v>
      </c>
      <c r="G797" s="66" t="s">
        <v>1571</v>
      </c>
      <c r="H797" s="66" t="s">
        <v>1572</v>
      </c>
      <c r="I797" s="66" t="s">
        <v>10</v>
      </c>
      <c r="J797" s="82" t="s">
        <v>30</v>
      </c>
      <c r="K797" s="67">
        <v>10000</v>
      </c>
      <c r="L797" s="82">
        <f t="shared" si="52"/>
        <v>8900</v>
      </c>
      <c r="M797" s="67">
        <v>5900</v>
      </c>
      <c r="N797" s="82">
        <v>5900</v>
      </c>
      <c r="O797" s="82">
        <f t="shared" si="53"/>
        <v>4100</v>
      </c>
      <c r="P797" s="82">
        <f t="shared" si="54"/>
        <v>3000</v>
      </c>
      <c r="Q797" s="67">
        <v>4100</v>
      </c>
      <c r="R797" s="82">
        <v>3000</v>
      </c>
      <c r="S797" s="67"/>
      <c r="T797" s="82"/>
      <c r="U797" s="67"/>
      <c r="V797" s="82"/>
      <c r="W797" s="82"/>
      <c r="X797" s="82"/>
      <c r="Y797" s="68">
        <v>12</v>
      </c>
      <c r="Z797" s="82">
        <v>22</v>
      </c>
      <c r="AA797" s="18">
        <v>44621</v>
      </c>
      <c r="AB797" s="74">
        <v>44146</v>
      </c>
      <c r="AC797" s="75" t="s">
        <v>1990</v>
      </c>
      <c r="AD797" s="70" t="s">
        <v>4</v>
      </c>
    </row>
    <row r="798" spans="1:30" s="76" customFormat="1" ht="56.25">
      <c r="A798" s="82">
        <f>+SUBTOTAL(3,$B$7:B798)</f>
        <v>792</v>
      </c>
      <c r="B798" s="82" t="s">
        <v>444</v>
      </c>
      <c r="C798" s="82" t="s">
        <v>111</v>
      </c>
      <c r="D798" s="66" t="s">
        <v>326</v>
      </c>
      <c r="E798" s="82">
        <v>4</v>
      </c>
      <c r="F798" s="67">
        <v>305590119</v>
      </c>
      <c r="G798" s="66" t="s">
        <v>1573</v>
      </c>
      <c r="H798" s="66" t="s">
        <v>1574</v>
      </c>
      <c r="I798" s="66" t="s">
        <v>10</v>
      </c>
      <c r="J798" s="82" t="s">
        <v>66</v>
      </c>
      <c r="K798" s="67">
        <v>11500</v>
      </c>
      <c r="L798" s="82">
        <f t="shared" si="52"/>
        <v>11500</v>
      </c>
      <c r="M798" s="67">
        <v>5500</v>
      </c>
      <c r="N798" s="82">
        <v>5500</v>
      </c>
      <c r="O798" s="82">
        <f t="shared" si="53"/>
        <v>6000</v>
      </c>
      <c r="P798" s="82">
        <f t="shared" si="54"/>
        <v>6000</v>
      </c>
      <c r="Q798" s="67">
        <v>6000</v>
      </c>
      <c r="R798" s="82">
        <v>6000</v>
      </c>
      <c r="S798" s="67"/>
      <c r="T798" s="82"/>
      <c r="U798" s="67"/>
      <c r="V798" s="82"/>
      <c r="W798" s="82"/>
      <c r="X798" s="82"/>
      <c r="Y798" s="68">
        <v>20</v>
      </c>
      <c r="Z798" s="82">
        <v>20</v>
      </c>
      <c r="AA798" s="18">
        <v>44256</v>
      </c>
      <c r="AB798" s="74">
        <v>44230</v>
      </c>
      <c r="AC798" s="75" t="s">
        <v>2107</v>
      </c>
      <c r="AD798" s="70" t="s">
        <v>4</v>
      </c>
    </row>
    <row r="799" spans="1:30" s="76" customFormat="1" ht="37.5">
      <c r="A799" s="82">
        <f>+SUBTOTAL(3,$B$7:B799)</f>
        <v>793</v>
      </c>
      <c r="B799" s="82" t="s">
        <v>444</v>
      </c>
      <c r="C799" s="82" t="s">
        <v>111</v>
      </c>
      <c r="D799" s="66" t="s">
        <v>326</v>
      </c>
      <c r="E799" s="82">
        <v>3</v>
      </c>
      <c r="F799" s="67">
        <v>304649944</v>
      </c>
      <c r="G799" s="66" t="s">
        <v>1575</v>
      </c>
      <c r="H799" s="66" t="s">
        <v>1576</v>
      </c>
      <c r="I799" s="66" t="s">
        <v>6</v>
      </c>
      <c r="J799" s="82" t="s">
        <v>49</v>
      </c>
      <c r="K799" s="67">
        <v>1550</v>
      </c>
      <c r="L799" s="82">
        <f t="shared" si="52"/>
        <v>1550</v>
      </c>
      <c r="M799" s="67">
        <v>500</v>
      </c>
      <c r="N799" s="82">
        <v>850</v>
      </c>
      <c r="O799" s="82">
        <f t="shared" si="53"/>
        <v>1050</v>
      </c>
      <c r="P799" s="82">
        <f t="shared" si="54"/>
        <v>700</v>
      </c>
      <c r="Q799" s="67">
        <v>1050</v>
      </c>
      <c r="R799" s="82">
        <v>700</v>
      </c>
      <c r="S799" s="67"/>
      <c r="T799" s="82"/>
      <c r="U799" s="67"/>
      <c r="V799" s="82"/>
      <c r="W799" s="82"/>
      <c r="X799" s="82"/>
      <c r="Y799" s="68">
        <v>4</v>
      </c>
      <c r="Z799" s="82">
        <v>4</v>
      </c>
      <c r="AA799" s="69">
        <v>44593</v>
      </c>
      <c r="AB799" s="74">
        <v>44175</v>
      </c>
      <c r="AC799" s="75" t="s">
        <v>2069</v>
      </c>
      <c r="AD799" s="70" t="s">
        <v>4</v>
      </c>
    </row>
    <row r="800" spans="1:30" s="76" customFormat="1" ht="56.25">
      <c r="A800" s="82">
        <f>+SUBTOTAL(3,$B$7:B800)</f>
        <v>794</v>
      </c>
      <c r="B800" s="82" t="s">
        <v>444</v>
      </c>
      <c r="C800" s="82" t="s">
        <v>111</v>
      </c>
      <c r="D800" s="66" t="s">
        <v>326</v>
      </c>
      <c r="E800" s="82">
        <v>2</v>
      </c>
      <c r="F800" s="67">
        <v>301346010</v>
      </c>
      <c r="G800" s="66" t="s">
        <v>330</v>
      </c>
      <c r="H800" s="66" t="s">
        <v>331</v>
      </c>
      <c r="I800" s="66" t="s">
        <v>10</v>
      </c>
      <c r="J800" s="82" t="s">
        <v>30</v>
      </c>
      <c r="K800" s="67">
        <v>3000</v>
      </c>
      <c r="L800" s="82">
        <f t="shared" si="52"/>
        <v>720</v>
      </c>
      <c r="M800" s="67">
        <v>1500</v>
      </c>
      <c r="N800" s="82"/>
      <c r="O800" s="82">
        <f t="shared" si="53"/>
        <v>1500</v>
      </c>
      <c r="P800" s="82">
        <f t="shared" si="54"/>
        <v>720</v>
      </c>
      <c r="Q800" s="67">
        <v>1500</v>
      </c>
      <c r="R800" s="82">
        <v>720</v>
      </c>
      <c r="S800" s="67">
        <v>0</v>
      </c>
      <c r="T800" s="82"/>
      <c r="U800" s="67">
        <v>0</v>
      </c>
      <c r="V800" s="82"/>
      <c r="W800" s="82"/>
      <c r="X800" s="82"/>
      <c r="Y800" s="68">
        <v>20</v>
      </c>
      <c r="Z800" s="82"/>
      <c r="AA800" s="18">
        <v>44469</v>
      </c>
      <c r="AB800" s="74"/>
      <c r="AC800" s="75"/>
      <c r="AD800" s="70" t="s">
        <v>4</v>
      </c>
    </row>
    <row r="801" spans="1:30" s="76" customFormat="1" ht="37.5">
      <c r="A801" s="82">
        <f>+SUBTOTAL(3,$B$7:B801)</f>
        <v>795</v>
      </c>
      <c r="B801" s="82" t="s">
        <v>444</v>
      </c>
      <c r="C801" s="82" t="s">
        <v>111</v>
      </c>
      <c r="D801" s="66" t="s">
        <v>326</v>
      </c>
      <c r="E801" s="82">
        <v>2</v>
      </c>
      <c r="F801" s="67">
        <v>305011457</v>
      </c>
      <c r="G801" s="66" t="s">
        <v>1577</v>
      </c>
      <c r="H801" s="66" t="s">
        <v>1578</v>
      </c>
      <c r="I801" s="66" t="s">
        <v>6</v>
      </c>
      <c r="J801" s="82" t="s">
        <v>13</v>
      </c>
      <c r="K801" s="67">
        <v>500</v>
      </c>
      <c r="L801" s="82">
        <f t="shared" si="52"/>
        <v>500</v>
      </c>
      <c r="M801" s="67">
        <v>100</v>
      </c>
      <c r="N801" s="82">
        <v>100</v>
      </c>
      <c r="O801" s="82">
        <f t="shared" si="53"/>
        <v>400</v>
      </c>
      <c r="P801" s="82">
        <f t="shared" si="54"/>
        <v>400</v>
      </c>
      <c r="Q801" s="67">
        <v>400</v>
      </c>
      <c r="R801" s="82">
        <v>400</v>
      </c>
      <c r="S801" s="67"/>
      <c r="T801" s="82"/>
      <c r="U801" s="67"/>
      <c r="V801" s="82"/>
      <c r="W801" s="82"/>
      <c r="X801" s="82"/>
      <c r="Y801" s="68">
        <v>4</v>
      </c>
      <c r="Z801" s="82">
        <v>9</v>
      </c>
      <c r="AA801" s="69">
        <v>44531</v>
      </c>
      <c r="AB801" s="74">
        <v>44160</v>
      </c>
      <c r="AC801" s="75" t="s">
        <v>2070</v>
      </c>
      <c r="AD801" s="70" t="s">
        <v>4</v>
      </c>
    </row>
    <row r="802" spans="1:30" s="76" customFormat="1" ht="37.5">
      <c r="A802" s="82">
        <f>+SUBTOTAL(3,$B$7:B802)</f>
        <v>796</v>
      </c>
      <c r="B802" s="82" t="s">
        <v>444</v>
      </c>
      <c r="C802" s="82" t="s">
        <v>111</v>
      </c>
      <c r="D802" s="66" t="s">
        <v>326</v>
      </c>
      <c r="E802" s="82">
        <v>4</v>
      </c>
      <c r="F802" s="67">
        <v>307520352</v>
      </c>
      <c r="G802" s="66" t="s">
        <v>1579</v>
      </c>
      <c r="H802" s="66" t="s">
        <v>1580</v>
      </c>
      <c r="I802" s="66" t="s">
        <v>10</v>
      </c>
      <c r="J802" s="82" t="s">
        <v>30</v>
      </c>
      <c r="K802" s="67">
        <v>1200</v>
      </c>
      <c r="L802" s="82">
        <f t="shared" si="52"/>
        <v>800</v>
      </c>
      <c r="M802" s="67">
        <v>400</v>
      </c>
      <c r="N802" s="82"/>
      <c r="O802" s="82">
        <f t="shared" si="53"/>
        <v>800</v>
      </c>
      <c r="P802" s="82">
        <f t="shared" si="54"/>
        <v>800</v>
      </c>
      <c r="Q802" s="67">
        <v>800</v>
      </c>
      <c r="R802" s="82">
        <v>800</v>
      </c>
      <c r="S802" s="67"/>
      <c r="T802" s="82"/>
      <c r="U802" s="67"/>
      <c r="V802" s="82"/>
      <c r="W802" s="82"/>
      <c r="X802" s="82"/>
      <c r="Y802" s="68">
        <v>10</v>
      </c>
      <c r="Z802" s="82"/>
      <c r="AA802" s="69">
        <v>44348</v>
      </c>
      <c r="AB802" s="74"/>
      <c r="AC802" s="75"/>
      <c r="AD802" s="70" t="s">
        <v>0</v>
      </c>
    </row>
    <row r="803" spans="1:30" s="76" customFormat="1" ht="56.25">
      <c r="A803" s="82">
        <f>+SUBTOTAL(3,$B$7:B803)</f>
        <v>797</v>
      </c>
      <c r="B803" s="82" t="s">
        <v>444</v>
      </c>
      <c r="C803" s="82" t="s">
        <v>111</v>
      </c>
      <c r="D803" s="66" t="s">
        <v>326</v>
      </c>
      <c r="E803" s="82">
        <v>4</v>
      </c>
      <c r="F803" s="67">
        <v>305725905</v>
      </c>
      <c r="G803" s="66" t="s">
        <v>328</v>
      </c>
      <c r="H803" s="66" t="s">
        <v>329</v>
      </c>
      <c r="I803" s="66" t="s">
        <v>10</v>
      </c>
      <c r="J803" s="82" t="s">
        <v>58</v>
      </c>
      <c r="K803" s="67">
        <v>15450.000000000002</v>
      </c>
      <c r="L803" s="82">
        <f t="shared" si="52"/>
        <v>0</v>
      </c>
      <c r="M803" s="67">
        <v>0</v>
      </c>
      <c r="N803" s="82"/>
      <c r="O803" s="82">
        <f t="shared" si="53"/>
        <v>0</v>
      </c>
      <c r="P803" s="82">
        <f t="shared" si="54"/>
        <v>0</v>
      </c>
      <c r="Q803" s="67"/>
      <c r="R803" s="82"/>
      <c r="S803" s="67"/>
      <c r="T803" s="82"/>
      <c r="U803" s="67">
        <v>1500</v>
      </c>
      <c r="V803" s="82"/>
      <c r="W803" s="82" t="s">
        <v>1922</v>
      </c>
      <c r="X803" s="82" t="s">
        <v>1839</v>
      </c>
      <c r="Y803" s="68">
        <v>30</v>
      </c>
      <c r="Z803" s="82"/>
      <c r="AA803" s="18">
        <v>44348</v>
      </c>
      <c r="AB803" s="74"/>
      <c r="AC803" s="75"/>
      <c r="AD803" s="70" t="s">
        <v>84</v>
      </c>
    </row>
    <row r="804" spans="1:30" s="76" customFormat="1" ht="37.5">
      <c r="A804" s="82">
        <f>+SUBTOTAL(3,$B$7:B804)</f>
        <v>798</v>
      </c>
      <c r="B804" s="82" t="s">
        <v>444</v>
      </c>
      <c r="C804" s="82" t="s">
        <v>111</v>
      </c>
      <c r="D804" s="66" t="s">
        <v>326</v>
      </c>
      <c r="E804" s="82">
        <v>1</v>
      </c>
      <c r="F804" s="67">
        <v>303929675</v>
      </c>
      <c r="G804" s="66" t="s">
        <v>332</v>
      </c>
      <c r="H804" s="66" t="s">
        <v>333</v>
      </c>
      <c r="I804" s="66" t="s">
        <v>10</v>
      </c>
      <c r="J804" s="82" t="s">
        <v>50</v>
      </c>
      <c r="K804" s="67">
        <v>3600</v>
      </c>
      <c r="L804" s="82">
        <f t="shared" si="52"/>
        <v>2020</v>
      </c>
      <c r="M804" s="67">
        <v>1500</v>
      </c>
      <c r="N804" s="82"/>
      <c r="O804" s="82">
        <f t="shared" si="53"/>
        <v>2100</v>
      </c>
      <c r="P804" s="82">
        <f t="shared" si="54"/>
        <v>2020</v>
      </c>
      <c r="Q804" s="67">
        <v>2100</v>
      </c>
      <c r="R804" s="82">
        <v>2020</v>
      </c>
      <c r="S804" s="67">
        <v>0</v>
      </c>
      <c r="T804" s="82"/>
      <c r="U804" s="67">
        <v>0</v>
      </c>
      <c r="V804" s="82"/>
      <c r="W804" s="82"/>
      <c r="X804" s="82"/>
      <c r="Y804" s="68">
        <v>15</v>
      </c>
      <c r="Z804" s="82"/>
      <c r="AA804" s="18">
        <v>44531</v>
      </c>
      <c r="AB804" s="74"/>
      <c r="AC804" s="75"/>
      <c r="AD804" s="70" t="s">
        <v>460</v>
      </c>
    </row>
    <row r="805" spans="1:30" s="76" customFormat="1" ht="56.25">
      <c r="A805" s="82">
        <f>+SUBTOTAL(3,$B$7:B805)</f>
        <v>799</v>
      </c>
      <c r="B805" s="82" t="s">
        <v>444</v>
      </c>
      <c r="C805" s="82" t="s">
        <v>111</v>
      </c>
      <c r="D805" s="66" t="s">
        <v>326</v>
      </c>
      <c r="E805" s="82">
        <v>1</v>
      </c>
      <c r="F805" s="67">
        <v>301729808</v>
      </c>
      <c r="G805" s="66" t="s">
        <v>334</v>
      </c>
      <c r="H805" s="66" t="s">
        <v>335</v>
      </c>
      <c r="I805" s="66" t="s">
        <v>10</v>
      </c>
      <c r="J805" s="82" t="s">
        <v>66</v>
      </c>
      <c r="K805" s="67">
        <v>32450</v>
      </c>
      <c r="L805" s="82">
        <f t="shared" si="52"/>
        <v>12000</v>
      </c>
      <c r="M805" s="67">
        <v>20450</v>
      </c>
      <c r="N805" s="82"/>
      <c r="O805" s="82">
        <f t="shared" si="53"/>
        <v>12000</v>
      </c>
      <c r="P805" s="82">
        <f t="shared" si="54"/>
        <v>12000</v>
      </c>
      <c r="Q805" s="67">
        <v>12000</v>
      </c>
      <c r="R805" s="82">
        <v>12000</v>
      </c>
      <c r="S805" s="67">
        <v>0</v>
      </c>
      <c r="T805" s="82"/>
      <c r="U805" s="67">
        <v>0</v>
      </c>
      <c r="V805" s="82"/>
      <c r="W805" s="82"/>
      <c r="X805" s="82"/>
      <c r="Y805" s="68">
        <v>100</v>
      </c>
      <c r="Z805" s="82"/>
      <c r="AA805" s="69">
        <v>44561</v>
      </c>
      <c r="AB805" s="74"/>
      <c r="AC805" s="75"/>
      <c r="AD805" s="70" t="s">
        <v>543</v>
      </c>
    </row>
    <row r="806" spans="1:30" s="76" customFormat="1" ht="37.5">
      <c r="A806" s="82">
        <f>+SUBTOTAL(3,$B$7:B806)</f>
        <v>800</v>
      </c>
      <c r="B806" s="82" t="s">
        <v>444</v>
      </c>
      <c r="C806" s="82" t="s">
        <v>111</v>
      </c>
      <c r="D806" s="66" t="s">
        <v>326</v>
      </c>
      <c r="E806" s="82">
        <v>2</v>
      </c>
      <c r="F806" s="67">
        <v>301140370</v>
      </c>
      <c r="G806" s="66" t="s">
        <v>338</v>
      </c>
      <c r="H806" s="66" t="s">
        <v>339</v>
      </c>
      <c r="I806" s="66" t="s">
        <v>10</v>
      </c>
      <c r="J806" s="82" t="s">
        <v>30</v>
      </c>
      <c r="K806" s="67">
        <v>14000</v>
      </c>
      <c r="L806" s="82">
        <f t="shared" si="52"/>
        <v>8000</v>
      </c>
      <c r="M806" s="67">
        <v>6000</v>
      </c>
      <c r="N806" s="82"/>
      <c r="O806" s="82">
        <f t="shared" si="53"/>
        <v>8000</v>
      </c>
      <c r="P806" s="82">
        <f t="shared" si="54"/>
        <v>8000</v>
      </c>
      <c r="Q806" s="67">
        <v>8000</v>
      </c>
      <c r="R806" s="82">
        <v>8000</v>
      </c>
      <c r="S806" s="67">
        <v>0</v>
      </c>
      <c r="T806" s="82"/>
      <c r="U806" s="67">
        <v>0</v>
      </c>
      <c r="V806" s="82"/>
      <c r="W806" s="82"/>
      <c r="X806" s="82"/>
      <c r="Y806" s="68">
        <v>10</v>
      </c>
      <c r="Z806" s="82"/>
      <c r="AA806" s="69">
        <v>44530</v>
      </c>
      <c r="AB806" s="74"/>
      <c r="AC806" s="75"/>
      <c r="AD806" s="70" t="s">
        <v>460</v>
      </c>
    </row>
    <row r="807" spans="1:30" s="76" customFormat="1" ht="37.5">
      <c r="A807" s="82">
        <f>+SUBTOTAL(3,$B$7:B807)</f>
        <v>801</v>
      </c>
      <c r="B807" s="82" t="s">
        <v>444</v>
      </c>
      <c r="C807" s="82" t="s">
        <v>111</v>
      </c>
      <c r="D807" s="66" t="s">
        <v>326</v>
      </c>
      <c r="E807" s="82">
        <v>1</v>
      </c>
      <c r="F807" s="67">
        <v>300779114</v>
      </c>
      <c r="G807" s="66" t="s">
        <v>340</v>
      </c>
      <c r="H807" s="66" t="s">
        <v>341</v>
      </c>
      <c r="I807" s="66" t="s">
        <v>10</v>
      </c>
      <c r="J807" s="82" t="s">
        <v>66</v>
      </c>
      <c r="K807" s="67">
        <v>10000</v>
      </c>
      <c r="L807" s="82">
        <f t="shared" si="52"/>
        <v>0</v>
      </c>
      <c r="M807" s="67">
        <v>10000</v>
      </c>
      <c r="N807" s="82"/>
      <c r="O807" s="82">
        <f t="shared" si="53"/>
        <v>0</v>
      </c>
      <c r="P807" s="82">
        <f t="shared" si="54"/>
        <v>0</v>
      </c>
      <c r="Q807" s="67"/>
      <c r="R807" s="82"/>
      <c r="S807" s="67"/>
      <c r="T807" s="82"/>
      <c r="U807" s="67">
        <v>0</v>
      </c>
      <c r="V807" s="82"/>
      <c r="W807" s="82"/>
      <c r="X807" s="82"/>
      <c r="Y807" s="68">
        <v>20</v>
      </c>
      <c r="Z807" s="82"/>
      <c r="AA807" s="69">
        <v>44470</v>
      </c>
      <c r="AB807" s="74"/>
      <c r="AC807" s="75"/>
      <c r="AD807" s="70" t="s">
        <v>445</v>
      </c>
    </row>
    <row r="808" spans="1:30" s="76" customFormat="1" ht="56.25">
      <c r="A808" s="82">
        <f>+SUBTOTAL(3,$B$7:B808)</f>
        <v>802</v>
      </c>
      <c r="B808" s="82" t="s">
        <v>444</v>
      </c>
      <c r="C808" s="82" t="s">
        <v>111</v>
      </c>
      <c r="D808" s="66" t="s">
        <v>326</v>
      </c>
      <c r="E808" s="82">
        <v>1</v>
      </c>
      <c r="F808" s="67">
        <v>302571699</v>
      </c>
      <c r="G808" s="66" t="s">
        <v>342</v>
      </c>
      <c r="H808" s="66" t="s">
        <v>343</v>
      </c>
      <c r="I808" s="66" t="s">
        <v>10</v>
      </c>
      <c r="J808" s="82" t="s">
        <v>66</v>
      </c>
      <c r="K808" s="67">
        <v>46200</v>
      </c>
      <c r="L808" s="82">
        <f t="shared" si="52"/>
        <v>0</v>
      </c>
      <c r="M808" s="67">
        <v>46200</v>
      </c>
      <c r="N808" s="82"/>
      <c r="O808" s="82">
        <f t="shared" si="53"/>
        <v>0</v>
      </c>
      <c r="P808" s="82">
        <f t="shared" si="54"/>
        <v>0</v>
      </c>
      <c r="Q808" s="67"/>
      <c r="R808" s="82"/>
      <c r="S808" s="67"/>
      <c r="T808" s="82"/>
      <c r="U808" s="67">
        <v>0</v>
      </c>
      <c r="V808" s="82"/>
      <c r="W808" s="82"/>
      <c r="X808" s="82"/>
      <c r="Y808" s="68">
        <v>50</v>
      </c>
      <c r="Z808" s="82"/>
      <c r="AA808" s="69">
        <v>44560</v>
      </c>
      <c r="AB808" s="74"/>
      <c r="AC808" s="75"/>
      <c r="AD808" s="70" t="s">
        <v>446</v>
      </c>
    </row>
    <row r="809" spans="1:30" s="76" customFormat="1" ht="37.5">
      <c r="A809" s="82">
        <f>+SUBTOTAL(3,$B$7:B809)</f>
        <v>803</v>
      </c>
      <c r="B809" s="82" t="s">
        <v>444</v>
      </c>
      <c r="C809" s="82" t="s">
        <v>111</v>
      </c>
      <c r="D809" s="66" t="s">
        <v>326</v>
      </c>
      <c r="E809" s="82">
        <v>3</v>
      </c>
      <c r="F809" s="67">
        <v>302965277</v>
      </c>
      <c r="G809" s="66" t="s">
        <v>345</v>
      </c>
      <c r="H809" s="66" t="s">
        <v>346</v>
      </c>
      <c r="I809" s="66" t="s">
        <v>6</v>
      </c>
      <c r="J809" s="82" t="s">
        <v>14</v>
      </c>
      <c r="K809" s="67">
        <v>8500</v>
      </c>
      <c r="L809" s="82">
        <f t="shared" si="52"/>
        <v>0</v>
      </c>
      <c r="M809" s="67">
        <v>7000</v>
      </c>
      <c r="N809" s="82"/>
      <c r="O809" s="82">
        <f t="shared" si="53"/>
        <v>1500</v>
      </c>
      <c r="P809" s="82">
        <f t="shared" si="54"/>
        <v>0</v>
      </c>
      <c r="Q809" s="67">
        <v>1500</v>
      </c>
      <c r="R809" s="82"/>
      <c r="S809" s="67">
        <v>0</v>
      </c>
      <c r="T809" s="82"/>
      <c r="U809" s="67">
        <v>0</v>
      </c>
      <c r="V809" s="82"/>
      <c r="W809" s="82"/>
      <c r="X809" s="82"/>
      <c r="Y809" s="68">
        <v>8</v>
      </c>
      <c r="Z809" s="82"/>
      <c r="AA809" s="69">
        <v>44378</v>
      </c>
      <c r="AB809" s="74"/>
      <c r="AC809" s="75"/>
      <c r="AD809" s="70" t="s">
        <v>446</v>
      </c>
    </row>
    <row r="810" spans="1:30" s="76" customFormat="1" ht="37.5">
      <c r="A810" s="82">
        <f>+SUBTOTAL(3,$B$7:B810)</f>
        <v>804</v>
      </c>
      <c r="B810" s="82" t="s">
        <v>444</v>
      </c>
      <c r="C810" s="82" t="s">
        <v>111</v>
      </c>
      <c r="D810" s="66" t="s">
        <v>326</v>
      </c>
      <c r="E810" s="82">
        <v>3</v>
      </c>
      <c r="F810" s="67">
        <v>300547854</v>
      </c>
      <c r="G810" s="66" t="s">
        <v>347</v>
      </c>
      <c r="H810" s="66" t="s">
        <v>348</v>
      </c>
      <c r="I810" s="66" t="s">
        <v>10</v>
      </c>
      <c r="J810" s="82" t="s">
        <v>30</v>
      </c>
      <c r="K810" s="67">
        <v>5000</v>
      </c>
      <c r="L810" s="82">
        <f t="shared" si="52"/>
        <v>5000</v>
      </c>
      <c r="M810" s="67">
        <v>1700</v>
      </c>
      <c r="N810" s="82">
        <v>1700</v>
      </c>
      <c r="O810" s="82">
        <f t="shared" si="53"/>
        <v>3300</v>
      </c>
      <c r="P810" s="82">
        <f t="shared" si="54"/>
        <v>3300</v>
      </c>
      <c r="Q810" s="67">
        <v>3300</v>
      </c>
      <c r="R810" s="82">
        <v>3300</v>
      </c>
      <c r="S810" s="67">
        <v>0</v>
      </c>
      <c r="T810" s="82"/>
      <c r="U810" s="67">
        <v>0</v>
      </c>
      <c r="V810" s="82"/>
      <c r="W810" s="82"/>
      <c r="X810" s="82"/>
      <c r="Y810" s="68">
        <v>25</v>
      </c>
      <c r="Z810" s="82">
        <v>25</v>
      </c>
      <c r="AA810" s="69">
        <v>44531</v>
      </c>
      <c r="AB810" s="74">
        <v>44188</v>
      </c>
      <c r="AC810" s="75" t="s">
        <v>2085</v>
      </c>
      <c r="AD810" s="70" t="s">
        <v>445</v>
      </c>
    </row>
    <row r="811" spans="1:30" s="76" customFormat="1" ht="37.5">
      <c r="A811" s="82">
        <f>+SUBTOTAL(3,$B$7:B811)</f>
        <v>805</v>
      </c>
      <c r="B811" s="82" t="s">
        <v>444</v>
      </c>
      <c r="C811" s="82" t="s">
        <v>111</v>
      </c>
      <c r="D811" s="66" t="s">
        <v>326</v>
      </c>
      <c r="E811" s="82">
        <v>2</v>
      </c>
      <c r="F811" s="67">
        <v>303428950</v>
      </c>
      <c r="G811" s="66" t="s">
        <v>349</v>
      </c>
      <c r="H811" s="66" t="s">
        <v>152</v>
      </c>
      <c r="I811" s="66" t="s">
        <v>10</v>
      </c>
      <c r="J811" s="82" t="s">
        <v>66</v>
      </c>
      <c r="K811" s="67">
        <v>10000</v>
      </c>
      <c r="L811" s="82">
        <f t="shared" ref="L811:L874" si="55">+N811+R811+T811*10.2+V811*10.2</f>
        <v>412</v>
      </c>
      <c r="M811" s="67">
        <v>9000</v>
      </c>
      <c r="N811" s="82"/>
      <c r="O811" s="82">
        <f t="shared" si="53"/>
        <v>1000</v>
      </c>
      <c r="P811" s="82">
        <f t="shared" si="54"/>
        <v>412</v>
      </c>
      <c r="Q811" s="67">
        <v>1000</v>
      </c>
      <c r="R811" s="82">
        <v>412</v>
      </c>
      <c r="S811" s="67">
        <v>0</v>
      </c>
      <c r="T811" s="82"/>
      <c r="U811" s="67">
        <v>0</v>
      </c>
      <c r="V811" s="82"/>
      <c r="W811" s="82"/>
      <c r="X811" s="82"/>
      <c r="Y811" s="68">
        <v>8</v>
      </c>
      <c r="Z811" s="82"/>
      <c r="AA811" s="69">
        <v>44470</v>
      </c>
      <c r="AB811" s="74"/>
      <c r="AC811" s="75"/>
      <c r="AD811" s="70" t="s">
        <v>446</v>
      </c>
    </row>
    <row r="812" spans="1:30" s="76" customFormat="1" ht="37.5">
      <c r="A812" s="82">
        <f>+SUBTOTAL(3,$B$7:B812)</f>
        <v>806</v>
      </c>
      <c r="B812" s="82" t="s">
        <v>444</v>
      </c>
      <c r="C812" s="82" t="s">
        <v>111</v>
      </c>
      <c r="D812" s="66" t="s">
        <v>326</v>
      </c>
      <c r="E812" s="82">
        <v>3</v>
      </c>
      <c r="F812" s="67">
        <v>204817707</v>
      </c>
      <c r="G812" s="66" t="s">
        <v>350</v>
      </c>
      <c r="H812" s="66" t="s">
        <v>1581</v>
      </c>
      <c r="I812" s="66" t="s">
        <v>6</v>
      </c>
      <c r="J812" s="82" t="s">
        <v>12</v>
      </c>
      <c r="K812" s="67">
        <v>2500</v>
      </c>
      <c r="L812" s="82">
        <f t="shared" si="55"/>
        <v>2500</v>
      </c>
      <c r="M812" s="67">
        <v>500</v>
      </c>
      <c r="N812" s="82">
        <v>500</v>
      </c>
      <c r="O812" s="82">
        <f t="shared" si="53"/>
        <v>2000</v>
      </c>
      <c r="P812" s="82">
        <f t="shared" si="54"/>
        <v>2000</v>
      </c>
      <c r="Q812" s="67">
        <v>2000</v>
      </c>
      <c r="R812" s="82">
        <v>2000</v>
      </c>
      <c r="S812" s="67">
        <v>0</v>
      </c>
      <c r="T812" s="82"/>
      <c r="U812" s="67">
        <v>0</v>
      </c>
      <c r="V812" s="82"/>
      <c r="W812" s="82"/>
      <c r="X812" s="82"/>
      <c r="Y812" s="68">
        <v>10</v>
      </c>
      <c r="Z812" s="82">
        <v>10</v>
      </c>
      <c r="AA812" s="69">
        <v>44470</v>
      </c>
      <c r="AB812" s="74">
        <v>44155</v>
      </c>
      <c r="AC812" s="75" t="s">
        <v>1993</v>
      </c>
      <c r="AD812" s="70" t="s">
        <v>445</v>
      </c>
    </row>
    <row r="813" spans="1:30" s="76" customFormat="1" ht="37.5">
      <c r="A813" s="82">
        <f>+SUBTOTAL(3,$B$7:B813)</f>
        <v>807</v>
      </c>
      <c r="B813" s="82" t="s">
        <v>444</v>
      </c>
      <c r="C813" s="82" t="s">
        <v>111</v>
      </c>
      <c r="D813" s="66" t="s">
        <v>326</v>
      </c>
      <c r="E813" s="82">
        <v>3</v>
      </c>
      <c r="F813" s="67">
        <v>304368868</v>
      </c>
      <c r="G813" s="66" t="s">
        <v>351</v>
      </c>
      <c r="H813" s="66" t="s">
        <v>352</v>
      </c>
      <c r="I813" s="66" t="s">
        <v>6</v>
      </c>
      <c r="J813" s="82" t="s">
        <v>11</v>
      </c>
      <c r="K813" s="67">
        <v>2250</v>
      </c>
      <c r="L813" s="82">
        <f t="shared" si="55"/>
        <v>0</v>
      </c>
      <c r="M813" s="67">
        <v>650</v>
      </c>
      <c r="N813" s="82"/>
      <c r="O813" s="82">
        <f t="shared" si="53"/>
        <v>1600</v>
      </c>
      <c r="P813" s="82">
        <f t="shared" si="54"/>
        <v>0</v>
      </c>
      <c r="Q813" s="67">
        <v>1600</v>
      </c>
      <c r="R813" s="82"/>
      <c r="S813" s="67">
        <v>0</v>
      </c>
      <c r="T813" s="82"/>
      <c r="U813" s="67">
        <v>0</v>
      </c>
      <c r="V813" s="82"/>
      <c r="W813" s="82"/>
      <c r="X813" s="82"/>
      <c r="Y813" s="68">
        <v>6</v>
      </c>
      <c r="Z813" s="82"/>
      <c r="AA813" s="69">
        <v>44409</v>
      </c>
      <c r="AB813" s="74"/>
      <c r="AC813" s="75"/>
      <c r="AD813" s="70" t="s">
        <v>460</v>
      </c>
    </row>
    <row r="814" spans="1:30" s="76" customFormat="1" ht="37.5">
      <c r="A814" s="82">
        <f>+SUBTOTAL(3,$B$7:B814)</f>
        <v>808</v>
      </c>
      <c r="B814" s="82" t="s">
        <v>444</v>
      </c>
      <c r="C814" s="82" t="s">
        <v>111</v>
      </c>
      <c r="D814" s="66" t="s">
        <v>326</v>
      </c>
      <c r="E814" s="82">
        <v>2</v>
      </c>
      <c r="F814" s="67" t="s">
        <v>1923</v>
      </c>
      <c r="G814" s="66" t="s">
        <v>353</v>
      </c>
      <c r="H814" s="66" t="s">
        <v>164</v>
      </c>
      <c r="I814" s="66" t="s">
        <v>10</v>
      </c>
      <c r="J814" s="82" t="s">
        <v>45</v>
      </c>
      <c r="K814" s="67">
        <v>3000</v>
      </c>
      <c r="L814" s="82">
        <f t="shared" si="55"/>
        <v>0</v>
      </c>
      <c r="M814" s="67">
        <v>1000</v>
      </c>
      <c r="N814" s="82"/>
      <c r="O814" s="82">
        <f t="shared" si="53"/>
        <v>2000</v>
      </c>
      <c r="P814" s="82">
        <f t="shared" si="54"/>
        <v>0</v>
      </c>
      <c r="Q814" s="67">
        <v>2000</v>
      </c>
      <c r="R814" s="82"/>
      <c r="S814" s="67">
        <v>0</v>
      </c>
      <c r="T814" s="82"/>
      <c r="U814" s="67">
        <v>0</v>
      </c>
      <c r="V814" s="82"/>
      <c r="W814" s="82"/>
      <c r="X814" s="82"/>
      <c r="Y814" s="68">
        <v>6</v>
      </c>
      <c r="Z814" s="82"/>
      <c r="AA814" s="69">
        <v>44317</v>
      </c>
      <c r="AB814" s="74"/>
      <c r="AC814" s="75"/>
      <c r="AD814" s="70" t="s">
        <v>460</v>
      </c>
    </row>
    <row r="815" spans="1:30" s="76" customFormat="1" ht="37.5">
      <c r="A815" s="82">
        <f>+SUBTOTAL(3,$B$7:B815)</f>
        <v>809</v>
      </c>
      <c r="B815" s="82" t="s">
        <v>444</v>
      </c>
      <c r="C815" s="82" t="s">
        <v>111</v>
      </c>
      <c r="D815" s="66" t="s">
        <v>326</v>
      </c>
      <c r="E815" s="82">
        <v>3</v>
      </c>
      <c r="F815" s="67">
        <v>302459716</v>
      </c>
      <c r="G815" s="66" t="s">
        <v>354</v>
      </c>
      <c r="H815" s="66" t="s">
        <v>355</v>
      </c>
      <c r="I815" s="66" t="s">
        <v>10</v>
      </c>
      <c r="J815" s="82" t="s">
        <v>45</v>
      </c>
      <c r="K815" s="67">
        <v>6000</v>
      </c>
      <c r="L815" s="82">
        <f t="shared" si="55"/>
        <v>0</v>
      </c>
      <c r="M815" s="67">
        <v>5300</v>
      </c>
      <c r="N815" s="82"/>
      <c r="O815" s="82">
        <f t="shared" si="53"/>
        <v>700</v>
      </c>
      <c r="P815" s="82">
        <f t="shared" si="54"/>
        <v>0</v>
      </c>
      <c r="Q815" s="67">
        <v>700</v>
      </c>
      <c r="R815" s="82"/>
      <c r="S815" s="67">
        <v>0</v>
      </c>
      <c r="T815" s="82"/>
      <c r="U815" s="67">
        <v>0</v>
      </c>
      <c r="V815" s="82"/>
      <c r="W815" s="82"/>
      <c r="X815" s="82"/>
      <c r="Y815" s="68">
        <v>6</v>
      </c>
      <c r="Z815" s="82"/>
      <c r="AA815" s="69">
        <v>44470</v>
      </c>
      <c r="AB815" s="74"/>
      <c r="AC815" s="75"/>
      <c r="AD815" s="70" t="s">
        <v>446</v>
      </c>
    </row>
    <row r="816" spans="1:30" s="76" customFormat="1" ht="37.5">
      <c r="A816" s="82">
        <f>+SUBTOTAL(3,$B$7:B816)</f>
        <v>810</v>
      </c>
      <c r="B816" s="82" t="s">
        <v>444</v>
      </c>
      <c r="C816" s="82" t="s">
        <v>111</v>
      </c>
      <c r="D816" s="66" t="s">
        <v>326</v>
      </c>
      <c r="E816" s="82">
        <v>2</v>
      </c>
      <c r="F816" s="67">
        <v>483945431</v>
      </c>
      <c r="G816" s="66" t="s">
        <v>356</v>
      </c>
      <c r="H816" s="66" t="s">
        <v>357</v>
      </c>
      <c r="I816" s="66" t="s">
        <v>10</v>
      </c>
      <c r="J816" s="82" t="s">
        <v>30</v>
      </c>
      <c r="K816" s="67">
        <v>7000</v>
      </c>
      <c r="L816" s="82">
        <f t="shared" si="55"/>
        <v>0</v>
      </c>
      <c r="M816" s="67">
        <v>6000</v>
      </c>
      <c r="N816" s="82"/>
      <c r="O816" s="82">
        <f t="shared" si="53"/>
        <v>1000</v>
      </c>
      <c r="P816" s="82">
        <f t="shared" si="54"/>
        <v>0</v>
      </c>
      <c r="Q816" s="67">
        <v>1000</v>
      </c>
      <c r="R816" s="82"/>
      <c r="S816" s="67">
        <v>0</v>
      </c>
      <c r="T816" s="82"/>
      <c r="U816" s="67">
        <v>0</v>
      </c>
      <c r="V816" s="82"/>
      <c r="W816" s="82"/>
      <c r="X816" s="82"/>
      <c r="Y816" s="68">
        <v>10</v>
      </c>
      <c r="Z816" s="82"/>
      <c r="AA816" s="69">
        <v>44501</v>
      </c>
      <c r="AB816" s="74"/>
      <c r="AC816" s="75"/>
      <c r="AD816" s="70" t="s">
        <v>446</v>
      </c>
    </row>
    <row r="817" spans="1:30" s="76" customFormat="1" ht="37.5">
      <c r="A817" s="82">
        <f>+SUBTOTAL(3,$B$7:B817)</f>
        <v>811</v>
      </c>
      <c r="B817" s="95" t="s">
        <v>2100</v>
      </c>
      <c r="C817" s="82" t="s">
        <v>111</v>
      </c>
      <c r="D817" s="66" t="s">
        <v>326</v>
      </c>
      <c r="E817" s="82">
        <v>4</v>
      </c>
      <c r="F817" s="67">
        <v>305463758</v>
      </c>
      <c r="G817" s="66" t="s">
        <v>358</v>
      </c>
      <c r="H817" s="66" t="s">
        <v>359</v>
      </c>
      <c r="I817" s="66" t="s">
        <v>10</v>
      </c>
      <c r="J817" s="82" t="s">
        <v>60</v>
      </c>
      <c r="K817" s="67">
        <v>66950</v>
      </c>
      <c r="L817" s="82">
        <f t="shared" si="55"/>
        <v>0</v>
      </c>
      <c r="M817" s="67"/>
      <c r="N817" s="82"/>
      <c r="O817" s="82">
        <f t="shared" si="53"/>
        <v>0</v>
      </c>
      <c r="P817" s="82">
        <f t="shared" si="54"/>
        <v>0</v>
      </c>
      <c r="Q817" s="67"/>
      <c r="R817" s="82"/>
      <c r="S817" s="67"/>
      <c r="T817" s="82"/>
      <c r="U817" s="67">
        <v>6500</v>
      </c>
      <c r="V817" s="82"/>
      <c r="W817" s="82" t="s">
        <v>1924</v>
      </c>
      <c r="X817" s="82" t="s">
        <v>1925</v>
      </c>
      <c r="Y817" s="68">
        <v>50</v>
      </c>
      <c r="Z817" s="82"/>
      <c r="AA817" s="69">
        <v>44896</v>
      </c>
      <c r="AB817" s="74"/>
      <c r="AC817" s="75"/>
      <c r="AD817" s="70" t="s">
        <v>477</v>
      </c>
    </row>
    <row r="818" spans="1:30" s="76" customFormat="1" ht="37.5">
      <c r="A818" s="82">
        <f>+SUBTOTAL(3,$B$7:B818)</f>
        <v>812</v>
      </c>
      <c r="B818" s="95" t="s">
        <v>2100</v>
      </c>
      <c r="C818" s="82" t="s">
        <v>111</v>
      </c>
      <c r="D818" s="66" t="s">
        <v>326</v>
      </c>
      <c r="E818" s="82">
        <v>4</v>
      </c>
      <c r="F818" s="67">
        <v>305463758</v>
      </c>
      <c r="G818" s="66" t="s">
        <v>358</v>
      </c>
      <c r="H818" s="66" t="s">
        <v>327</v>
      </c>
      <c r="I818" s="66" t="s">
        <v>10</v>
      </c>
      <c r="J818" s="82" t="s">
        <v>30</v>
      </c>
      <c r="K818" s="67">
        <v>20600</v>
      </c>
      <c r="L818" s="82">
        <f t="shared" si="55"/>
        <v>0</v>
      </c>
      <c r="M818" s="67"/>
      <c r="N818" s="82"/>
      <c r="O818" s="82">
        <f t="shared" si="53"/>
        <v>0</v>
      </c>
      <c r="P818" s="82">
        <f t="shared" si="54"/>
        <v>0</v>
      </c>
      <c r="Q818" s="67"/>
      <c r="R818" s="82"/>
      <c r="S818" s="67"/>
      <c r="T818" s="82"/>
      <c r="U818" s="67">
        <v>2000</v>
      </c>
      <c r="V818" s="82"/>
      <c r="W818" s="82" t="s">
        <v>1924</v>
      </c>
      <c r="X818" s="82" t="s">
        <v>1925</v>
      </c>
      <c r="Y818" s="68">
        <v>20</v>
      </c>
      <c r="Z818" s="82"/>
      <c r="AA818" s="18">
        <v>44896</v>
      </c>
      <c r="AB818" s="74"/>
      <c r="AC818" s="75"/>
      <c r="AD818" s="70" t="s">
        <v>477</v>
      </c>
    </row>
    <row r="819" spans="1:30" s="76" customFormat="1" ht="75">
      <c r="A819" s="82">
        <f>+SUBTOTAL(3,$B$7:B819)</f>
        <v>813</v>
      </c>
      <c r="B819" s="82" t="s">
        <v>444</v>
      </c>
      <c r="C819" s="82" t="s">
        <v>111</v>
      </c>
      <c r="D819" s="66" t="s">
        <v>326</v>
      </c>
      <c r="E819" s="82">
        <v>3</v>
      </c>
      <c r="F819" s="67">
        <v>306078586</v>
      </c>
      <c r="G819" s="66" t="s">
        <v>1582</v>
      </c>
      <c r="H819" s="66" t="s">
        <v>1583</v>
      </c>
      <c r="I819" s="66" t="s">
        <v>6</v>
      </c>
      <c r="J819" s="82" t="s">
        <v>12</v>
      </c>
      <c r="K819" s="67">
        <v>3000</v>
      </c>
      <c r="L819" s="82">
        <f t="shared" si="55"/>
        <v>2550</v>
      </c>
      <c r="M819" s="67">
        <v>500</v>
      </c>
      <c r="N819" s="82"/>
      <c r="O819" s="82">
        <f t="shared" si="53"/>
        <v>2500</v>
      </c>
      <c r="P819" s="82">
        <f t="shared" si="54"/>
        <v>2550</v>
      </c>
      <c r="Q819" s="67">
        <v>2500</v>
      </c>
      <c r="R819" s="82"/>
      <c r="S819" s="67"/>
      <c r="T819" s="82">
        <v>250</v>
      </c>
      <c r="U819" s="67"/>
      <c r="V819" s="82"/>
      <c r="W819" s="82"/>
      <c r="X819" s="82"/>
      <c r="Y819" s="68">
        <v>5</v>
      </c>
      <c r="Z819" s="82"/>
      <c r="AA819" s="69">
        <v>44287</v>
      </c>
      <c r="AB819" s="74"/>
      <c r="AC819" s="75"/>
      <c r="AD819" s="70" t="s">
        <v>543</v>
      </c>
    </row>
    <row r="820" spans="1:30" s="76" customFormat="1" ht="37.5">
      <c r="A820" s="82">
        <f>+SUBTOTAL(3,$B$7:B820)</f>
        <v>814</v>
      </c>
      <c r="B820" s="82" t="s">
        <v>444</v>
      </c>
      <c r="C820" s="82" t="s">
        <v>111</v>
      </c>
      <c r="D820" s="66" t="s">
        <v>326</v>
      </c>
      <c r="E820" s="82">
        <v>2</v>
      </c>
      <c r="F820" s="67">
        <v>305979755</v>
      </c>
      <c r="G820" s="66" t="s">
        <v>1584</v>
      </c>
      <c r="H820" s="66" t="s">
        <v>1585</v>
      </c>
      <c r="I820" s="66" t="s">
        <v>6</v>
      </c>
      <c r="J820" s="82" t="s">
        <v>12</v>
      </c>
      <c r="K820" s="67">
        <v>900</v>
      </c>
      <c r="L820" s="82">
        <f t="shared" si="55"/>
        <v>600</v>
      </c>
      <c r="M820" s="67">
        <v>300</v>
      </c>
      <c r="N820" s="82"/>
      <c r="O820" s="82">
        <f t="shared" si="53"/>
        <v>600</v>
      </c>
      <c r="P820" s="82">
        <f t="shared" si="54"/>
        <v>600</v>
      </c>
      <c r="Q820" s="67">
        <v>600</v>
      </c>
      <c r="R820" s="82">
        <v>600</v>
      </c>
      <c r="S820" s="67"/>
      <c r="T820" s="82"/>
      <c r="U820" s="67"/>
      <c r="V820" s="82"/>
      <c r="W820" s="82"/>
      <c r="X820" s="82"/>
      <c r="Y820" s="68">
        <v>15</v>
      </c>
      <c r="Z820" s="82"/>
      <c r="AA820" s="69">
        <v>44531</v>
      </c>
      <c r="AB820" s="74"/>
      <c r="AC820" s="75"/>
      <c r="AD820" s="70" t="s">
        <v>445</v>
      </c>
    </row>
    <row r="821" spans="1:30" s="76" customFormat="1" ht="37.5">
      <c r="A821" s="82">
        <f>+SUBTOTAL(3,$B$7:B821)</f>
        <v>815</v>
      </c>
      <c r="B821" s="82" t="s">
        <v>444</v>
      </c>
      <c r="C821" s="82" t="s">
        <v>111</v>
      </c>
      <c r="D821" s="66" t="s">
        <v>326</v>
      </c>
      <c r="E821" s="82">
        <v>3</v>
      </c>
      <c r="F821" s="67">
        <v>305880406</v>
      </c>
      <c r="G821" s="66" t="s">
        <v>1586</v>
      </c>
      <c r="H821" s="66" t="s">
        <v>1587</v>
      </c>
      <c r="I821" s="66" t="s">
        <v>6</v>
      </c>
      <c r="J821" s="82" t="s">
        <v>12</v>
      </c>
      <c r="K821" s="67">
        <v>129088.63157894739</v>
      </c>
      <c r="L821" s="82">
        <f t="shared" si="55"/>
        <v>12240</v>
      </c>
      <c r="M821" s="67">
        <v>4252.6315789473683</v>
      </c>
      <c r="N821" s="82"/>
      <c r="O821" s="82">
        <f t="shared" si="53"/>
        <v>123623.99999999999</v>
      </c>
      <c r="P821" s="82">
        <f t="shared" si="54"/>
        <v>12240</v>
      </c>
      <c r="Q821" s="67"/>
      <c r="R821" s="82"/>
      <c r="S821" s="67">
        <v>12120</v>
      </c>
      <c r="T821" s="82">
        <v>1200</v>
      </c>
      <c r="U821" s="67">
        <v>0</v>
      </c>
      <c r="V821" s="82"/>
      <c r="W821" s="82"/>
      <c r="X821" s="82"/>
      <c r="Y821" s="68">
        <v>15</v>
      </c>
      <c r="Z821" s="82"/>
      <c r="AA821" s="69">
        <v>44440</v>
      </c>
      <c r="AB821" s="74"/>
      <c r="AC821" s="75"/>
      <c r="AD821" s="70" t="s">
        <v>543</v>
      </c>
    </row>
    <row r="822" spans="1:30" s="76" customFormat="1" ht="37.5">
      <c r="A822" s="82">
        <f>+SUBTOTAL(3,$B$7:B822)</f>
        <v>816</v>
      </c>
      <c r="B822" s="82" t="s">
        <v>444</v>
      </c>
      <c r="C822" s="82" t="s">
        <v>111</v>
      </c>
      <c r="D822" s="66" t="s">
        <v>326</v>
      </c>
      <c r="E822" s="82">
        <v>3</v>
      </c>
      <c r="F822" s="67">
        <v>307689764</v>
      </c>
      <c r="G822" s="66" t="s">
        <v>1588</v>
      </c>
      <c r="H822" s="66" t="s">
        <v>1589</v>
      </c>
      <c r="I822" s="66" t="s">
        <v>6</v>
      </c>
      <c r="J822" s="82" t="s">
        <v>13</v>
      </c>
      <c r="K822" s="67">
        <v>28000</v>
      </c>
      <c r="L822" s="82">
        <f t="shared" si="55"/>
        <v>0</v>
      </c>
      <c r="M822" s="67">
        <v>18000</v>
      </c>
      <c r="N822" s="82"/>
      <c r="O822" s="82">
        <f t="shared" si="53"/>
        <v>10000</v>
      </c>
      <c r="P822" s="82">
        <f t="shared" si="54"/>
        <v>0</v>
      </c>
      <c r="Q822" s="67">
        <v>10000</v>
      </c>
      <c r="R822" s="82"/>
      <c r="S822" s="67"/>
      <c r="T822" s="82"/>
      <c r="U822" s="67"/>
      <c r="V822" s="82"/>
      <c r="W822" s="82"/>
      <c r="X822" s="82"/>
      <c r="Y822" s="68">
        <v>115</v>
      </c>
      <c r="Z822" s="82"/>
      <c r="AA822" s="69">
        <v>44531</v>
      </c>
      <c r="AB822" s="74"/>
      <c r="AC822" s="75"/>
      <c r="AD822" s="70" t="s">
        <v>445</v>
      </c>
    </row>
    <row r="823" spans="1:30" s="76" customFormat="1" ht="37.5">
      <c r="A823" s="82">
        <f>+SUBTOTAL(3,$B$7:B823)</f>
        <v>817</v>
      </c>
      <c r="B823" s="82" t="s">
        <v>444</v>
      </c>
      <c r="C823" s="82" t="s">
        <v>111</v>
      </c>
      <c r="D823" s="66" t="s">
        <v>326</v>
      </c>
      <c r="E823" s="82">
        <v>2</v>
      </c>
      <c r="F823" s="67">
        <v>303247021</v>
      </c>
      <c r="G823" s="66" t="s">
        <v>1590</v>
      </c>
      <c r="H823" s="66" t="s">
        <v>1591</v>
      </c>
      <c r="I823" s="66" t="s">
        <v>10</v>
      </c>
      <c r="J823" s="82" t="s">
        <v>44</v>
      </c>
      <c r="K823" s="67">
        <v>1500</v>
      </c>
      <c r="L823" s="82">
        <f t="shared" si="55"/>
        <v>1174</v>
      </c>
      <c r="M823" s="67">
        <v>500</v>
      </c>
      <c r="N823" s="82">
        <v>500</v>
      </c>
      <c r="O823" s="82">
        <f t="shared" si="53"/>
        <v>1000</v>
      </c>
      <c r="P823" s="82">
        <f t="shared" si="54"/>
        <v>674</v>
      </c>
      <c r="Q823" s="67">
        <v>1000</v>
      </c>
      <c r="R823" s="82">
        <v>674</v>
      </c>
      <c r="S823" s="67"/>
      <c r="T823" s="82"/>
      <c r="U823" s="67"/>
      <c r="V823" s="82"/>
      <c r="W823" s="82"/>
      <c r="X823" s="82"/>
      <c r="Y823" s="68">
        <v>5</v>
      </c>
      <c r="Z823" s="82">
        <v>5</v>
      </c>
      <c r="AA823" s="69">
        <v>44196</v>
      </c>
      <c r="AB823" s="74">
        <v>44139</v>
      </c>
      <c r="AC823" s="75" t="s">
        <v>1991</v>
      </c>
      <c r="AD823" s="70" t="s">
        <v>0</v>
      </c>
    </row>
    <row r="824" spans="1:30" s="76" customFormat="1" ht="37.5">
      <c r="A824" s="82">
        <f>+SUBTOTAL(3,$B$7:B824)</f>
        <v>818</v>
      </c>
      <c r="B824" s="82" t="s">
        <v>444</v>
      </c>
      <c r="C824" s="82" t="s">
        <v>111</v>
      </c>
      <c r="D824" s="66" t="s">
        <v>326</v>
      </c>
      <c r="E824" s="82">
        <v>1</v>
      </c>
      <c r="F824" s="67">
        <v>305804553</v>
      </c>
      <c r="G824" s="66" t="s">
        <v>1592</v>
      </c>
      <c r="H824" s="66" t="s">
        <v>1593</v>
      </c>
      <c r="I824" s="66" t="s">
        <v>10</v>
      </c>
      <c r="J824" s="82" t="s">
        <v>45</v>
      </c>
      <c r="K824" s="67">
        <v>500</v>
      </c>
      <c r="L824" s="82">
        <f t="shared" si="55"/>
        <v>500</v>
      </c>
      <c r="M824" s="67">
        <v>200</v>
      </c>
      <c r="N824" s="82">
        <v>200</v>
      </c>
      <c r="O824" s="82">
        <f t="shared" si="53"/>
        <v>300</v>
      </c>
      <c r="P824" s="82">
        <f t="shared" si="54"/>
        <v>300</v>
      </c>
      <c r="Q824" s="67">
        <v>300</v>
      </c>
      <c r="R824" s="82">
        <v>300</v>
      </c>
      <c r="S824" s="67"/>
      <c r="T824" s="82"/>
      <c r="U824" s="67"/>
      <c r="V824" s="82"/>
      <c r="W824" s="82"/>
      <c r="X824" s="82"/>
      <c r="Y824" s="68">
        <v>2</v>
      </c>
      <c r="Z824" s="82">
        <v>2</v>
      </c>
      <c r="AA824" s="69">
        <v>44166</v>
      </c>
      <c r="AB824" s="74">
        <v>44146</v>
      </c>
      <c r="AC824" s="75" t="s">
        <v>2002</v>
      </c>
      <c r="AD824" s="70" t="s">
        <v>84</v>
      </c>
    </row>
    <row r="825" spans="1:30" s="76" customFormat="1" ht="37.5">
      <c r="A825" s="82">
        <f>+SUBTOTAL(3,$B$7:B825)</f>
        <v>819</v>
      </c>
      <c r="B825" s="82" t="s">
        <v>444</v>
      </c>
      <c r="C825" s="82" t="s">
        <v>111</v>
      </c>
      <c r="D825" s="66" t="s">
        <v>326</v>
      </c>
      <c r="E825" s="82">
        <v>3</v>
      </c>
      <c r="F825" s="67">
        <v>300990984</v>
      </c>
      <c r="G825" s="66" t="s">
        <v>1594</v>
      </c>
      <c r="H825" s="66" t="s">
        <v>1595</v>
      </c>
      <c r="I825" s="66" t="s">
        <v>6</v>
      </c>
      <c r="J825" s="82" t="s">
        <v>13</v>
      </c>
      <c r="K825" s="67">
        <v>250</v>
      </c>
      <c r="L825" s="82">
        <f t="shared" si="55"/>
        <v>250</v>
      </c>
      <c r="M825" s="67">
        <v>100</v>
      </c>
      <c r="N825" s="82">
        <v>100</v>
      </c>
      <c r="O825" s="82">
        <f t="shared" si="53"/>
        <v>150</v>
      </c>
      <c r="P825" s="82">
        <f t="shared" si="54"/>
        <v>150</v>
      </c>
      <c r="Q825" s="67">
        <v>150</v>
      </c>
      <c r="R825" s="82">
        <v>150</v>
      </c>
      <c r="S825" s="67"/>
      <c r="T825" s="82"/>
      <c r="U825" s="67"/>
      <c r="V825" s="82"/>
      <c r="W825" s="82"/>
      <c r="X825" s="82"/>
      <c r="Y825" s="68">
        <v>4</v>
      </c>
      <c r="Z825" s="82">
        <v>4</v>
      </c>
      <c r="AA825" s="69">
        <v>44166</v>
      </c>
      <c r="AB825" s="74">
        <v>44146</v>
      </c>
      <c r="AC825" s="75" t="s">
        <v>2036</v>
      </c>
      <c r="AD825" s="70" t="s">
        <v>84</v>
      </c>
    </row>
    <row r="826" spans="1:30" s="76" customFormat="1" ht="37.5">
      <c r="A826" s="82">
        <f>+SUBTOTAL(3,$B$7:B826)</f>
        <v>820</v>
      </c>
      <c r="B826" s="82" t="s">
        <v>444</v>
      </c>
      <c r="C826" s="82" t="s">
        <v>111</v>
      </c>
      <c r="D826" s="66" t="s">
        <v>326</v>
      </c>
      <c r="E826" s="82">
        <v>1</v>
      </c>
      <c r="F826" s="67">
        <v>306933155</v>
      </c>
      <c r="G826" s="66" t="s">
        <v>1596</v>
      </c>
      <c r="H826" s="66" t="s">
        <v>1597</v>
      </c>
      <c r="I826" s="66" t="s">
        <v>10</v>
      </c>
      <c r="J826" s="82" t="s">
        <v>44</v>
      </c>
      <c r="K826" s="67">
        <v>1750</v>
      </c>
      <c r="L826" s="82">
        <f t="shared" si="55"/>
        <v>1750</v>
      </c>
      <c r="M826" s="67">
        <v>550</v>
      </c>
      <c r="N826" s="82">
        <v>550</v>
      </c>
      <c r="O826" s="82">
        <f t="shared" si="53"/>
        <v>1200</v>
      </c>
      <c r="P826" s="82">
        <f t="shared" si="54"/>
        <v>1200</v>
      </c>
      <c r="Q826" s="67">
        <v>1200</v>
      </c>
      <c r="R826" s="82">
        <v>1200</v>
      </c>
      <c r="S826" s="67"/>
      <c r="T826" s="82"/>
      <c r="U826" s="67"/>
      <c r="V826" s="82"/>
      <c r="W826" s="82"/>
      <c r="X826" s="82"/>
      <c r="Y826" s="68">
        <v>5</v>
      </c>
      <c r="Z826" s="82">
        <v>5</v>
      </c>
      <c r="AA826" s="69">
        <v>44196</v>
      </c>
      <c r="AB826" s="74">
        <v>44151</v>
      </c>
      <c r="AC826" s="75" t="s">
        <v>1994</v>
      </c>
      <c r="AD826" s="70" t="s">
        <v>0</v>
      </c>
    </row>
    <row r="827" spans="1:30" s="76" customFormat="1" ht="37.5">
      <c r="A827" s="82">
        <f>+SUBTOTAL(3,$B$7:B827)</f>
        <v>821</v>
      </c>
      <c r="B827" s="82" t="s">
        <v>444</v>
      </c>
      <c r="C827" s="82" t="s">
        <v>111</v>
      </c>
      <c r="D827" s="66" t="s">
        <v>326</v>
      </c>
      <c r="E827" s="82">
        <v>4</v>
      </c>
      <c r="F827" s="67">
        <v>307356342</v>
      </c>
      <c r="G827" s="66" t="s">
        <v>1598</v>
      </c>
      <c r="H827" s="66" t="s">
        <v>1599</v>
      </c>
      <c r="I827" s="66" t="s">
        <v>10</v>
      </c>
      <c r="J827" s="82" t="s">
        <v>30</v>
      </c>
      <c r="K827" s="67">
        <v>520</v>
      </c>
      <c r="L827" s="82">
        <f t="shared" si="55"/>
        <v>520</v>
      </c>
      <c r="M827" s="67">
        <v>120</v>
      </c>
      <c r="N827" s="82">
        <v>120</v>
      </c>
      <c r="O827" s="82">
        <f t="shared" si="53"/>
        <v>400</v>
      </c>
      <c r="P827" s="82">
        <f t="shared" si="54"/>
        <v>400</v>
      </c>
      <c r="Q827" s="67">
        <v>400</v>
      </c>
      <c r="R827" s="82">
        <v>400</v>
      </c>
      <c r="S827" s="67"/>
      <c r="T827" s="82"/>
      <c r="U827" s="67"/>
      <c r="V827" s="82"/>
      <c r="W827" s="82"/>
      <c r="X827" s="82"/>
      <c r="Y827" s="68">
        <v>5</v>
      </c>
      <c r="Z827" s="82">
        <v>5</v>
      </c>
      <c r="AA827" s="69">
        <v>44166</v>
      </c>
      <c r="AB827" s="74">
        <v>44151</v>
      </c>
      <c r="AC827" s="75" t="s">
        <v>1992</v>
      </c>
      <c r="AD827" s="70" t="s">
        <v>453</v>
      </c>
    </row>
    <row r="828" spans="1:30" s="76" customFormat="1" ht="37.5">
      <c r="A828" s="82">
        <f>+SUBTOTAL(3,$B$7:B828)</f>
        <v>822</v>
      </c>
      <c r="B828" s="82" t="s">
        <v>444</v>
      </c>
      <c r="C828" s="82" t="s">
        <v>111</v>
      </c>
      <c r="D828" s="66" t="s">
        <v>326</v>
      </c>
      <c r="E828" s="82">
        <v>1</v>
      </c>
      <c r="F828" s="67">
        <v>307799163</v>
      </c>
      <c r="G828" s="66" t="s">
        <v>1600</v>
      </c>
      <c r="H828" s="66" t="s">
        <v>1288</v>
      </c>
      <c r="I828" s="66" t="s">
        <v>10</v>
      </c>
      <c r="J828" s="82" t="s">
        <v>59</v>
      </c>
      <c r="K828" s="67">
        <v>2000</v>
      </c>
      <c r="L828" s="82">
        <f t="shared" si="55"/>
        <v>0</v>
      </c>
      <c r="M828" s="67">
        <v>1000</v>
      </c>
      <c r="N828" s="82"/>
      <c r="O828" s="82">
        <f t="shared" si="53"/>
        <v>1000</v>
      </c>
      <c r="P828" s="82">
        <f t="shared" si="54"/>
        <v>0</v>
      </c>
      <c r="Q828" s="67">
        <v>1000</v>
      </c>
      <c r="R828" s="82"/>
      <c r="S828" s="67">
        <v>0</v>
      </c>
      <c r="T828" s="82"/>
      <c r="U828" s="67">
        <v>0</v>
      </c>
      <c r="V828" s="82"/>
      <c r="W828" s="82"/>
      <c r="X828" s="82"/>
      <c r="Y828" s="68">
        <v>15</v>
      </c>
      <c r="Z828" s="82"/>
      <c r="AA828" s="69">
        <v>44470</v>
      </c>
      <c r="AB828" s="74"/>
      <c r="AC828" s="75"/>
      <c r="AD828" s="70" t="s">
        <v>2</v>
      </c>
    </row>
    <row r="829" spans="1:30" s="76" customFormat="1" ht="37.5">
      <c r="A829" s="82">
        <f>+SUBTOTAL(3,$B$7:B829)</f>
        <v>823</v>
      </c>
      <c r="B829" s="82" t="s">
        <v>444</v>
      </c>
      <c r="C829" s="82" t="s">
        <v>111</v>
      </c>
      <c r="D829" s="66" t="s">
        <v>326</v>
      </c>
      <c r="E829" s="82">
        <v>2</v>
      </c>
      <c r="F829" s="67">
        <v>202457452</v>
      </c>
      <c r="G829" s="66" t="s">
        <v>1601</v>
      </c>
      <c r="H829" s="66" t="s">
        <v>1602</v>
      </c>
      <c r="I829" s="66" t="s">
        <v>10</v>
      </c>
      <c r="J829" s="82" t="s">
        <v>30</v>
      </c>
      <c r="K829" s="67">
        <v>13800</v>
      </c>
      <c r="L829" s="82">
        <f t="shared" si="55"/>
        <v>7662.24</v>
      </c>
      <c r="M829" s="67">
        <v>3500</v>
      </c>
      <c r="N829" s="82"/>
      <c r="O829" s="82">
        <f t="shared" si="53"/>
        <v>10200</v>
      </c>
      <c r="P829" s="82">
        <f t="shared" si="54"/>
        <v>7662.24</v>
      </c>
      <c r="Q829" s="67"/>
      <c r="R829" s="82"/>
      <c r="S829" s="67">
        <v>1000</v>
      </c>
      <c r="T829" s="82">
        <v>751.2</v>
      </c>
      <c r="U829" s="67"/>
      <c r="V829" s="82"/>
      <c r="W829" s="82"/>
      <c r="X829" s="82"/>
      <c r="Y829" s="68">
        <v>10</v>
      </c>
      <c r="Z829" s="82"/>
      <c r="AA829" s="69">
        <v>44348</v>
      </c>
      <c r="AB829" s="74"/>
      <c r="AC829" s="75"/>
      <c r="AD829" s="70" t="s">
        <v>543</v>
      </c>
    </row>
    <row r="830" spans="1:30" s="76" customFormat="1" ht="37.5">
      <c r="A830" s="82">
        <f>+SUBTOTAL(3,$B$7:B830)</f>
        <v>824</v>
      </c>
      <c r="B830" s="82" t="s">
        <v>444</v>
      </c>
      <c r="C830" s="82" t="s">
        <v>111</v>
      </c>
      <c r="D830" s="66" t="s">
        <v>326</v>
      </c>
      <c r="E830" s="82">
        <v>3</v>
      </c>
      <c r="F830" s="67">
        <v>303321458</v>
      </c>
      <c r="G830" s="66" t="s">
        <v>1603</v>
      </c>
      <c r="H830" s="66" t="s">
        <v>1604</v>
      </c>
      <c r="I830" s="66" t="s">
        <v>6</v>
      </c>
      <c r="J830" s="82" t="s">
        <v>13</v>
      </c>
      <c r="K830" s="67">
        <v>8935.6</v>
      </c>
      <c r="L830" s="82">
        <f t="shared" si="55"/>
        <v>5100</v>
      </c>
      <c r="M830" s="67">
        <v>2992.5</v>
      </c>
      <c r="N830" s="82"/>
      <c r="O830" s="82">
        <f t="shared" si="53"/>
        <v>5885.4</v>
      </c>
      <c r="P830" s="82">
        <f t="shared" si="54"/>
        <v>5100</v>
      </c>
      <c r="Q830" s="67"/>
      <c r="R830" s="82"/>
      <c r="S830" s="67">
        <v>577</v>
      </c>
      <c r="T830" s="82">
        <v>500</v>
      </c>
      <c r="U830" s="67"/>
      <c r="V830" s="82"/>
      <c r="W830" s="82"/>
      <c r="X830" s="82"/>
      <c r="Y830" s="68">
        <v>20</v>
      </c>
      <c r="Z830" s="82"/>
      <c r="AA830" s="69">
        <v>44470</v>
      </c>
      <c r="AB830" s="74"/>
      <c r="AC830" s="75"/>
      <c r="AD830" s="70" t="s">
        <v>3</v>
      </c>
    </row>
    <row r="831" spans="1:30" s="76" customFormat="1" ht="56.25">
      <c r="A831" s="82">
        <f>+SUBTOTAL(3,$B$7:B831)</f>
        <v>825</v>
      </c>
      <c r="B831" s="82" t="s">
        <v>444</v>
      </c>
      <c r="C831" s="82" t="s">
        <v>111</v>
      </c>
      <c r="D831" s="66" t="s">
        <v>326</v>
      </c>
      <c r="E831" s="82">
        <v>3</v>
      </c>
      <c r="F831" s="67">
        <v>303480754</v>
      </c>
      <c r="G831" s="66" t="s">
        <v>1605</v>
      </c>
      <c r="H831" s="66" t="s">
        <v>1606</v>
      </c>
      <c r="I831" s="66" t="s">
        <v>10</v>
      </c>
      <c r="J831" s="82" t="s">
        <v>58</v>
      </c>
      <c r="K831" s="67">
        <v>8500</v>
      </c>
      <c r="L831" s="82">
        <f t="shared" si="55"/>
        <v>0</v>
      </c>
      <c r="M831" s="67">
        <v>3500</v>
      </c>
      <c r="N831" s="82"/>
      <c r="O831" s="82">
        <f t="shared" si="53"/>
        <v>5000</v>
      </c>
      <c r="P831" s="82">
        <f t="shared" si="54"/>
        <v>0</v>
      </c>
      <c r="Q831" s="67">
        <v>5000</v>
      </c>
      <c r="R831" s="82"/>
      <c r="S831" s="67"/>
      <c r="T831" s="82"/>
      <c r="U831" s="67"/>
      <c r="V831" s="82"/>
      <c r="W831" s="82"/>
      <c r="X831" s="82"/>
      <c r="Y831" s="68">
        <v>14</v>
      </c>
      <c r="Z831" s="82"/>
      <c r="AA831" s="18">
        <v>44805</v>
      </c>
      <c r="AB831" s="74"/>
      <c r="AC831" s="75"/>
      <c r="AD831" s="70" t="s">
        <v>3</v>
      </c>
    </row>
    <row r="832" spans="1:30" s="76" customFormat="1" ht="56.25">
      <c r="A832" s="82">
        <f>+SUBTOTAL(3,$B$7:B832)</f>
        <v>826</v>
      </c>
      <c r="B832" s="82" t="s">
        <v>444</v>
      </c>
      <c r="C832" s="82" t="s">
        <v>111</v>
      </c>
      <c r="D832" s="66" t="s">
        <v>326</v>
      </c>
      <c r="E832" s="82">
        <v>4</v>
      </c>
      <c r="F832" s="67">
        <v>302029292</v>
      </c>
      <c r="G832" s="66" t="s">
        <v>1607</v>
      </c>
      <c r="H832" s="66" t="s">
        <v>1606</v>
      </c>
      <c r="I832" s="66" t="s">
        <v>10</v>
      </c>
      <c r="J832" s="82" t="s">
        <v>58</v>
      </c>
      <c r="K832" s="67">
        <v>11000</v>
      </c>
      <c r="L832" s="82">
        <f t="shared" si="55"/>
        <v>14000</v>
      </c>
      <c r="M832" s="67">
        <v>4000</v>
      </c>
      <c r="N832" s="82"/>
      <c r="O832" s="82">
        <f t="shared" si="53"/>
        <v>7000</v>
      </c>
      <c r="P832" s="82">
        <f t="shared" si="54"/>
        <v>14000</v>
      </c>
      <c r="Q832" s="67">
        <v>7000</v>
      </c>
      <c r="R832" s="82">
        <v>14000</v>
      </c>
      <c r="S832" s="67"/>
      <c r="T832" s="82"/>
      <c r="U832" s="67"/>
      <c r="V832" s="82"/>
      <c r="W832" s="82"/>
      <c r="X832" s="82"/>
      <c r="Y832" s="68">
        <v>15</v>
      </c>
      <c r="Z832" s="82"/>
      <c r="AA832" s="18">
        <v>44501</v>
      </c>
      <c r="AB832" s="74"/>
      <c r="AC832" s="75"/>
      <c r="AD832" s="70" t="s">
        <v>3</v>
      </c>
    </row>
    <row r="833" spans="1:30" s="76" customFormat="1" ht="37.5">
      <c r="A833" s="82">
        <f>+SUBTOTAL(3,$B$7:B833)</f>
        <v>827</v>
      </c>
      <c r="B833" s="82" t="s">
        <v>444</v>
      </c>
      <c r="C833" s="82" t="s">
        <v>111</v>
      </c>
      <c r="D833" s="66" t="s">
        <v>326</v>
      </c>
      <c r="E833" s="82">
        <v>1</v>
      </c>
      <c r="F833" s="67">
        <v>207268067</v>
      </c>
      <c r="G833" s="66" t="s">
        <v>1608</v>
      </c>
      <c r="H833" s="66" t="s">
        <v>1609</v>
      </c>
      <c r="I833" s="66" t="s">
        <v>10</v>
      </c>
      <c r="J833" s="82" t="s">
        <v>44</v>
      </c>
      <c r="K833" s="67">
        <v>84672.000000000015</v>
      </c>
      <c r="L833" s="82">
        <f t="shared" si="55"/>
        <v>84672</v>
      </c>
      <c r="M833" s="67">
        <v>84672.000000000015</v>
      </c>
      <c r="N833" s="82">
        <v>84672</v>
      </c>
      <c r="O833" s="82">
        <f t="shared" si="53"/>
        <v>0</v>
      </c>
      <c r="P833" s="82">
        <f t="shared" si="54"/>
        <v>0</v>
      </c>
      <c r="Q833" s="67">
        <v>0</v>
      </c>
      <c r="R833" s="82"/>
      <c r="S833" s="67"/>
      <c r="T833" s="82"/>
      <c r="U833" s="67">
        <v>0</v>
      </c>
      <c r="V833" s="82"/>
      <c r="W833" s="82"/>
      <c r="X833" s="82"/>
      <c r="Y833" s="68">
        <v>150</v>
      </c>
      <c r="Z833" s="82">
        <v>150</v>
      </c>
      <c r="AA833" s="18">
        <v>44531</v>
      </c>
      <c r="AB833" s="74">
        <v>44175</v>
      </c>
      <c r="AC833" s="75" t="s">
        <v>2074</v>
      </c>
      <c r="AD833" s="70" t="s">
        <v>8</v>
      </c>
    </row>
    <row r="834" spans="1:30" s="76" customFormat="1" ht="56.25">
      <c r="A834" s="82">
        <f>+SUBTOTAL(3,$B$7:B834)</f>
        <v>828</v>
      </c>
      <c r="B834" s="82" t="s">
        <v>444</v>
      </c>
      <c r="C834" s="82" t="s">
        <v>111</v>
      </c>
      <c r="D834" s="66" t="s">
        <v>326</v>
      </c>
      <c r="E834" s="82">
        <v>3</v>
      </c>
      <c r="F834" s="67">
        <v>301437886</v>
      </c>
      <c r="G834" s="66" t="s">
        <v>1610</v>
      </c>
      <c r="H834" s="66" t="s">
        <v>1611</v>
      </c>
      <c r="I834" s="66" t="s">
        <v>6</v>
      </c>
      <c r="J834" s="82" t="s">
        <v>49</v>
      </c>
      <c r="K834" s="67">
        <v>10160</v>
      </c>
      <c r="L834" s="82">
        <f t="shared" si="55"/>
        <v>0</v>
      </c>
      <c r="M834" s="67">
        <v>4160</v>
      </c>
      <c r="N834" s="82"/>
      <c r="O834" s="82">
        <f t="shared" si="53"/>
        <v>6000</v>
      </c>
      <c r="P834" s="82">
        <f t="shared" si="54"/>
        <v>0</v>
      </c>
      <c r="Q834" s="67">
        <v>6000</v>
      </c>
      <c r="R834" s="82"/>
      <c r="S834" s="67"/>
      <c r="T834" s="82"/>
      <c r="U834" s="67"/>
      <c r="V834" s="82"/>
      <c r="W834" s="82"/>
      <c r="X834" s="82"/>
      <c r="Y834" s="68">
        <v>65</v>
      </c>
      <c r="Z834" s="82"/>
      <c r="AA834" s="18">
        <v>44531</v>
      </c>
      <c r="AB834" s="74"/>
      <c r="AC834" s="75"/>
      <c r="AD834" s="70" t="s">
        <v>2</v>
      </c>
    </row>
    <row r="835" spans="1:30" s="76" customFormat="1" ht="37.5">
      <c r="A835" s="82">
        <f>+SUBTOTAL(3,$B$7:B835)</f>
        <v>829</v>
      </c>
      <c r="B835" s="95" t="s">
        <v>2100</v>
      </c>
      <c r="C835" s="82" t="s">
        <v>111</v>
      </c>
      <c r="D835" s="66" t="s">
        <v>326</v>
      </c>
      <c r="E835" s="82">
        <v>3</v>
      </c>
      <c r="F835" s="67">
        <v>306830743</v>
      </c>
      <c r="G835" s="66" t="s">
        <v>1612</v>
      </c>
      <c r="H835" s="66" t="s">
        <v>1613</v>
      </c>
      <c r="I835" s="66" t="s">
        <v>6</v>
      </c>
      <c r="J835" s="82" t="s">
        <v>34</v>
      </c>
      <c r="K835" s="67">
        <v>154500</v>
      </c>
      <c r="L835" s="82">
        <f t="shared" si="55"/>
        <v>0</v>
      </c>
      <c r="M835" s="67"/>
      <c r="N835" s="82"/>
      <c r="O835" s="82">
        <f t="shared" si="53"/>
        <v>0</v>
      </c>
      <c r="P835" s="82">
        <f t="shared" si="54"/>
        <v>0</v>
      </c>
      <c r="Q835" s="67"/>
      <c r="R835" s="82"/>
      <c r="S835" s="67"/>
      <c r="T835" s="82"/>
      <c r="U835" s="67">
        <v>15000</v>
      </c>
      <c r="V835" s="82"/>
      <c r="W835" s="82"/>
      <c r="X835" s="82"/>
      <c r="Y835" s="68">
        <v>100</v>
      </c>
      <c r="Z835" s="82"/>
      <c r="AA835" s="18">
        <v>44348</v>
      </c>
      <c r="AB835" s="74"/>
      <c r="AC835" s="75"/>
      <c r="AD835" s="70" t="s">
        <v>543</v>
      </c>
    </row>
    <row r="836" spans="1:30" s="76" customFormat="1" ht="37.5">
      <c r="A836" s="82">
        <f>+SUBTOTAL(3,$B$7:B836)</f>
        <v>830</v>
      </c>
      <c r="B836" s="82" t="s">
        <v>444</v>
      </c>
      <c r="C836" s="82" t="s">
        <v>111</v>
      </c>
      <c r="D836" s="66" t="s">
        <v>326</v>
      </c>
      <c r="E836" s="82">
        <v>3</v>
      </c>
      <c r="F836" s="67">
        <v>200496920</v>
      </c>
      <c r="G836" s="66" t="s">
        <v>336</v>
      </c>
      <c r="H836" s="66" t="s">
        <v>337</v>
      </c>
      <c r="I836" s="66" t="s">
        <v>6</v>
      </c>
      <c r="J836" s="82" t="s">
        <v>12</v>
      </c>
      <c r="K836" s="67">
        <v>19450</v>
      </c>
      <c r="L836" s="82">
        <f t="shared" si="55"/>
        <v>15299.999999999998</v>
      </c>
      <c r="M836" s="67">
        <v>4000</v>
      </c>
      <c r="N836" s="82"/>
      <c r="O836" s="82">
        <f t="shared" si="53"/>
        <v>15299.999999999998</v>
      </c>
      <c r="P836" s="82">
        <f t="shared" si="54"/>
        <v>15299.999999999998</v>
      </c>
      <c r="Q836" s="67">
        <v>0</v>
      </c>
      <c r="R836" s="82"/>
      <c r="S836" s="67">
        <v>1500</v>
      </c>
      <c r="T836" s="82">
        <v>1500</v>
      </c>
      <c r="U836" s="67">
        <v>0</v>
      </c>
      <c r="V836" s="82"/>
      <c r="W836" s="82"/>
      <c r="X836" s="82"/>
      <c r="Y836" s="68">
        <v>30</v>
      </c>
      <c r="Z836" s="82"/>
      <c r="AA836" s="18">
        <v>44287</v>
      </c>
      <c r="AB836" s="74"/>
      <c r="AC836" s="75"/>
      <c r="AD836" s="70" t="s">
        <v>7</v>
      </c>
    </row>
    <row r="837" spans="1:30" s="76" customFormat="1" ht="75">
      <c r="A837" s="82">
        <f>+SUBTOTAL(3,$B$7:B837)</f>
        <v>831</v>
      </c>
      <c r="B837" s="82" t="s">
        <v>444</v>
      </c>
      <c r="C837" s="82" t="s">
        <v>111</v>
      </c>
      <c r="D837" s="66" t="s">
        <v>326</v>
      </c>
      <c r="E837" s="82">
        <v>4</v>
      </c>
      <c r="F837" s="67">
        <v>303735625</v>
      </c>
      <c r="G837" s="66" t="s">
        <v>1614</v>
      </c>
      <c r="H837" s="66" t="s">
        <v>1615</v>
      </c>
      <c r="I837" s="66" t="s">
        <v>10</v>
      </c>
      <c r="J837" s="82" t="s">
        <v>44</v>
      </c>
      <c r="K837" s="67">
        <v>52200</v>
      </c>
      <c r="L837" s="82">
        <f t="shared" si="55"/>
        <v>52200</v>
      </c>
      <c r="M837" s="67">
        <v>37200</v>
      </c>
      <c r="N837" s="82">
        <v>37200</v>
      </c>
      <c r="O837" s="82">
        <f t="shared" si="53"/>
        <v>15000</v>
      </c>
      <c r="P837" s="82">
        <f t="shared" si="54"/>
        <v>15000</v>
      </c>
      <c r="Q837" s="67">
        <v>15000</v>
      </c>
      <c r="R837" s="82">
        <v>15000</v>
      </c>
      <c r="S837" s="67"/>
      <c r="T837" s="82"/>
      <c r="U837" s="67"/>
      <c r="V837" s="82"/>
      <c r="W837" s="82"/>
      <c r="X837" s="82"/>
      <c r="Y837" s="68">
        <v>15</v>
      </c>
      <c r="Z837" s="82">
        <v>25</v>
      </c>
      <c r="AA837" s="69">
        <v>44197</v>
      </c>
      <c r="AB837" s="74">
        <v>44136</v>
      </c>
      <c r="AC837" s="75" t="s">
        <v>2039</v>
      </c>
      <c r="AD837" s="70" t="s">
        <v>7</v>
      </c>
    </row>
    <row r="838" spans="1:30" s="76" customFormat="1" ht="56.25">
      <c r="A838" s="82">
        <f>+SUBTOTAL(3,$B$7:B838)</f>
        <v>832</v>
      </c>
      <c r="B838" s="82" t="s">
        <v>444</v>
      </c>
      <c r="C838" s="82" t="s">
        <v>111</v>
      </c>
      <c r="D838" s="66" t="s">
        <v>326</v>
      </c>
      <c r="E838" s="82">
        <v>3</v>
      </c>
      <c r="F838" s="67">
        <v>307446451</v>
      </c>
      <c r="G838" s="66" t="s">
        <v>1764</v>
      </c>
      <c r="H838" s="66" t="s">
        <v>1616</v>
      </c>
      <c r="I838" s="66" t="s">
        <v>10</v>
      </c>
      <c r="J838" s="82" t="s">
        <v>60</v>
      </c>
      <c r="K838" s="67">
        <v>12500</v>
      </c>
      <c r="L838" s="82">
        <f t="shared" si="55"/>
        <v>0</v>
      </c>
      <c r="M838" s="67">
        <v>3500</v>
      </c>
      <c r="N838" s="82"/>
      <c r="O838" s="82">
        <f t="shared" si="53"/>
        <v>9000</v>
      </c>
      <c r="P838" s="82">
        <f t="shared" si="54"/>
        <v>0</v>
      </c>
      <c r="Q838" s="67">
        <v>9000</v>
      </c>
      <c r="R838" s="82"/>
      <c r="S838" s="67"/>
      <c r="T838" s="82"/>
      <c r="U838" s="67"/>
      <c r="V838" s="82"/>
      <c r="W838" s="82"/>
      <c r="X838" s="82"/>
      <c r="Y838" s="68">
        <v>25</v>
      </c>
      <c r="Z838" s="82"/>
      <c r="AA838" s="69">
        <v>44531</v>
      </c>
      <c r="AB838" s="74"/>
      <c r="AC838" s="75"/>
      <c r="AD838" s="70" t="s">
        <v>477</v>
      </c>
    </row>
    <row r="839" spans="1:30" s="76" customFormat="1" ht="75">
      <c r="A839" s="82">
        <f>+SUBTOTAL(3,$B$7:B839)</f>
        <v>833</v>
      </c>
      <c r="B839" s="82" t="s">
        <v>444</v>
      </c>
      <c r="C839" s="82" t="s">
        <v>111</v>
      </c>
      <c r="D839" s="66" t="s">
        <v>326</v>
      </c>
      <c r="E839" s="82">
        <v>1</v>
      </c>
      <c r="F839" s="67">
        <v>307129157</v>
      </c>
      <c r="G839" s="66" t="s">
        <v>1617</v>
      </c>
      <c r="H839" s="66" t="s">
        <v>1618</v>
      </c>
      <c r="I839" s="66" t="s">
        <v>10</v>
      </c>
      <c r="J839" s="82" t="s">
        <v>66</v>
      </c>
      <c r="K839" s="67">
        <v>12000</v>
      </c>
      <c r="L839" s="82">
        <f t="shared" si="55"/>
        <v>0</v>
      </c>
      <c r="M839" s="67">
        <v>7000</v>
      </c>
      <c r="N839" s="82"/>
      <c r="O839" s="82">
        <f t="shared" ref="O839:O902" si="56">+Q839+S839*10.2</f>
        <v>5000</v>
      </c>
      <c r="P839" s="82">
        <f t="shared" ref="P839:P902" si="57">+R839+T839*10.2</f>
        <v>0</v>
      </c>
      <c r="Q839" s="67">
        <v>5000</v>
      </c>
      <c r="R839" s="82"/>
      <c r="S839" s="67"/>
      <c r="T839" s="82"/>
      <c r="U839" s="67"/>
      <c r="V839" s="82"/>
      <c r="W839" s="82"/>
      <c r="X839" s="82"/>
      <c r="Y839" s="68">
        <v>25</v>
      </c>
      <c r="Z839" s="82"/>
      <c r="AA839" s="69">
        <v>44621</v>
      </c>
      <c r="AB839" s="74"/>
      <c r="AC839" s="75"/>
      <c r="AD839" s="70" t="s">
        <v>460</v>
      </c>
    </row>
    <row r="840" spans="1:30" s="76" customFormat="1" ht="56.25">
      <c r="A840" s="82">
        <f>+SUBTOTAL(3,$B$7:B840)</f>
        <v>834</v>
      </c>
      <c r="B840" s="82" t="s">
        <v>444</v>
      </c>
      <c r="C840" s="82" t="s">
        <v>111</v>
      </c>
      <c r="D840" s="66" t="s">
        <v>326</v>
      </c>
      <c r="E840" s="82">
        <v>1</v>
      </c>
      <c r="F840" s="67">
        <v>302979053</v>
      </c>
      <c r="G840" s="66" t="s">
        <v>1619</v>
      </c>
      <c r="H840" s="66" t="s">
        <v>1620</v>
      </c>
      <c r="I840" s="66" t="s">
        <v>10</v>
      </c>
      <c r="J840" s="82" t="s">
        <v>58</v>
      </c>
      <c r="K840" s="67">
        <v>1000</v>
      </c>
      <c r="L840" s="82">
        <f t="shared" si="55"/>
        <v>650</v>
      </c>
      <c r="M840" s="67">
        <v>350</v>
      </c>
      <c r="N840" s="82"/>
      <c r="O840" s="82">
        <f t="shared" si="56"/>
        <v>650</v>
      </c>
      <c r="P840" s="82">
        <f t="shared" si="57"/>
        <v>650</v>
      </c>
      <c r="Q840" s="67">
        <v>650</v>
      </c>
      <c r="R840" s="82">
        <v>650</v>
      </c>
      <c r="S840" s="67"/>
      <c r="T840" s="82"/>
      <c r="U840" s="67"/>
      <c r="V840" s="82"/>
      <c r="W840" s="82"/>
      <c r="X840" s="82"/>
      <c r="Y840" s="68">
        <v>5</v>
      </c>
      <c r="Z840" s="82"/>
      <c r="AA840" s="69">
        <v>44409</v>
      </c>
      <c r="AB840" s="74"/>
      <c r="AC840" s="75"/>
      <c r="AD840" s="70" t="s">
        <v>7</v>
      </c>
    </row>
    <row r="841" spans="1:30" s="76" customFormat="1" ht="37.5">
      <c r="A841" s="82">
        <f>+SUBTOTAL(3,$B$7:B841)</f>
        <v>835</v>
      </c>
      <c r="B841" s="82" t="s">
        <v>444</v>
      </c>
      <c r="C841" s="82" t="s">
        <v>111</v>
      </c>
      <c r="D841" s="66" t="s">
        <v>360</v>
      </c>
      <c r="E841" s="82">
        <v>2</v>
      </c>
      <c r="F841" s="67">
        <v>302011435</v>
      </c>
      <c r="G841" s="66" t="s">
        <v>1621</v>
      </c>
      <c r="H841" s="66" t="s">
        <v>1622</v>
      </c>
      <c r="I841" s="64" t="s">
        <v>6</v>
      </c>
      <c r="J841" s="82" t="s">
        <v>12</v>
      </c>
      <c r="K841" s="67">
        <v>10725</v>
      </c>
      <c r="L841" s="82">
        <f t="shared" si="55"/>
        <v>0</v>
      </c>
      <c r="M841" s="67">
        <v>3000</v>
      </c>
      <c r="N841" s="82"/>
      <c r="O841" s="82">
        <f t="shared" si="56"/>
        <v>7649.9999999999991</v>
      </c>
      <c r="P841" s="82">
        <f t="shared" si="57"/>
        <v>0</v>
      </c>
      <c r="Q841" s="67"/>
      <c r="R841" s="82"/>
      <c r="S841" s="67">
        <v>750</v>
      </c>
      <c r="T841" s="82"/>
      <c r="U841" s="67"/>
      <c r="V841" s="82"/>
      <c r="W841" s="82"/>
      <c r="X841" s="82"/>
      <c r="Y841" s="68">
        <v>10</v>
      </c>
      <c r="Z841" s="82"/>
      <c r="AA841" s="69">
        <v>44621</v>
      </c>
      <c r="AB841" s="74"/>
      <c r="AC841" s="75"/>
      <c r="AD841" s="70" t="s">
        <v>543</v>
      </c>
    </row>
    <row r="842" spans="1:30" s="76" customFormat="1" ht="37.5">
      <c r="A842" s="82">
        <f>+SUBTOTAL(3,$B$7:B842)</f>
        <v>836</v>
      </c>
      <c r="B842" s="82" t="s">
        <v>444</v>
      </c>
      <c r="C842" s="82" t="s">
        <v>111</v>
      </c>
      <c r="D842" s="66" t="s">
        <v>360</v>
      </c>
      <c r="E842" s="82">
        <v>3</v>
      </c>
      <c r="F842" s="67">
        <v>304876394</v>
      </c>
      <c r="G842" s="66" t="s">
        <v>363</v>
      </c>
      <c r="H842" s="66" t="s">
        <v>364</v>
      </c>
      <c r="I842" s="66" t="s">
        <v>10</v>
      </c>
      <c r="J842" s="82" t="s">
        <v>46</v>
      </c>
      <c r="K842" s="67">
        <v>12000</v>
      </c>
      <c r="L842" s="82">
        <f t="shared" si="55"/>
        <v>4200</v>
      </c>
      <c r="M842" s="67">
        <v>4000</v>
      </c>
      <c r="N842" s="82"/>
      <c r="O842" s="82">
        <f t="shared" si="56"/>
        <v>8000</v>
      </c>
      <c r="P842" s="82">
        <f t="shared" si="57"/>
        <v>4200</v>
      </c>
      <c r="Q842" s="67">
        <v>8000</v>
      </c>
      <c r="R842" s="82">
        <v>4200</v>
      </c>
      <c r="S842" s="67"/>
      <c r="T842" s="82"/>
      <c r="U842" s="67"/>
      <c r="V842" s="82"/>
      <c r="W842" s="82"/>
      <c r="X842" s="82"/>
      <c r="Y842" s="68">
        <v>25</v>
      </c>
      <c r="Z842" s="82"/>
      <c r="AA842" s="69">
        <v>44621</v>
      </c>
      <c r="AB842" s="74"/>
      <c r="AC842" s="75"/>
      <c r="AD842" s="70" t="s">
        <v>4</v>
      </c>
    </row>
    <row r="843" spans="1:30" s="76" customFormat="1" ht="37.5">
      <c r="A843" s="82">
        <f>+SUBTOTAL(3,$B$7:B843)</f>
        <v>837</v>
      </c>
      <c r="B843" s="82" t="s">
        <v>444</v>
      </c>
      <c r="C843" s="82" t="s">
        <v>111</v>
      </c>
      <c r="D843" s="66" t="s">
        <v>360</v>
      </c>
      <c r="E843" s="82">
        <v>4</v>
      </c>
      <c r="F843" s="67">
        <v>301551191</v>
      </c>
      <c r="G843" s="66" t="s">
        <v>365</v>
      </c>
      <c r="H843" s="66" t="s">
        <v>118</v>
      </c>
      <c r="I843" s="66" t="s">
        <v>6</v>
      </c>
      <c r="J843" s="82" t="s">
        <v>52</v>
      </c>
      <c r="K843" s="67">
        <v>2975</v>
      </c>
      <c r="L843" s="82">
        <f t="shared" si="55"/>
        <v>2550</v>
      </c>
      <c r="M843" s="67">
        <v>400</v>
      </c>
      <c r="N843" s="82"/>
      <c r="O843" s="82">
        <f t="shared" si="56"/>
        <v>2550</v>
      </c>
      <c r="P843" s="82">
        <f t="shared" si="57"/>
        <v>2550</v>
      </c>
      <c r="Q843" s="67">
        <v>0</v>
      </c>
      <c r="R843" s="82"/>
      <c r="S843" s="67">
        <v>250</v>
      </c>
      <c r="T843" s="82">
        <v>250</v>
      </c>
      <c r="U843" s="67">
        <v>0</v>
      </c>
      <c r="V843" s="82"/>
      <c r="W843" s="82"/>
      <c r="X843" s="82"/>
      <c r="Y843" s="68">
        <v>10</v>
      </c>
      <c r="Z843" s="82"/>
      <c r="AA843" s="18">
        <v>44470</v>
      </c>
      <c r="AB843" s="74"/>
      <c r="AC843" s="75"/>
      <c r="AD843" s="70" t="s">
        <v>0</v>
      </c>
    </row>
    <row r="844" spans="1:30" s="76" customFormat="1" ht="37.5">
      <c r="A844" s="82">
        <f>+SUBTOTAL(3,$B$7:B844)</f>
        <v>838</v>
      </c>
      <c r="B844" s="82" t="s">
        <v>444</v>
      </c>
      <c r="C844" s="82" t="s">
        <v>111</v>
      </c>
      <c r="D844" s="66" t="s">
        <v>360</v>
      </c>
      <c r="E844" s="82">
        <v>2</v>
      </c>
      <c r="F844" s="67">
        <v>304491510</v>
      </c>
      <c r="G844" s="66" t="s">
        <v>368</v>
      </c>
      <c r="H844" s="66" t="s">
        <v>369</v>
      </c>
      <c r="I844" s="66" t="s">
        <v>9</v>
      </c>
      <c r="J844" s="82" t="s">
        <v>1777</v>
      </c>
      <c r="K844" s="67">
        <v>2000</v>
      </c>
      <c r="L844" s="82">
        <f t="shared" si="55"/>
        <v>0</v>
      </c>
      <c r="M844" s="67">
        <v>1000</v>
      </c>
      <c r="N844" s="82"/>
      <c r="O844" s="82">
        <f t="shared" si="56"/>
        <v>1000</v>
      </c>
      <c r="P844" s="82">
        <f t="shared" si="57"/>
        <v>0</v>
      </c>
      <c r="Q844" s="67">
        <v>1000</v>
      </c>
      <c r="R844" s="82"/>
      <c r="S844" s="67">
        <v>0</v>
      </c>
      <c r="T844" s="82"/>
      <c r="U844" s="67">
        <v>0</v>
      </c>
      <c r="V844" s="82"/>
      <c r="W844" s="82"/>
      <c r="X844" s="82"/>
      <c r="Y844" s="68">
        <v>7</v>
      </c>
      <c r="Z844" s="82"/>
      <c r="AA844" s="69">
        <v>44470</v>
      </c>
      <c r="AB844" s="74"/>
      <c r="AC844" s="75"/>
      <c r="AD844" s="70" t="s">
        <v>453</v>
      </c>
    </row>
    <row r="845" spans="1:30" s="76" customFormat="1" ht="37.5">
      <c r="A845" s="82">
        <f>+SUBTOTAL(3,$B$7:B845)</f>
        <v>839</v>
      </c>
      <c r="B845" s="82" t="s">
        <v>444</v>
      </c>
      <c r="C845" s="82" t="s">
        <v>111</v>
      </c>
      <c r="D845" s="66" t="s">
        <v>360</v>
      </c>
      <c r="E845" s="82">
        <v>2</v>
      </c>
      <c r="F845" s="67">
        <v>201067281</v>
      </c>
      <c r="G845" s="66" t="s">
        <v>370</v>
      </c>
      <c r="H845" s="66" t="s">
        <v>136</v>
      </c>
      <c r="I845" s="66" t="s">
        <v>9</v>
      </c>
      <c r="J845" s="82" t="s">
        <v>36</v>
      </c>
      <c r="K845" s="67">
        <v>1440</v>
      </c>
      <c r="L845" s="82">
        <f t="shared" si="55"/>
        <v>3000</v>
      </c>
      <c r="M845" s="67">
        <v>500</v>
      </c>
      <c r="N845" s="82">
        <v>500</v>
      </c>
      <c r="O845" s="82">
        <f t="shared" si="56"/>
        <v>940</v>
      </c>
      <c r="P845" s="82">
        <f t="shared" si="57"/>
        <v>2500</v>
      </c>
      <c r="Q845" s="67">
        <v>940</v>
      </c>
      <c r="R845" s="82">
        <v>2500</v>
      </c>
      <c r="S845" s="67">
        <v>0</v>
      </c>
      <c r="T845" s="82"/>
      <c r="U845" s="67">
        <v>0</v>
      </c>
      <c r="V845" s="82"/>
      <c r="W845" s="82"/>
      <c r="X845" s="82"/>
      <c r="Y845" s="68">
        <v>10</v>
      </c>
      <c r="Z845" s="82">
        <v>8</v>
      </c>
      <c r="AA845" s="69">
        <v>44166</v>
      </c>
      <c r="AB845" s="74">
        <v>44130</v>
      </c>
      <c r="AC845" s="75" t="s">
        <v>1926</v>
      </c>
      <c r="AD845" s="70" t="s">
        <v>445</v>
      </c>
    </row>
    <row r="846" spans="1:30" s="76" customFormat="1" ht="37.5">
      <c r="A846" s="82">
        <f>+SUBTOTAL(3,$B$7:B846)</f>
        <v>840</v>
      </c>
      <c r="B846" s="82" t="s">
        <v>444</v>
      </c>
      <c r="C846" s="82" t="s">
        <v>111</v>
      </c>
      <c r="D846" s="66" t="s">
        <v>360</v>
      </c>
      <c r="E846" s="82">
        <v>1</v>
      </c>
      <c r="F846" s="67">
        <v>306396144</v>
      </c>
      <c r="G846" s="66" t="s">
        <v>371</v>
      </c>
      <c r="H846" s="66" t="s">
        <v>133</v>
      </c>
      <c r="I846" s="66" t="s">
        <v>9</v>
      </c>
      <c r="J846" s="82" t="s">
        <v>39</v>
      </c>
      <c r="K846" s="67">
        <v>10100</v>
      </c>
      <c r="L846" s="82">
        <f t="shared" si="55"/>
        <v>3244</v>
      </c>
      <c r="M846" s="67">
        <v>6500</v>
      </c>
      <c r="N846" s="82"/>
      <c r="O846" s="82">
        <f t="shared" si="56"/>
        <v>3600</v>
      </c>
      <c r="P846" s="82">
        <f t="shared" si="57"/>
        <v>3244</v>
      </c>
      <c r="Q846" s="67">
        <v>3600</v>
      </c>
      <c r="R846" s="82">
        <v>3244</v>
      </c>
      <c r="S846" s="67">
        <v>0</v>
      </c>
      <c r="T846" s="82"/>
      <c r="U846" s="67">
        <v>0</v>
      </c>
      <c r="V846" s="82"/>
      <c r="W846" s="82"/>
      <c r="X846" s="82"/>
      <c r="Y846" s="68">
        <v>15</v>
      </c>
      <c r="Z846" s="82"/>
      <c r="AA846" s="69">
        <v>44531</v>
      </c>
      <c r="AB846" s="74"/>
      <c r="AC846" s="75"/>
      <c r="AD846" s="70" t="s">
        <v>543</v>
      </c>
    </row>
    <row r="847" spans="1:30" s="76" customFormat="1" ht="37.5">
      <c r="A847" s="82">
        <f>+SUBTOTAL(3,$B$7:B847)</f>
        <v>841</v>
      </c>
      <c r="B847" s="82" t="s">
        <v>444</v>
      </c>
      <c r="C847" s="82" t="s">
        <v>111</v>
      </c>
      <c r="D847" s="66" t="s">
        <v>360</v>
      </c>
      <c r="E847" s="82">
        <v>1</v>
      </c>
      <c r="F847" s="67">
        <v>305896124</v>
      </c>
      <c r="G847" s="66" t="s">
        <v>374</v>
      </c>
      <c r="H847" s="66" t="s">
        <v>136</v>
      </c>
      <c r="I847" s="66" t="s">
        <v>9</v>
      </c>
      <c r="J847" s="82" t="s">
        <v>36</v>
      </c>
      <c r="K847" s="67">
        <v>8000</v>
      </c>
      <c r="L847" s="82">
        <f t="shared" si="55"/>
        <v>3300</v>
      </c>
      <c r="M847" s="67">
        <v>1000</v>
      </c>
      <c r="N847" s="82"/>
      <c r="O847" s="82">
        <f t="shared" si="56"/>
        <v>7000</v>
      </c>
      <c r="P847" s="82">
        <f t="shared" si="57"/>
        <v>3300</v>
      </c>
      <c r="Q847" s="67">
        <v>7000</v>
      </c>
      <c r="R847" s="82">
        <v>3300</v>
      </c>
      <c r="S847" s="67"/>
      <c r="T847" s="82"/>
      <c r="U847" s="67"/>
      <c r="V847" s="82"/>
      <c r="W847" s="82"/>
      <c r="X847" s="82"/>
      <c r="Y847" s="82">
        <v>10</v>
      </c>
      <c r="Z847" s="82"/>
      <c r="AA847" s="18">
        <v>44440</v>
      </c>
      <c r="AB847" s="74"/>
      <c r="AC847" s="75"/>
      <c r="AD847" s="70" t="s">
        <v>445</v>
      </c>
    </row>
    <row r="848" spans="1:30" s="76" customFormat="1" ht="37.5">
      <c r="A848" s="82">
        <f>+SUBTOTAL(3,$B$7:B848)</f>
        <v>842</v>
      </c>
      <c r="B848" s="82" t="s">
        <v>444</v>
      </c>
      <c r="C848" s="82" t="s">
        <v>111</v>
      </c>
      <c r="D848" s="66" t="s">
        <v>360</v>
      </c>
      <c r="E848" s="82">
        <v>4</v>
      </c>
      <c r="F848" s="67">
        <v>302927742</v>
      </c>
      <c r="G848" s="66" t="s">
        <v>1623</v>
      </c>
      <c r="H848" s="66" t="s">
        <v>1624</v>
      </c>
      <c r="I848" s="66" t="s">
        <v>6</v>
      </c>
      <c r="J848" s="82" t="s">
        <v>12</v>
      </c>
      <c r="K848" s="67">
        <v>5000</v>
      </c>
      <c r="L848" s="82">
        <f t="shared" si="55"/>
        <v>750</v>
      </c>
      <c r="M848" s="67">
        <v>2000</v>
      </c>
      <c r="N848" s="82"/>
      <c r="O848" s="82">
        <f t="shared" si="56"/>
        <v>3000</v>
      </c>
      <c r="P848" s="82">
        <f t="shared" si="57"/>
        <v>750</v>
      </c>
      <c r="Q848" s="67">
        <v>3000</v>
      </c>
      <c r="R848" s="82">
        <v>750</v>
      </c>
      <c r="S848" s="67"/>
      <c r="T848" s="82"/>
      <c r="U848" s="67"/>
      <c r="V848" s="82"/>
      <c r="W848" s="82"/>
      <c r="X848" s="82"/>
      <c r="Y848" s="82">
        <v>12</v>
      </c>
      <c r="Z848" s="82"/>
      <c r="AA848" s="18">
        <v>44499</v>
      </c>
      <c r="AB848" s="74"/>
      <c r="AC848" s="75"/>
      <c r="AD848" s="70" t="s">
        <v>8</v>
      </c>
    </row>
    <row r="849" spans="1:30" s="76" customFormat="1" ht="56.25">
      <c r="A849" s="82">
        <f>+SUBTOTAL(3,$B$7:B849)</f>
        <v>843</v>
      </c>
      <c r="B849" s="82" t="s">
        <v>444</v>
      </c>
      <c r="C849" s="82" t="s">
        <v>111</v>
      </c>
      <c r="D849" s="66" t="s">
        <v>360</v>
      </c>
      <c r="E849" s="82">
        <v>2</v>
      </c>
      <c r="F849" s="67">
        <v>306129632</v>
      </c>
      <c r="G849" s="66" t="s">
        <v>375</v>
      </c>
      <c r="H849" s="66" t="s">
        <v>41</v>
      </c>
      <c r="I849" s="66" t="s">
        <v>9</v>
      </c>
      <c r="J849" s="82" t="s">
        <v>41</v>
      </c>
      <c r="K849" s="67">
        <v>8240</v>
      </c>
      <c r="L849" s="82">
        <f t="shared" si="55"/>
        <v>0</v>
      </c>
      <c r="M849" s="67"/>
      <c r="N849" s="82"/>
      <c r="O849" s="82">
        <f t="shared" si="56"/>
        <v>5100</v>
      </c>
      <c r="P849" s="82">
        <f t="shared" si="57"/>
        <v>0</v>
      </c>
      <c r="Q849" s="67"/>
      <c r="R849" s="82"/>
      <c r="S849" s="67">
        <v>500</v>
      </c>
      <c r="T849" s="82"/>
      <c r="U849" s="67">
        <v>300</v>
      </c>
      <c r="V849" s="82"/>
      <c r="W849" s="82" t="s">
        <v>1927</v>
      </c>
      <c r="X849" s="82" t="s">
        <v>1839</v>
      </c>
      <c r="Y849" s="82">
        <v>10</v>
      </c>
      <c r="Z849" s="82"/>
      <c r="AA849" s="18">
        <v>44317</v>
      </c>
      <c r="AB849" s="74"/>
      <c r="AC849" s="75"/>
      <c r="AD849" s="70" t="s">
        <v>453</v>
      </c>
    </row>
    <row r="850" spans="1:30" s="76" customFormat="1" ht="37.5">
      <c r="A850" s="82">
        <f>+SUBTOTAL(3,$B$7:B850)</f>
        <v>844</v>
      </c>
      <c r="B850" s="82" t="s">
        <v>444</v>
      </c>
      <c r="C850" s="82" t="s">
        <v>111</v>
      </c>
      <c r="D850" s="66" t="s">
        <v>360</v>
      </c>
      <c r="E850" s="82">
        <v>2</v>
      </c>
      <c r="F850" s="67">
        <v>304477700</v>
      </c>
      <c r="G850" s="66" t="s">
        <v>1625</v>
      </c>
      <c r="H850" s="66" t="s">
        <v>131</v>
      </c>
      <c r="I850" s="66" t="s">
        <v>9</v>
      </c>
      <c r="J850" s="82" t="s">
        <v>37</v>
      </c>
      <c r="K850" s="67">
        <v>1350</v>
      </c>
      <c r="L850" s="82">
        <f t="shared" si="55"/>
        <v>0</v>
      </c>
      <c r="M850" s="67">
        <v>350</v>
      </c>
      <c r="N850" s="82"/>
      <c r="O850" s="82">
        <f t="shared" si="56"/>
        <v>1000</v>
      </c>
      <c r="P850" s="82">
        <f t="shared" si="57"/>
        <v>0</v>
      </c>
      <c r="Q850" s="67">
        <v>1000</v>
      </c>
      <c r="R850" s="82"/>
      <c r="S850" s="67"/>
      <c r="T850" s="82"/>
      <c r="U850" s="67"/>
      <c r="V850" s="82"/>
      <c r="W850" s="82"/>
      <c r="X850" s="82"/>
      <c r="Y850" s="68">
        <v>5</v>
      </c>
      <c r="Z850" s="82"/>
      <c r="AA850" s="69">
        <v>44348</v>
      </c>
      <c r="AB850" s="74"/>
      <c r="AC850" s="75"/>
      <c r="AD850" s="70" t="s">
        <v>1</v>
      </c>
    </row>
    <row r="851" spans="1:30" s="76" customFormat="1" ht="37.5">
      <c r="A851" s="82">
        <f>+SUBTOTAL(3,$B$7:B851)</f>
        <v>845</v>
      </c>
      <c r="B851" s="82" t="s">
        <v>444</v>
      </c>
      <c r="C851" s="82" t="s">
        <v>111</v>
      </c>
      <c r="D851" s="66" t="s">
        <v>360</v>
      </c>
      <c r="E851" s="82">
        <v>1</v>
      </c>
      <c r="F851" s="67">
        <v>302297784</v>
      </c>
      <c r="G851" s="66" t="s">
        <v>1626</v>
      </c>
      <c r="H851" s="66" t="s">
        <v>135</v>
      </c>
      <c r="I851" s="66" t="s">
        <v>9</v>
      </c>
      <c r="J851" s="82" t="s">
        <v>38</v>
      </c>
      <c r="K851" s="67">
        <v>2200</v>
      </c>
      <c r="L851" s="82">
        <f t="shared" si="55"/>
        <v>2200</v>
      </c>
      <c r="M851" s="67">
        <v>1200</v>
      </c>
      <c r="N851" s="82">
        <v>2200</v>
      </c>
      <c r="O851" s="82">
        <f t="shared" si="56"/>
        <v>1000</v>
      </c>
      <c r="P851" s="82">
        <f t="shared" si="57"/>
        <v>0</v>
      </c>
      <c r="Q851" s="67">
        <v>1000</v>
      </c>
      <c r="R851" s="82"/>
      <c r="S851" s="67"/>
      <c r="T851" s="82"/>
      <c r="U851" s="67"/>
      <c r="V851" s="82"/>
      <c r="W851" s="82"/>
      <c r="X851" s="82"/>
      <c r="Y851" s="68">
        <v>10</v>
      </c>
      <c r="Z851" s="82">
        <v>5</v>
      </c>
      <c r="AA851" s="69">
        <v>44501</v>
      </c>
      <c r="AB851" s="74">
        <v>44158</v>
      </c>
      <c r="AC851" s="75" t="s">
        <v>2062</v>
      </c>
      <c r="AD851" s="70" t="s">
        <v>445</v>
      </c>
    </row>
    <row r="852" spans="1:30" s="76" customFormat="1" ht="37.5">
      <c r="A852" s="82">
        <f>+SUBTOTAL(3,$B$7:B852)</f>
        <v>846</v>
      </c>
      <c r="B852" s="82" t="s">
        <v>444</v>
      </c>
      <c r="C852" s="82" t="s">
        <v>111</v>
      </c>
      <c r="D852" s="66" t="s">
        <v>360</v>
      </c>
      <c r="E852" s="82">
        <v>2</v>
      </c>
      <c r="F852" s="67">
        <v>304100631</v>
      </c>
      <c r="G852" s="66" t="s">
        <v>378</v>
      </c>
      <c r="H852" s="66" t="s">
        <v>377</v>
      </c>
      <c r="I852" s="66" t="s">
        <v>9</v>
      </c>
      <c r="J852" s="82" t="s">
        <v>36</v>
      </c>
      <c r="K852" s="67">
        <v>2030</v>
      </c>
      <c r="L852" s="82">
        <f t="shared" si="55"/>
        <v>260</v>
      </c>
      <c r="M852" s="67">
        <v>1000</v>
      </c>
      <c r="N852" s="82"/>
      <c r="O852" s="82">
        <f t="shared" si="56"/>
        <v>1019.9999999999999</v>
      </c>
      <c r="P852" s="82">
        <f t="shared" si="57"/>
        <v>260</v>
      </c>
      <c r="Q852" s="67"/>
      <c r="R852" s="82">
        <v>260</v>
      </c>
      <c r="S852" s="67">
        <v>100</v>
      </c>
      <c r="T852" s="82"/>
      <c r="U852" s="67"/>
      <c r="V852" s="82"/>
      <c r="W852" s="82"/>
      <c r="X852" s="82"/>
      <c r="Y852" s="68">
        <v>8</v>
      </c>
      <c r="Z852" s="82"/>
      <c r="AA852" s="69">
        <v>44531</v>
      </c>
      <c r="AB852" s="74"/>
      <c r="AC852" s="75"/>
      <c r="AD852" s="70" t="s">
        <v>445</v>
      </c>
    </row>
    <row r="853" spans="1:30" s="76" customFormat="1" ht="37.5">
      <c r="A853" s="82">
        <f>+SUBTOTAL(3,$B$7:B853)</f>
        <v>847</v>
      </c>
      <c r="B853" s="82" t="s">
        <v>444</v>
      </c>
      <c r="C853" s="82" t="s">
        <v>111</v>
      </c>
      <c r="D853" s="66" t="s">
        <v>360</v>
      </c>
      <c r="E853" s="82">
        <v>2</v>
      </c>
      <c r="F853" s="67">
        <v>203370578</v>
      </c>
      <c r="G853" s="66" t="s">
        <v>1627</v>
      </c>
      <c r="H853" s="66" t="s">
        <v>165</v>
      </c>
      <c r="I853" s="66" t="s">
        <v>9</v>
      </c>
      <c r="J853" s="82" t="s">
        <v>37</v>
      </c>
      <c r="K853" s="67">
        <v>5150</v>
      </c>
      <c r="L853" s="82">
        <f t="shared" si="55"/>
        <v>1200</v>
      </c>
      <c r="M853" s="67">
        <v>150</v>
      </c>
      <c r="N853" s="82">
        <v>300</v>
      </c>
      <c r="O853" s="82">
        <f t="shared" si="56"/>
        <v>5000</v>
      </c>
      <c r="P853" s="82">
        <f t="shared" si="57"/>
        <v>900</v>
      </c>
      <c r="Q853" s="67">
        <v>5000</v>
      </c>
      <c r="R853" s="82">
        <v>900</v>
      </c>
      <c r="S853" s="67"/>
      <c r="T853" s="82"/>
      <c r="U853" s="67"/>
      <c r="V853" s="82"/>
      <c r="W853" s="82"/>
      <c r="X853" s="82"/>
      <c r="Y853" s="68">
        <v>8</v>
      </c>
      <c r="Z853" s="82">
        <v>8</v>
      </c>
      <c r="AA853" s="69">
        <v>44317</v>
      </c>
      <c r="AB853" s="74">
        <v>44160</v>
      </c>
      <c r="AC853" s="75" t="s">
        <v>2061</v>
      </c>
      <c r="AD853" s="70" t="s">
        <v>453</v>
      </c>
    </row>
    <row r="854" spans="1:30" s="76" customFormat="1" ht="37.5">
      <c r="A854" s="82">
        <f>+SUBTOTAL(3,$B$7:B854)</f>
        <v>848</v>
      </c>
      <c r="B854" s="82" t="s">
        <v>444</v>
      </c>
      <c r="C854" s="82" t="s">
        <v>111</v>
      </c>
      <c r="D854" s="66" t="s">
        <v>360</v>
      </c>
      <c r="E854" s="82">
        <v>2</v>
      </c>
      <c r="F854" s="67">
        <v>201066742</v>
      </c>
      <c r="G854" s="66" t="s">
        <v>1628</v>
      </c>
      <c r="H854" s="66" t="s">
        <v>152</v>
      </c>
      <c r="I854" s="66" t="s">
        <v>10</v>
      </c>
      <c r="J854" s="82" t="s">
        <v>66</v>
      </c>
      <c r="K854" s="67">
        <v>1500</v>
      </c>
      <c r="L854" s="82">
        <f t="shared" si="55"/>
        <v>1500</v>
      </c>
      <c r="M854" s="67">
        <v>1500</v>
      </c>
      <c r="N854" s="82">
        <v>800</v>
      </c>
      <c r="O854" s="82">
        <f t="shared" si="56"/>
        <v>0</v>
      </c>
      <c r="P854" s="82">
        <f t="shared" si="57"/>
        <v>700</v>
      </c>
      <c r="Q854" s="67"/>
      <c r="R854" s="82">
        <v>700</v>
      </c>
      <c r="S854" s="67"/>
      <c r="T854" s="82"/>
      <c r="U854" s="67"/>
      <c r="V854" s="82"/>
      <c r="W854" s="82"/>
      <c r="X854" s="82"/>
      <c r="Y854" s="68">
        <v>7</v>
      </c>
      <c r="Z854" s="82">
        <v>4</v>
      </c>
      <c r="AA854" s="69">
        <v>44166</v>
      </c>
      <c r="AB854" s="74">
        <v>44166</v>
      </c>
      <c r="AC854" s="75" t="s">
        <v>5</v>
      </c>
      <c r="AD854" s="70" t="s">
        <v>445</v>
      </c>
    </row>
    <row r="855" spans="1:30" s="76" customFormat="1" ht="37.5">
      <c r="A855" s="82">
        <f>+SUBTOTAL(3,$B$7:B855)</f>
        <v>849</v>
      </c>
      <c r="B855" s="82" t="s">
        <v>444</v>
      </c>
      <c r="C855" s="82" t="s">
        <v>111</v>
      </c>
      <c r="D855" s="66" t="s">
        <v>360</v>
      </c>
      <c r="E855" s="82">
        <v>2</v>
      </c>
      <c r="F855" s="67">
        <v>203214818</v>
      </c>
      <c r="G855" s="66" t="s">
        <v>1629</v>
      </c>
      <c r="H855" s="66" t="s">
        <v>1630</v>
      </c>
      <c r="I855" s="66" t="s">
        <v>9</v>
      </c>
      <c r="J855" s="82" t="s">
        <v>36</v>
      </c>
      <c r="K855" s="67">
        <v>5620</v>
      </c>
      <c r="L855" s="82">
        <f t="shared" si="55"/>
        <v>2364</v>
      </c>
      <c r="M855" s="67">
        <v>1500</v>
      </c>
      <c r="N855" s="82"/>
      <c r="O855" s="82">
        <f t="shared" si="56"/>
        <v>4079.9999999999995</v>
      </c>
      <c r="P855" s="82">
        <f t="shared" si="57"/>
        <v>2364</v>
      </c>
      <c r="Q855" s="67"/>
      <c r="R855" s="82">
        <v>2364</v>
      </c>
      <c r="S855" s="67">
        <v>400</v>
      </c>
      <c r="T855" s="82"/>
      <c r="U855" s="67"/>
      <c r="V855" s="82"/>
      <c r="W855" s="82"/>
      <c r="X855" s="82"/>
      <c r="Y855" s="68">
        <v>15</v>
      </c>
      <c r="Z855" s="82"/>
      <c r="AA855" s="69">
        <v>44348</v>
      </c>
      <c r="AB855" s="74"/>
      <c r="AC855" s="75"/>
      <c r="AD855" s="70" t="s">
        <v>445</v>
      </c>
    </row>
    <row r="856" spans="1:30" s="76" customFormat="1" ht="37.5">
      <c r="A856" s="82">
        <f>+SUBTOTAL(3,$B$7:B856)</f>
        <v>850</v>
      </c>
      <c r="B856" s="82" t="s">
        <v>444</v>
      </c>
      <c r="C856" s="82" t="s">
        <v>111</v>
      </c>
      <c r="D856" s="66" t="s">
        <v>360</v>
      </c>
      <c r="E856" s="82">
        <v>3</v>
      </c>
      <c r="F856" s="67">
        <v>300149200</v>
      </c>
      <c r="G856" s="66" t="s">
        <v>1631</v>
      </c>
      <c r="H856" s="66" t="s">
        <v>1630</v>
      </c>
      <c r="I856" s="66" t="s">
        <v>9</v>
      </c>
      <c r="J856" s="82" t="s">
        <v>36</v>
      </c>
      <c r="K856" s="67">
        <v>7590</v>
      </c>
      <c r="L856" s="82">
        <f t="shared" si="55"/>
        <v>1800</v>
      </c>
      <c r="M856" s="67">
        <v>4500</v>
      </c>
      <c r="N856" s="82"/>
      <c r="O856" s="82">
        <f t="shared" si="56"/>
        <v>3060</v>
      </c>
      <c r="P856" s="82">
        <f t="shared" si="57"/>
        <v>1800</v>
      </c>
      <c r="Q856" s="67"/>
      <c r="R856" s="82">
        <v>1800</v>
      </c>
      <c r="S856" s="67">
        <v>300</v>
      </c>
      <c r="T856" s="82"/>
      <c r="U856" s="67"/>
      <c r="V856" s="82"/>
      <c r="W856" s="82"/>
      <c r="X856" s="82"/>
      <c r="Y856" s="68">
        <v>20</v>
      </c>
      <c r="Z856" s="82"/>
      <c r="AA856" s="18">
        <v>44348</v>
      </c>
      <c r="AB856" s="74"/>
      <c r="AC856" s="75"/>
      <c r="AD856" s="70" t="s">
        <v>445</v>
      </c>
    </row>
    <row r="857" spans="1:30" s="76" customFormat="1" ht="37.5">
      <c r="A857" s="82">
        <f>+SUBTOTAL(3,$B$7:B857)</f>
        <v>851</v>
      </c>
      <c r="B857" s="82" t="s">
        <v>444</v>
      </c>
      <c r="C857" s="82" t="s">
        <v>111</v>
      </c>
      <c r="D857" s="66" t="s">
        <v>360</v>
      </c>
      <c r="E857" s="82">
        <v>2</v>
      </c>
      <c r="F857" s="67">
        <v>304584759</v>
      </c>
      <c r="G857" s="66" t="s">
        <v>1632</v>
      </c>
      <c r="H857" s="66" t="s">
        <v>131</v>
      </c>
      <c r="I857" s="66" t="s">
        <v>9</v>
      </c>
      <c r="J857" s="82" t="s">
        <v>37</v>
      </c>
      <c r="K857" s="67">
        <v>2000</v>
      </c>
      <c r="L857" s="82">
        <f t="shared" si="55"/>
        <v>0</v>
      </c>
      <c r="M857" s="67">
        <v>500</v>
      </c>
      <c r="N857" s="82"/>
      <c r="O857" s="82">
        <f t="shared" si="56"/>
        <v>1500</v>
      </c>
      <c r="P857" s="82">
        <f t="shared" si="57"/>
        <v>0</v>
      </c>
      <c r="Q857" s="67">
        <v>1500</v>
      </c>
      <c r="R857" s="82"/>
      <c r="S857" s="67"/>
      <c r="T857" s="82"/>
      <c r="U857" s="67"/>
      <c r="V857" s="82"/>
      <c r="W857" s="82"/>
      <c r="X857" s="82"/>
      <c r="Y857" s="68">
        <v>10</v>
      </c>
      <c r="Z857" s="82"/>
      <c r="AA857" s="69">
        <v>44896</v>
      </c>
      <c r="AB857" s="74"/>
      <c r="AC857" s="75"/>
      <c r="AD857" s="70" t="s">
        <v>445</v>
      </c>
    </row>
    <row r="858" spans="1:30" s="76" customFormat="1" ht="37.5">
      <c r="A858" s="82">
        <f>+SUBTOTAL(3,$B$7:B858)</f>
        <v>852</v>
      </c>
      <c r="B858" s="82" t="s">
        <v>444</v>
      </c>
      <c r="C858" s="82" t="s">
        <v>111</v>
      </c>
      <c r="D858" s="66" t="s">
        <v>360</v>
      </c>
      <c r="E858" s="82">
        <v>2</v>
      </c>
      <c r="F858" s="67">
        <v>206186344</v>
      </c>
      <c r="G858" s="66" t="s">
        <v>1633</v>
      </c>
      <c r="H858" s="66" t="s">
        <v>1634</v>
      </c>
      <c r="I858" s="66" t="s">
        <v>9</v>
      </c>
      <c r="J858" s="82" t="s">
        <v>38</v>
      </c>
      <c r="K858" s="67">
        <v>4000</v>
      </c>
      <c r="L858" s="82">
        <f t="shared" si="55"/>
        <v>0</v>
      </c>
      <c r="M858" s="67">
        <v>1000</v>
      </c>
      <c r="N858" s="82"/>
      <c r="O858" s="82">
        <f t="shared" si="56"/>
        <v>3000</v>
      </c>
      <c r="P858" s="82">
        <f t="shared" si="57"/>
        <v>0</v>
      </c>
      <c r="Q858" s="67">
        <v>3000</v>
      </c>
      <c r="R858" s="82"/>
      <c r="S858" s="67"/>
      <c r="T858" s="82"/>
      <c r="U858" s="67"/>
      <c r="V858" s="82"/>
      <c r="W858" s="82"/>
      <c r="X858" s="82"/>
      <c r="Y858" s="68">
        <v>10</v>
      </c>
      <c r="Z858" s="82"/>
      <c r="AA858" s="69">
        <v>44896</v>
      </c>
      <c r="AB858" s="74"/>
      <c r="AC858" s="75"/>
      <c r="AD858" s="70" t="s">
        <v>445</v>
      </c>
    </row>
    <row r="859" spans="1:30" s="76" customFormat="1" ht="37.5">
      <c r="A859" s="82">
        <f>+SUBTOTAL(3,$B$7:B859)</f>
        <v>853</v>
      </c>
      <c r="B859" s="82" t="s">
        <v>444</v>
      </c>
      <c r="C859" s="82" t="s">
        <v>111</v>
      </c>
      <c r="D859" s="66" t="s">
        <v>360</v>
      </c>
      <c r="E859" s="82">
        <v>4</v>
      </c>
      <c r="F859" s="67">
        <v>307343461</v>
      </c>
      <c r="G859" s="66" t="s">
        <v>1635</v>
      </c>
      <c r="H859" s="66" t="s">
        <v>117</v>
      </c>
      <c r="I859" s="66" t="s">
        <v>6</v>
      </c>
      <c r="J859" s="82" t="s">
        <v>11</v>
      </c>
      <c r="K859" s="67">
        <v>4000</v>
      </c>
      <c r="L859" s="82">
        <f t="shared" si="55"/>
        <v>2000</v>
      </c>
      <c r="M859" s="67">
        <v>1000</v>
      </c>
      <c r="N859" s="82"/>
      <c r="O859" s="82">
        <f t="shared" si="56"/>
        <v>3000</v>
      </c>
      <c r="P859" s="82">
        <f t="shared" si="57"/>
        <v>2000</v>
      </c>
      <c r="Q859" s="67">
        <v>3000</v>
      </c>
      <c r="R859" s="82">
        <v>2000</v>
      </c>
      <c r="S859" s="67"/>
      <c r="T859" s="82"/>
      <c r="U859" s="67"/>
      <c r="V859" s="82"/>
      <c r="W859" s="82"/>
      <c r="X859" s="82"/>
      <c r="Y859" s="68">
        <v>8</v>
      </c>
      <c r="Z859" s="82"/>
      <c r="AA859" s="69">
        <v>44440</v>
      </c>
      <c r="AB859" s="74"/>
      <c r="AC859" s="75"/>
      <c r="AD859" s="70" t="s">
        <v>445</v>
      </c>
    </row>
    <row r="860" spans="1:30" s="76" customFormat="1" ht="37.5">
      <c r="A860" s="82">
        <f>+SUBTOTAL(3,$B$7:B860)</f>
        <v>854</v>
      </c>
      <c r="B860" s="82" t="s">
        <v>444</v>
      </c>
      <c r="C860" s="82" t="s">
        <v>111</v>
      </c>
      <c r="D860" s="66" t="s">
        <v>360</v>
      </c>
      <c r="E860" s="82">
        <v>2</v>
      </c>
      <c r="F860" s="67">
        <v>306688190</v>
      </c>
      <c r="G860" s="66" t="s">
        <v>1636</v>
      </c>
      <c r="H860" s="66" t="s">
        <v>120</v>
      </c>
      <c r="I860" s="66" t="s">
        <v>6</v>
      </c>
      <c r="J860" s="82" t="s">
        <v>13</v>
      </c>
      <c r="K860" s="67">
        <v>1500</v>
      </c>
      <c r="L860" s="82">
        <f t="shared" si="55"/>
        <v>840</v>
      </c>
      <c r="M860" s="67">
        <v>500</v>
      </c>
      <c r="N860" s="82"/>
      <c r="O860" s="82">
        <f t="shared" si="56"/>
        <v>1000</v>
      </c>
      <c r="P860" s="82">
        <f t="shared" si="57"/>
        <v>840</v>
      </c>
      <c r="Q860" s="67">
        <v>1000</v>
      </c>
      <c r="R860" s="82">
        <v>840</v>
      </c>
      <c r="S860" s="67"/>
      <c r="T860" s="82"/>
      <c r="U860" s="67"/>
      <c r="V860" s="82"/>
      <c r="W860" s="82"/>
      <c r="X860" s="82"/>
      <c r="Y860" s="68">
        <v>5</v>
      </c>
      <c r="Z860" s="82"/>
      <c r="AA860" s="18">
        <v>44256</v>
      </c>
      <c r="AB860" s="74"/>
      <c r="AC860" s="75"/>
      <c r="AD860" s="70" t="s">
        <v>445</v>
      </c>
    </row>
    <row r="861" spans="1:30" s="76" customFormat="1" ht="37.5">
      <c r="A861" s="82">
        <f>+SUBTOTAL(3,$B$7:B861)</f>
        <v>855</v>
      </c>
      <c r="B861" s="82" t="s">
        <v>444</v>
      </c>
      <c r="C861" s="82" t="s">
        <v>111</v>
      </c>
      <c r="D861" s="66" t="s">
        <v>360</v>
      </c>
      <c r="E861" s="82">
        <v>2</v>
      </c>
      <c r="F861" s="67">
        <v>305598597</v>
      </c>
      <c r="G861" s="66" t="s">
        <v>1637</v>
      </c>
      <c r="H861" s="66" t="s">
        <v>1638</v>
      </c>
      <c r="I861" s="66" t="s">
        <v>6</v>
      </c>
      <c r="J861" s="82" t="s">
        <v>12</v>
      </c>
      <c r="K861" s="67">
        <v>25000</v>
      </c>
      <c r="L861" s="82">
        <f t="shared" si="55"/>
        <v>0</v>
      </c>
      <c r="M861" s="67">
        <v>7000</v>
      </c>
      <c r="N861" s="82"/>
      <c r="O861" s="82">
        <f t="shared" si="56"/>
        <v>18000</v>
      </c>
      <c r="P861" s="82">
        <f t="shared" si="57"/>
        <v>0</v>
      </c>
      <c r="Q861" s="67">
        <v>18000</v>
      </c>
      <c r="R861" s="82"/>
      <c r="S861" s="67"/>
      <c r="T861" s="82"/>
      <c r="U861" s="67"/>
      <c r="V861" s="82"/>
      <c r="W861" s="82"/>
      <c r="X861" s="82"/>
      <c r="Y861" s="68">
        <v>70</v>
      </c>
      <c r="Z861" s="82"/>
      <c r="AA861" s="69">
        <v>44317</v>
      </c>
      <c r="AB861" s="74"/>
      <c r="AC861" s="75"/>
      <c r="AD861" s="70" t="s">
        <v>8</v>
      </c>
    </row>
    <row r="862" spans="1:30" s="76" customFormat="1" ht="37.5">
      <c r="A862" s="82">
        <f>+SUBTOTAL(3,$B$7:B862)</f>
        <v>856</v>
      </c>
      <c r="B862" s="82" t="s">
        <v>444</v>
      </c>
      <c r="C862" s="82" t="s">
        <v>111</v>
      </c>
      <c r="D862" s="66" t="s">
        <v>360</v>
      </c>
      <c r="E862" s="82">
        <v>2</v>
      </c>
      <c r="F862" s="67">
        <v>307362454</v>
      </c>
      <c r="G862" s="66" t="s">
        <v>1639</v>
      </c>
      <c r="H862" s="66" t="s">
        <v>1640</v>
      </c>
      <c r="I862" s="66" t="s">
        <v>10</v>
      </c>
      <c r="J862" s="82" t="s">
        <v>44</v>
      </c>
      <c r="K862" s="67">
        <v>11500</v>
      </c>
      <c r="L862" s="82">
        <f t="shared" si="55"/>
        <v>0</v>
      </c>
      <c r="M862" s="67">
        <v>11500</v>
      </c>
      <c r="N862" s="82"/>
      <c r="O862" s="82">
        <f t="shared" si="56"/>
        <v>0</v>
      </c>
      <c r="P862" s="82">
        <f t="shared" si="57"/>
        <v>0</v>
      </c>
      <c r="Q862" s="67"/>
      <c r="R862" s="82"/>
      <c r="S862" s="67"/>
      <c r="T862" s="82"/>
      <c r="U862" s="67"/>
      <c r="V862" s="82"/>
      <c r="W862" s="82"/>
      <c r="X862" s="82"/>
      <c r="Y862" s="68">
        <v>30</v>
      </c>
      <c r="Z862" s="82"/>
      <c r="AA862" s="69">
        <v>44256</v>
      </c>
      <c r="AB862" s="74"/>
      <c r="AC862" s="75"/>
      <c r="AD862" s="70" t="s">
        <v>453</v>
      </c>
    </row>
    <row r="863" spans="1:30" s="76" customFormat="1" ht="37.5">
      <c r="A863" s="82">
        <f>+SUBTOTAL(3,$B$7:B863)</f>
        <v>857</v>
      </c>
      <c r="B863" s="82" t="s">
        <v>444</v>
      </c>
      <c r="C863" s="82" t="s">
        <v>111</v>
      </c>
      <c r="D863" s="66" t="s">
        <v>360</v>
      </c>
      <c r="E863" s="82">
        <v>1</v>
      </c>
      <c r="F863" s="67">
        <v>302297784</v>
      </c>
      <c r="G863" s="66" t="s">
        <v>376</v>
      </c>
      <c r="H863" s="66" t="s">
        <v>131</v>
      </c>
      <c r="I863" s="66" t="s">
        <v>9</v>
      </c>
      <c r="J863" s="82" t="s">
        <v>37</v>
      </c>
      <c r="K863" s="67">
        <v>1200</v>
      </c>
      <c r="L863" s="82">
        <f t="shared" si="55"/>
        <v>0</v>
      </c>
      <c r="M863" s="67">
        <v>400</v>
      </c>
      <c r="N863" s="82"/>
      <c r="O863" s="82">
        <f t="shared" si="56"/>
        <v>800</v>
      </c>
      <c r="P863" s="82">
        <f t="shared" si="57"/>
        <v>0</v>
      </c>
      <c r="Q863" s="67">
        <v>800</v>
      </c>
      <c r="R863" s="82"/>
      <c r="S863" s="67"/>
      <c r="T863" s="82"/>
      <c r="U863" s="67"/>
      <c r="V863" s="82"/>
      <c r="W863" s="82"/>
      <c r="X863" s="82"/>
      <c r="Y863" s="68">
        <v>4</v>
      </c>
      <c r="Z863" s="82"/>
      <c r="AA863" s="69">
        <v>44866</v>
      </c>
      <c r="AB863" s="74"/>
      <c r="AC863" s="75"/>
      <c r="AD863" s="70" t="s">
        <v>445</v>
      </c>
    </row>
    <row r="864" spans="1:30" s="76" customFormat="1" ht="37.5">
      <c r="A864" s="82">
        <f>+SUBTOTAL(3,$B$7:B864)</f>
        <v>858</v>
      </c>
      <c r="B864" s="82" t="s">
        <v>444</v>
      </c>
      <c r="C864" s="82" t="s">
        <v>111</v>
      </c>
      <c r="D864" s="66" t="s">
        <v>360</v>
      </c>
      <c r="E864" s="82">
        <v>2</v>
      </c>
      <c r="F864" s="67">
        <v>306417504</v>
      </c>
      <c r="G864" s="66" t="s">
        <v>1641</v>
      </c>
      <c r="H864" s="66" t="s">
        <v>1642</v>
      </c>
      <c r="I864" s="66" t="s">
        <v>10</v>
      </c>
      <c r="J864" s="82" t="s">
        <v>30</v>
      </c>
      <c r="K864" s="67">
        <v>1000</v>
      </c>
      <c r="L864" s="82">
        <f t="shared" si="55"/>
        <v>1200</v>
      </c>
      <c r="M864" s="67">
        <v>200</v>
      </c>
      <c r="N864" s="82">
        <v>800</v>
      </c>
      <c r="O864" s="82">
        <f t="shared" si="56"/>
        <v>800</v>
      </c>
      <c r="P864" s="82">
        <f t="shared" si="57"/>
        <v>400</v>
      </c>
      <c r="Q864" s="67">
        <v>800</v>
      </c>
      <c r="R864" s="82">
        <v>400</v>
      </c>
      <c r="S864" s="67"/>
      <c r="T864" s="82"/>
      <c r="U864" s="67">
        <v>0</v>
      </c>
      <c r="V864" s="82"/>
      <c r="W864" s="82"/>
      <c r="X864" s="82"/>
      <c r="Y864" s="68">
        <v>5</v>
      </c>
      <c r="Z864" s="82">
        <v>5</v>
      </c>
      <c r="AA864" s="18">
        <v>44531</v>
      </c>
      <c r="AB864" s="74">
        <v>44225</v>
      </c>
      <c r="AC864" s="75" t="s">
        <v>2105</v>
      </c>
      <c r="AD864" s="70" t="s">
        <v>453</v>
      </c>
    </row>
    <row r="865" spans="1:30" s="76" customFormat="1" ht="37.5">
      <c r="A865" s="82">
        <f>+SUBTOTAL(3,$B$7:B865)</f>
        <v>859</v>
      </c>
      <c r="B865" s="82" t="s">
        <v>444</v>
      </c>
      <c r="C865" s="82" t="s">
        <v>111</v>
      </c>
      <c r="D865" s="66" t="s">
        <v>360</v>
      </c>
      <c r="E865" s="82">
        <v>1</v>
      </c>
      <c r="F865" s="67">
        <v>306098664</v>
      </c>
      <c r="G865" s="66" t="s">
        <v>361</v>
      </c>
      <c r="H865" s="66" t="s">
        <v>362</v>
      </c>
      <c r="I865" s="66" t="s">
        <v>10</v>
      </c>
      <c r="J865" s="82" t="s">
        <v>58</v>
      </c>
      <c r="K865" s="67">
        <v>30900.000000000004</v>
      </c>
      <c r="L865" s="82">
        <f t="shared" si="55"/>
        <v>0</v>
      </c>
      <c r="M865" s="67"/>
      <c r="N865" s="82"/>
      <c r="O865" s="82">
        <f t="shared" si="56"/>
        <v>0</v>
      </c>
      <c r="P865" s="82">
        <f t="shared" si="57"/>
        <v>0</v>
      </c>
      <c r="Q865" s="67"/>
      <c r="R865" s="82"/>
      <c r="S865" s="67"/>
      <c r="T865" s="82"/>
      <c r="U865" s="67">
        <v>3000</v>
      </c>
      <c r="V865" s="82"/>
      <c r="W865" s="82" t="s">
        <v>1928</v>
      </c>
      <c r="X865" s="82" t="s">
        <v>1801</v>
      </c>
      <c r="Y865" s="68">
        <v>50</v>
      </c>
      <c r="Z865" s="82"/>
      <c r="AA865" s="69">
        <v>44287</v>
      </c>
      <c r="AB865" s="74"/>
      <c r="AC865" s="75"/>
      <c r="AD865" s="70" t="s">
        <v>477</v>
      </c>
    </row>
    <row r="866" spans="1:30" s="76" customFormat="1" ht="37.5">
      <c r="A866" s="82">
        <f>+SUBTOTAL(3,$B$7:B866)</f>
        <v>860</v>
      </c>
      <c r="B866" s="82" t="s">
        <v>444</v>
      </c>
      <c r="C866" s="82" t="s">
        <v>111</v>
      </c>
      <c r="D866" s="66" t="s">
        <v>360</v>
      </c>
      <c r="E866" s="82">
        <v>2</v>
      </c>
      <c r="F866" s="67">
        <v>202821300</v>
      </c>
      <c r="G866" s="66" t="s">
        <v>1643</v>
      </c>
      <c r="H866" s="66" t="s">
        <v>1254</v>
      </c>
      <c r="I866" s="66" t="s">
        <v>10</v>
      </c>
      <c r="J866" s="82" t="s">
        <v>30</v>
      </c>
      <c r="K866" s="67">
        <v>1500</v>
      </c>
      <c r="L866" s="82">
        <f t="shared" si="55"/>
        <v>1280</v>
      </c>
      <c r="M866" s="67">
        <v>500</v>
      </c>
      <c r="N866" s="82">
        <v>500</v>
      </c>
      <c r="O866" s="82">
        <f t="shared" si="56"/>
        <v>1000</v>
      </c>
      <c r="P866" s="82">
        <f t="shared" si="57"/>
        <v>780</v>
      </c>
      <c r="Q866" s="67">
        <v>1000</v>
      </c>
      <c r="R866" s="82">
        <v>780</v>
      </c>
      <c r="S866" s="67"/>
      <c r="T866" s="82"/>
      <c r="U866" s="67"/>
      <c r="V866" s="82"/>
      <c r="W866" s="82"/>
      <c r="X866" s="82"/>
      <c r="Y866" s="68">
        <v>4</v>
      </c>
      <c r="Z866" s="82">
        <v>4</v>
      </c>
      <c r="AA866" s="18">
        <v>44196</v>
      </c>
      <c r="AB866" s="74">
        <v>44165</v>
      </c>
      <c r="AC866" s="75" t="s">
        <v>2047</v>
      </c>
      <c r="AD866" s="70" t="s">
        <v>453</v>
      </c>
    </row>
    <row r="867" spans="1:30" s="76" customFormat="1" ht="37.5">
      <c r="A867" s="82">
        <f>+SUBTOTAL(3,$B$7:B867)</f>
        <v>861</v>
      </c>
      <c r="B867" s="82" t="s">
        <v>444</v>
      </c>
      <c r="C867" s="82" t="s">
        <v>111</v>
      </c>
      <c r="D867" s="66" t="s">
        <v>360</v>
      </c>
      <c r="E867" s="82">
        <v>4</v>
      </c>
      <c r="F867" s="67">
        <v>307166254</v>
      </c>
      <c r="G867" s="66" t="s">
        <v>1644</v>
      </c>
      <c r="H867" s="66" t="s">
        <v>1599</v>
      </c>
      <c r="I867" s="66" t="s">
        <v>10</v>
      </c>
      <c r="J867" s="82" t="s">
        <v>30</v>
      </c>
      <c r="K867" s="67">
        <v>1500</v>
      </c>
      <c r="L867" s="82">
        <f t="shared" si="55"/>
        <v>1123</v>
      </c>
      <c r="M867" s="67">
        <v>500</v>
      </c>
      <c r="N867" s="82">
        <v>500</v>
      </c>
      <c r="O867" s="82">
        <f t="shared" si="56"/>
        <v>1000</v>
      </c>
      <c r="P867" s="82">
        <f t="shared" si="57"/>
        <v>623</v>
      </c>
      <c r="Q867" s="67">
        <v>1000</v>
      </c>
      <c r="R867" s="82">
        <v>623</v>
      </c>
      <c r="S867" s="67"/>
      <c r="T867" s="82"/>
      <c r="U867" s="67"/>
      <c r="V867" s="82"/>
      <c r="W867" s="82"/>
      <c r="X867" s="82"/>
      <c r="Y867" s="68">
        <v>3</v>
      </c>
      <c r="Z867" s="82">
        <v>6</v>
      </c>
      <c r="AA867" s="69">
        <v>44196</v>
      </c>
      <c r="AB867" s="74">
        <v>44130</v>
      </c>
      <c r="AC867" s="75" t="s">
        <v>1929</v>
      </c>
      <c r="AD867" s="70" t="s">
        <v>453</v>
      </c>
    </row>
    <row r="868" spans="1:30" s="76" customFormat="1" ht="37.5">
      <c r="A868" s="82">
        <f>+SUBTOTAL(3,$B$7:B868)</f>
        <v>862</v>
      </c>
      <c r="B868" s="82" t="s">
        <v>444</v>
      </c>
      <c r="C868" s="82" t="s">
        <v>111</v>
      </c>
      <c r="D868" s="66" t="s">
        <v>360</v>
      </c>
      <c r="E868" s="82">
        <v>4</v>
      </c>
      <c r="F868" s="67">
        <v>303429926</v>
      </c>
      <c r="G868" s="66" t="s">
        <v>1645</v>
      </c>
      <c r="H868" s="66" t="s">
        <v>1646</v>
      </c>
      <c r="I868" s="66" t="s">
        <v>10</v>
      </c>
      <c r="J868" s="82" t="s">
        <v>45</v>
      </c>
      <c r="K868" s="67">
        <v>1500</v>
      </c>
      <c r="L868" s="82">
        <f t="shared" si="55"/>
        <v>1545</v>
      </c>
      <c r="M868" s="67">
        <v>500</v>
      </c>
      <c r="N868" s="82">
        <v>525</v>
      </c>
      <c r="O868" s="82">
        <f t="shared" si="56"/>
        <v>1000</v>
      </c>
      <c r="P868" s="82">
        <f t="shared" si="57"/>
        <v>1019.9999999999999</v>
      </c>
      <c r="Q868" s="67">
        <v>1000</v>
      </c>
      <c r="R868" s="82"/>
      <c r="S868" s="67"/>
      <c r="T868" s="82">
        <v>100</v>
      </c>
      <c r="U868" s="67"/>
      <c r="V868" s="82"/>
      <c r="W868" s="82"/>
      <c r="X868" s="82"/>
      <c r="Y868" s="68">
        <v>5</v>
      </c>
      <c r="Z868" s="82">
        <v>4</v>
      </c>
      <c r="AA868" s="69">
        <v>44196</v>
      </c>
      <c r="AB868" s="74">
        <v>44103</v>
      </c>
      <c r="AC868" s="75" t="s">
        <v>1930</v>
      </c>
      <c r="AD868" s="70" t="s">
        <v>8</v>
      </c>
    </row>
    <row r="869" spans="1:30" s="76" customFormat="1" ht="37.5">
      <c r="A869" s="82">
        <f>+SUBTOTAL(3,$B$7:B869)</f>
        <v>863</v>
      </c>
      <c r="B869" s="82" t="s">
        <v>444</v>
      </c>
      <c r="C869" s="82" t="s">
        <v>111</v>
      </c>
      <c r="D869" s="66" t="s">
        <v>360</v>
      </c>
      <c r="E869" s="82">
        <v>3</v>
      </c>
      <c r="F869" s="67">
        <v>307904317</v>
      </c>
      <c r="G869" s="66" t="s">
        <v>1647</v>
      </c>
      <c r="H869" s="66" t="s">
        <v>1648</v>
      </c>
      <c r="I869" s="66" t="s">
        <v>6</v>
      </c>
      <c r="J869" s="82" t="s">
        <v>31</v>
      </c>
      <c r="K869" s="67">
        <v>12000</v>
      </c>
      <c r="L869" s="82">
        <f t="shared" si="55"/>
        <v>0</v>
      </c>
      <c r="M869" s="67">
        <v>12000</v>
      </c>
      <c r="N869" s="82"/>
      <c r="O869" s="82">
        <f t="shared" si="56"/>
        <v>0</v>
      </c>
      <c r="P869" s="82">
        <f t="shared" si="57"/>
        <v>0</v>
      </c>
      <c r="Q869" s="67"/>
      <c r="R869" s="82"/>
      <c r="S869" s="67"/>
      <c r="T869" s="82"/>
      <c r="U869" s="67"/>
      <c r="V869" s="82"/>
      <c r="W869" s="82"/>
      <c r="X869" s="82"/>
      <c r="Y869" s="68">
        <v>50</v>
      </c>
      <c r="Z869" s="82"/>
      <c r="AA869" s="69">
        <v>44531</v>
      </c>
      <c r="AB869" s="74"/>
      <c r="AC869" s="75"/>
      <c r="AD869" s="70" t="s">
        <v>477</v>
      </c>
    </row>
    <row r="870" spans="1:30" s="76" customFormat="1" ht="37.5">
      <c r="A870" s="82">
        <f>+SUBTOTAL(3,$B$7:B870)</f>
        <v>864</v>
      </c>
      <c r="B870" s="82" t="s">
        <v>444</v>
      </c>
      <c r="C870" s="82" t="s">
        <v>111</v>
      </c>
      <c r="D870" s="66" t="s">
        <v>360</v>
      </c>
      <c r="E870" s="82">
        <v>4</v>
      </c>
      <c r="F870" s="67">
        <v>203921594</v>
      </c>
      <c r="G870" s="66" t="s">
        <v>1649</v>
      </c>
      <c r="H870" s="66" t="s">
        <v>126</v>
      </c>
      <c r="I870" s="66" t="s">
        <v>10</v>
      </c>
      <c r="J870" s="82" t="s">
        <v>44</v>
      </c>
      <c r="K870" s="67">
        <v>5000</v>
      </c>
      <c r="L870" s="82">
        <f t="shared" si="55"/>
        <v>0</v>
      </c>
      <c r="M870" s="67">
        <v>5000</v>
      </c>
      <c r="N870" s="82"/>
      <c r="O870" s="82">
        <f t="shared" si="56"/>
        <v>0</v>
      </c>
      <c r="P870" s="82">
        <f t="shared" si="57"/>
        <v>0</v>
      </c>
      <c r="Q870" s="67"/>
      <c r="R870" s="82"/>
      <c r="S870" s="67"/>
      <c r="T870" s="82"/>
      <c r="U870" s="67"/>
      <c r="V870" s="82"/>
      <c r="W870" s="82"/>
      <c r="X870" s="82"/>
      <c r="Y870" s="68">
        <v>15</v>
      </c>
      <c r="Z870" s="82"/>
      <c r="AA870" s="69">
        <v>44531</v>
      </c>
      <c r="AB870" s="74"/>
      <c r="AC870" s="75"/>
      <c r="AD870" s="70" t="s">
        <v>453</v>
      </c>
    </row>
    <row r="871" spans="1:30" s="76" customFormat="1" ht="37.5">
      <c r="A871" s="82">
        <f>+SUBTOTAL(3,$B$7:B871)</f>
        <v>865</v>
      </c>
      <c r="B871" s="82" t="s">
        <v>444</v>
      </c>
      <c r="C871" s="82" t="s">
        <v>111</v>
      </c>
      <c r="D871" s="66" t="s">
        <v>360</v>
      </c>
      <c r="E871" s="82">
        <v>4</v>
      </c>
      <c r="F871" s="67">
        <v>303591728</v>
      </c>
      <c r="G871" s="66" t="s">
        <v>1650</v>
      </c>
      <c r="H871" s="66" t="s">
        <v>1651</v>
      </c>
      <c r="I871" s="66" t="s">
        <v>10</v>
      </c>
      <c r="J871" s="82" t="s">
        <v>44</v>
      </c>
      <c r="K871" s="67">
        <v>3000</v>
      </c>
      <c r="L871" s="82">
        <f t="shared" si="55"/>
        <v>0</v>
      </c>
      <c r="M871" s="67">
        <v>3000</v>
      </c>
      <c r="N871" s="82"/>
      <c r="O871" s="82">
        <f t="shared" si="56"/>
        <v>0</v>
      </c>
      <c r="P871" s="82">
        <f t="shared" si="57"/>
        <v>0</v>
      </c>
      <c r="Q871" s="67"/>
      <c r="R871" s="82"/>
      <c r="S871" s="67"/>
      <c r="T871" s="82"/>
      <c r="U871" s="67"/>
      <c r="V871" s="82"/>
      <c r="W871" s="82"/>
      <c r="X871" s="82"/>
      <c r="Y871" s="68">
        <v>20</v>
      </c>
      <c r="Z871" s="82"/>
      <c r="AA871" s="69">
        <v>44531</v>
      </c>
      <c r="AB871" s="74"/>
      <c r="AC871" s="75"/>
      <c r="AD871" s="70" t="s">
        <v>8</v>
      </c>
    </row>
    <row r="872" spans="1:30" s="76" customFormat="1" ht="37.5">
      <c r="A872" s="82">
        <f>+SUBTOTAL(3,$B$7:B872)</f>
        <v>866</v>
      </c>
      <c r="B872" s="82" t="s">
        <v>444</v>
      </c>
      <c r="C872" s="82" t="s">
        <v>111</v>
      </c>
      <c r="D872" s="66" t="s">
        <v>360</v>
      </c>
      <c r="E872" s="82">
        <v>4</v>
      </c>
      <c r="F872" s="67">
        <v>202394216</v>
      </c>
      <c r="G872" s="66" t="s">
        <v>1652</v>
      </c>
      <c r="H872" s="66" t="s">
        <v>1653</v>
      </c>
      <c r="I872" s="66" t="s">
        <v>10</v>
      </c>
      <c r="J872" s="82" t="s">
        <v>44</v>
      </c>
      <c r="K872" s="67">
        <v>4000</v>
      </c>
      <c r="L872" s="82">
        <f t="shared" si="55"/>
        <v>0</v>
      </c>
      <c r="M872" s="67">
        <v>4000</v>
      </c>
      <c r="N872" s="82"/>
      <c r="O872" s="82">
        <f t="shared" si="56"/>
        <v>0</v>
      </c>
      <c r="P872" s="82">
        <f t="shared" si="57"/>
        <v>0</v>
      </c>
      <c r="Q872" s="67"/>
      <c r="R872" s="82"/>
      <c r="S872" s="67"/>
      <c r="T872" s="82"/>
      <c r="U872" s="67"/>
      <c r="V872" s="82"/>
      <c r="W872" s="82"/>
      <c r="X872" s="82"/>
      <c r="Y872" s="68">
        <v>15</v>
      </c>
      <c r="Z872" s="82"/>
      <c r="AA872" s="69">
        <v>44317</v>
      </c>
      <c r="AB872" s="74"/>
      <c r="AC872" s="75"/>
      <c r="AD872" s="70" t="s">
        <v>8</v>
      </c>
    </row>
    <row r="873" spans="1:30" s="76" customFormat="1" ht="37.5">
      <c r="A873" s="82">
        <f>+SUBTOTAL(3,$B$7:B873)</f>
        <v>867</v>
      </c>
      <c r="B873" s="82" t="s">
        <v>444</v>
      </c>
      <c r="C873" s="82" t="s">
        <v>111</v>
      </c>
      <c r="D873" s="66" t="s">
        <v>360</v>
      </c>
      <c r="E873" s="82">
        <v>4</v>
      </c>
      <c r="F873" s="67">
        <v>303315958</v>
      </c>
      <c r="G873" s="66" t="s">
        <v>1654</v>
      </c>
      <c r="H873" s="66" t="s">
        <v>416</v>
      </c>
      <c r="I873" s="66" t="s">
        <v>6</v>
      </c>
      <c r="J873" s="82" t="s">
        <v>12</v>
      </c>
      <c r="K873" s="67">
        <v>1593.6000000000001</v>
      </c>
      <c r="L873" s="82">
        <f t="shared" si="55"/>
        <v>1122</v>
      </c>
      <c r="M873" s="67">
        <v>337</v>
      </c>
      <c r="N873" s="82"/>
      <c r="O873" s="82">
        <f t="shared" si="56"/>
        <v>1244.3999999999999</v>
      </c>
      <c r="P873" s="82">
        <f t="shared" si="57"/>
        <v>1122</v>
      </c>
      <c r="Q873" s="67"/>
      <c r="R873" s="82"/>
      <c r="S873" s="67">
        <v>122</v>
      </c>
      <c r="T873" s="82">
        <v>110</v>
      </c>
      <c r="U873" s="67"/>
      <c r="V873" s="82"/>
      <c r="W873" s="82"/>
      <c r="X873" s="82"/>
      <c r="Y873" s="68">
        <v>8</v>
      </c>
      <c r="Z873" s="82"/>
      <c r="AA873" s="18">
        <v>44256</v>
      </c>
      <c r="AB873" s="74"/>
      <c r="AC873" s="75"/>
      <c r="AD873" s="70" t="s">
        <v>543</v>
      </c>
    </row>
    <row r="874" spans="1:30" s="76" customFormat="1" ht="37.5">
      <c r="A874" s="82">
        <f>+SUBTOTAL(3,$B$7:B874)</f>
        <v>868</v>
      </c>
      <c r="B874" s="82" t="s">
        <v>444</v>
      </c>
      <c r="C874" s="82" t="s">
        <v>111</v>
      </c>
      <c r="D874" s="66" t="s">
        <v>360</v>
      </c>
      <c r="E874" s="82">
        <v>2</v>
      </c>
      <c r="F874" s="67">
        <v>306617405</v>
      </c>
      <c r="G874" s="66" t="s">
        <v>1655</v>
      </c>
      <c r="H874" s="66" t="s">
        <v>131</v>
      </c>
      <c r="I874" s="66" t="s">
        <v>9</v>
      </c>
      <c r="J874" s="82" t="s">
        <v>37</v>
      </c>
      <c r="K874" s="67">
        <v>1500</v>
      </c>
      <c r="L874" s="82">
        <f t="shared" si="55"/>
        <v>1050</v>
      </c>
      <c r="M874" s="67">
        <v>500</v>
      </c>
      <c r="N874" s="82"/>
      <c r="O874" s="82">
        <f t="shared" si="56"/>
        <v>1000</v>
      </c>
      <c r="P874" s="82">
        <f t="shared" si="57"/>
        <v>1050</v>
      </c>
      <c r="Q874" s="67">
        <v>1000</v>
      </c>
      <c r="R874" s="82">
        <v>1050</v>
      </c>
      <c r="S874" s="67"/>
      <c r="T874" s="82"/>
      <c r="U874" s="67"/>
      <c r="V874" s="82"/>
      <c r="W874" s="82"/>
      <c r="X874" s="82"/>
      <c r="Y874" s="68">
        <v>5</v>
      </c>
      <c r="Z874" s="82"/>
      <c r="AA874" s="69">
        <v>44317</v>
      </c>
      <c r="AB874" s="74"/>
      <c r="AC874" s="75"/>
      <c r="AD874" s="70" t="s">
        <v>445</v>
      </c>
    </row>
    <row r="875" spans="1:30" s="76" customFormat="1" ht="37.5">
      <c r="A875" s="82">
        <f>+SUBTOTAL(3,$B$7:B875)</f>
        <v>869</v>
      </c>
      <c r="B875" s="82" t="s">
        <v>444</v>
      </c>
      <c r="C875" s="82" t="s">
        <v>111</v>
      </c>
      <c r="D875" s="66" t="s">
        <v>360</v>
      </c>
      <c r="E875" s="82">
        <v>2</v>
      </c>
      <c r="F875" s="67">
        <v>307223817</v>
      </c>
      <c r="G875" s="66" t="s">
        <v>1656</v>
      </c>
      <c r="H875" s="66" t="s">
        <v>1657</v>
      </c>
      <c r="I875" s="66" t="s">
        <v>10</v>
      </c>
      <c r="J875" s="82" t="s">
        <v>60</v>
      </c>
      <c r="K875" s="67">
        <v>10000</v>
      </c>
      <c r="L875" s="82">
        <f t="shared" ref="L875:L938" si="58">+N875+R875+T875*10.2+V875*10.2</f>
        <v>0</v>
      </c>
      <c r="M875" s="67">
        <v>10000</v>
      </c>
      <c r="N875" s="82"/>
      <c r="O875" s="82">
        <f t="shared" si="56"/>
        <v>0</v>
      </c>
      <c r="P875" s="82">
        <f t="shared" si="57"/>
        <v>0</v>
      </c>
      <c r="Q875" s="67"/>
      <c r="R875" s="82"/>
      <c r="S875" s="67"/>
      <c r="T875" s="82"/>
      <c r="U875" s="67"/>
      <c r="V875" s="82"/>
      <c r="W875" s="82"/>
      <c r="X875" s="82"/>
      <c r="Y875" s="68">
        <v>15</v>
      </c>
      <c r="Z875" s="82"/>
      <c r="AA875" s="69">
        <v>44531</v>
      </c>
      <c r="AB875" s="74"/>
      <c r="AC875" s="75"/>
      <c r="AD875" s="70" t="s">
        <v>477</v>
      </c>
    </row>
    <row r="876" spans="1:30" s="76" customFormat="1" ht="37.5">
      <c r="A876" s="82">
        <f>+SUBTOTAL(3,$B$7:B876)</f>
        <v>870</v>
      </c>
      <c r="B876" s="82" t="s">
        <v>444</v>
      </c>
      <c r="C876" s="82" t="s">
        <v>111</v>
      </c>
      <c r="D876" s="66" t="s">
        <v>360</v>
      </c>
      <c r="E876" s="82">
        <v>3</v>
      </c>
      <c r="F876" s="67">
        <v>206157830</v>
      </c>
      <c r="G876" s="66" t="s">
        <v>1658</v>
      </c>
      <c r="H876" s="66" t="s">
        <v>136</v>
      </c>
      <c r="I876" s="66" t="s">
        <v>9</v>
      </c>
      <c r="J876" s="82" t="s">
        <v>36</v>
      </c>
      <c r="K876" s="67">
        <v>1200</v>
      </c>
      <c r="L876" s="82">
        <f t="shared" si="58"/>
        <v>1200</v>
      </c>
      <c r="M876" s="67">
        <v>200</v>
      </c>
      <c r="N876" s="82">
        <v>243</v>
      </c>
      <c r="O876" s="82">
        <f t="shared" si="56"/>
        <v>1000</v>
      </c>
      <c r="P876" s="82">
        <f t="shared" si="57"/>
        <v>957</v>
      </c>
      <c r="Q876" s="67">
        <v>1000</v>
      </c>
      <c r="R876" s="82">
        <v>957</v>
      </c>
      <c r="S876" s="67"/>
      <c r="T876" s="82"/>
      <c r="U876" s="67"/>
      <c r="V876" s="82"/>
      <c r="W876" s="82"/>
      <c r="X876" s="82"/>
      <c r="Y876" s="68">
        <v>2</v>
      </c>
      <c r="Z876" s="82">
        <v>2</v>
      </c>
      <c r="AA876" s="69">
        <v>44166</v>
      </c>
      <c r="AB876" s="74">
        <v>44095</v>
      </c>
      <c r="AC876" s="75" t="s">
        <v>1960</v>
      </c>
      <c r="AD876" s="70" t="s">
        <v>445</v>
      </c>
    </row>
    <row r="877" spans="1:30" s="76" customFormat="1" ht="37.5">
      <c r="A877" s="82">
        <f>+SUBTOTAL(3,$B$7:B877)</f>
        <v>871</v>
      </c>
      <c r="B877" s="82" t="s">
        <v>444</v>
      </c>
      <c r="C877" s="82" t="s">
        <v>111</v>
      </c>
      <c r="D877" s="66" t="s">
        <v>360</v>
      </c>
      <c r="E877" s="82">
        <v>2</v>
      </c>
      <c r="F877" s="67">
        <v>303028547</v>
      </c>
      <c r="G877" s="66" t="s">
        <v>1659</v>
      </c>
      <c r="H877" s="66" t="s">
        <v>380</v>
      </c>
      <c r="I877" s="66" t="s">
        <v>9</v>
      </c>
      <c r="J877" s="82" t="s">
        <v>40</v>
      </c>
      <c r="K877" s="67">
        <v>800</v>
      </c>
      <c r="L877" s="82">
        <f t="shared" si="58"/>
        <v>895</v>
      </c>
      <c r="M877" s="67">
        <v>300</v>
      </c>
      <c r="N877" s="82">
        <v>300</v>
      </c>
      <c r="O877" s="82">
        <f t="shared" si="56"/>
        <v>500</v>
      </c>
      <c r="P877" s="82">
        <f t="shared" si="57"/>
        <v>595</v>
      </c>
      <c r="Q877" s="67">
        <v>500</v>
      </c>
      <c r="R877" s="82">
        <v>595</v>
      </c>
      <c r="S877" s="67"/>
      <c r="T877" s="82"/>
      <c r="U877" s="67"/>
      <c r="V877" s="82"/>
      <c r="W877" s="82"/>
      <c r="X877" s="82"/>
      <c r="Y877" s="68">
        <v>5</v>
      </c>
      <c r="Z877" s="82">
        <v>3</v>
      </c>
      <c r="AA877" s="18">
        <v>44499</v>
      </c>
      <c r="AB877" s="74">
        <v>44130</v>
      </c>
      <c r="AC877" s="75" t="s">
        <v>1931</v>
      </c>
      <c r="AD877" s="70" t="s">
        <v>3</v>
      </c>
    </row>
    <row r="878" spans="1:30" s="76" customFormat="1" ht="37.5">
      <c r="A878" s="82">
        <f>+SUBTOTAL(3,$B$7:B878)</f>
        <v>872</v>
      </c>
      <c r="B878" s="82" t="s">
        <v>444</v>
      </c>
      <c r="C878" s="82" t="s">
        <v>111</v>
      </c>
      <c r="D878" s="66" t="s">
        <v>360</v>
      </c>
      <c r="E878" s="82">
        <v>1</v>
      </c>
      <c r="F878" s="67">
        <v>306499316</v>
      </c>
      <c r="G878" s="66" t="s">
        <v>1660</v>
      </c>
      <c r="H878" s="66" t="s">
        <v>141</v>
      </c>
      <c r="I878" s="66" t="s">
        <v>9</v>
      </c>
      <c r="J878" s="82" t="s">
        <v>40</v>
      </c>
      <c r="K878" s="67">
        <v>500</v>
      </c>
      <c r="L878" s="82">
        <f t="shared" si="58"/>
        <v>120</v>
      </c>
      <c r="M878" s="67">
        <v>200</v>
      </c>
      <c r="N878" s="82"/>
      <c r="O878" s="82">
        <f t="shared" si="56"/>
        <v>300</v>
      </c>
      <c r="P878" s="82">
        <f t="shared" si="57"/>
        <v>120</v>
      </c>
      <c r="Q878" s="67">
        <v>300</v>
      </c>
      <c r="R878" s="82">
        <v>120</v>
      </c>
      <c r="S878" s="67"/>
      <c r="T878" s="82"/>
      <c r="U878" s="67"/>
      <c r="V878" s="82"/>
      <c r="W878" s="82"/>
      <c r="X878" s="82"/>
      <c r="Y878" s="68">
        <v>4</v>
      </c>
      <c r="Z878" s="82"/>
      <c r="AA878" s="18">
        <v>44317</v>
      </c>
      <c r="AB878" s="74"/>
      <c r="AC878" s="75"/>
      <c r="AD878" s="70" t="s">
        <v>3</v>
      </c>
    </row>
    <row r="879" spans="1:30" s="76" customFormat="1" ht="37.5">
      <c r="A879" s="82">
        <f>+SUBTOTAL(3,$B$7:B879)</f>
        <v>873</v>
      </c>
      <c r="B879" s="82" t="s">
        <v>444</v>
      </c>
      <c r="C879" s="82" t="s">
        <v>111</v>
      </c>
      <c r="D879" s="66" t="s">
        <v>360</v>
      </c>
      <c r="E879" s="82">
        <v>4</v>
      </c>
      <c r="F879" s="67" t="s">
        <v>2095</v>
      </c>
      <c r="G879" s="66" t="s">
        <v>1661</v>
      </c>
      <c r="H879" s="66" t="s">
        <v>1662</v>
      </c>
      <c r="I879" s="66" t="s">
        <v>10</v>
      </c>
      <c r="J879" s="82" t="s">
        <v>30</v>
      </c>
      <c r="K879" s="67">
        <v>300</v>
      </c>
      <c r="L879" s="82">
        <f t="shared" si="58"/>
        <v>0</v>
      </c>
      <c r="M879" s="67">
        <v>100</v>
      </c>
      <c r="N879" s="82"/>
      <c r="O879" s="82">
        <f t="shared" si="56"/>
        <v>200</v>
      </c>
      <c r="P879" s="82">
        <f t="shared" si="57"/>
        <v>0</v>
      </c>
      <c r="Q879" s="67">
        <v>200</v>
      </c>
      <c r="R879" s="82"/>
      <c r="S879" s="67"/>
      <c r="T879" s="82"/>
      <c r="U879" s="67"/>
      <c r="V879" s="82"/>
      <c r="W879" s="82"/>
      <c r="X879" s="82"/>
      <c r="Y879" s="68">
        <v>3</v>
      </c>
      <c r="Z879" s="82"/>
      <c r="AA879" s="18">
        <v>44531</v>
      </c>
      <c r="AB879" s="74"/>
      <c r="AC879" s="75"/>
      <c r="AD879" s="70" t="s">
        <v>445</v>
      </c>
    </row>
    <row r="880" spans="1:30" s="76" customFormat="1" ht="37.5">
      <c r="A880" s="82">
        <f>+SUBTOTAL(3,$B$7:B880)</f>
        <v>874</v>
      </c>
      <c r="B880" s="82" t="s">
        <v>444</v>
      </c>
      <c r="C880" s="82" t="s">
        <v>111</v>
      </c>
      <c r="D880" s="66" t="s">
        <v>360</v>
      </c>
      <c r="E880" s="82">
        <v>2</v>
      </c>
      <c r="F880" s="67">
        <v>305717313</v>
      </c>
      <c r="G880" s="66" t="s">
        <v>1663</v>
      </c>
      <c r="H880" s="66" t="s">
        <v>1664</v>
      </c>
      <c r="I880" s="66" t="s">
        <v>9</v>
      </c>
      <c r="J880" s="82" t="s">
        <v>40</v>
      </c>
      <c r="K880" s="67">
        <v>1100</v>
      </c>
      <c r="L880" s="82">
        <f t="shared" si="58"/>
        <v>350</v>
      </c>
      <c r="M880" s="67">
        <v>600</v>
      </c>
      <c r="N880" s="82"/>
      <c r="O880" s="82">
        <f t="shared" si="56"/>
        <v>500</v>
      </c>
      <c r="P880" s="82">
        <f t="shared" si="57"/>
        <v>350</v>
      </c>
      <c r="Q880" s="67">
        <v>500</v>
      </c>
      <c r="R880" s="82">
        <v>350</v>
      </c>
      <c r="S880" s="67"/>
      <c r="T880" s="82"/>
      <c r="U880" s="67"/>
      <c r="V880" s="82"/>
      <c r="W880" s="82"/>
      <c r="X880" s="82"/>
      <c r="Y880" s="68">
        <v>4</v>
      </c>
      <c r="Z880" s="82"/>
      <c r="AA880" s="18">
        <v>44287</v>
      </c>
      <c r="AB880" s="74"/>
      <c r="AC880" s="75"/>
      <c r="AD880" s="70" t="s">
        <v>3</v>
      </c>
    </row>
    <row r="881" spans="1:30" s="76" customFormat="1" ht="37.5">
      <c r="A881" s="82">
        <f>+SUBTOTAL(3,$B$7:B881)</f>
        <v>875</v>
      </c>
      <c r="B881" s="82" t="s">
        <v>444</v>
      </c>
      <c r="C881" s="82" t="s">
        <v>111</v>
      </c>
      <c r="D881" s="66" t="s">
        <v>360</v>
      </c>
      <c r="E881" s="82">
        <v>2</v>
      </c>
      <c r="F881" s="67">
        <v>307245773</v>
      </c>
      <c r="G881" s="66" t="s">
        <v>1665</v>
      </c>
      <c r="H881" s="66" t="s">
        <v>1666</v>
      </c>
      <c r="I881" s="66" t="s">
        <v>9</v>
      </c>
      <c r="J881" s="82" t="s">
        <v>38</v>
      </c>
      <c r="K881" s="67">
        <v>4500</v>
      </c>
      <c r="L881" s="82">
        <f t="shared" si="58"/>
        <v>0</v>
      </c>
      <c r="M881" s="67">
        <v>1000</v>
      </c>
      <c r="N881" s="82"/>
      <c r="O881" s="82">
        <f t="shared" si="56"/>
        <v>3500</v>
      </c>
      <c r="P881" s="82">
        <f t="shared" si="57"/>
        <v>0</v>
      </c>
      <c r="Q881" s="67">
        <v>3500</v>
      </c>
      <c r="R881" s="82"/>
      <c r="S881" s="67"/>
      <c r="T881" s="82"/>
      <c r="U881" s="67"/>
      <c r="V881" s="82"/>
      <c r="W881" s="82"/>
      <c r="X881" s="82"/>
      <c r="Y881" s="68">
        <v>60</v>
      </c>
      <c r="Z881" s="82"/>
      <c r="AA881" s="69">
        <v>44835</v>
      </c>
      <c r="AB881" s="74"/>
      <c r="AC881" s="75"/>
      <c r="AD881" s="70" t="s">
        <v>0</v>
      </c>
    </row>
    <row r="882" spans="1:30" s="76" customFormat="1" ht="56.25">
      <c r="A882" s="82">
        <f>+SUBTOTAL(3,$B$7:B882)</f>
        <v>876</v>
      </c>
      <c r="B882" s="82" t="s">
        <v>444</v>
      </c>
      <c r="C882" s="82" t="s">
        <v>111</v>
      </c>
      <c r="D882" s="66" t="s">
        <v>360</v>
      </c>
      <c r="E882" s="82">
        <v>2</v>
      </c>
      <c r="F882" s="67">
        <v>205175374</v>
      </c>
      <c r="G882" s="66" t="s">
        <v>1667</v>
      </c>
      <c r="H882" s="66" t="s">
        <v>1668</v>
      </c>
      <c r="I882" s="66" t="s">
        <v>6</v>
      </c>
      <c r="J882" s="82" t="s">
        <v>12</v>
      </c>
      <c r="K882" s="67">
        <v>51100</v>
      </c>
      <c r="L882" s="82">
        <f t="shared" si="58"/>
        <v>0</v>
      </c>
      <c r="M882" s="67">
        <v>30500</v>
      </c>
      <c r="N882" s="82"/>
      <c r="O882" s="82">
        <f t="shared" si="56"/>
        <v>20400</v>
      </c>
      <c r="P882" s="82">
        <f t="shared" si="57"/>
        <v>0</v>
      </c>
      <c r="Q882" s="67"/>
      <c r="R882" s="82"/>
      <c r="S882" s="67">
        <v>2000</v>
      </c>
      <c r="T882" s="82"/>
      <c r="U882" s="67"/>
      <c r="V882" s="82"/>
      <c r="W882" s="82"/>
      <c r="X882" s="82"/>
      <c r="Y882" s="68">
        <v>200</v>
      </c>
      <c r="Z882" s="82"/>
      <c r="AA882" s="69">
        <v>44621</v>
      </c>
      <c r="AB882" s="74"/>
      <c r="AC882" s="75"/>
      <c r="AD882" s="70" t="s">
        <v>543</v>
      </c>
    </row>
    <row r="883" spans="1:30" s="76" customFormat="1" ht="37.5">
      <c r="A883" s="82">
        <f>+SUBTOTAL(3,$B$7:B883)</f>
        <v>877</v>
      </c>
      <c r="B883" s="82" t="s">
        <v>444</v>
      </c>
      <c r="C883" s="82" t="s">
        <v>111</v>
      </c>
      <c r="D883" s="66" t="s">
        <v>360</v>
      </c>
      <c r="E883" s="82">
        <v>4</v>
      </c>
      <c r="F883" s="67">
        <v>306338697</v>
      </c>
      <c r="G883" s="66" t="s">
        <v>1669</v>
      </c>
      <c r="H883" s="66" t="s">
        <v>1670</v>
      </c>
      <c r="I883" s="66" t="s">
        <v>6</v>
      </c>
      <c r="J883" s="82" t="s">
        <v>12</v>
      </c>
      <c r="K883" s="67">
        <v>1540</v>
      </c>
      <c r="L883" s="82">
        <f t="shared" si="58"/>
        <v>1540</v>
      </c>
      <c r="M883" s="67">
        <v>1540</v>
      </c>
      <c r="N883" s="82">
        <v>560</v>
      </c>
      <c r="O883" s="82">
        <f t="shared" si="56"/>
        <v>0</v>
      </c>
      <c r="P883" s="82">
        <f t="shared" si="57"/>
        <v>980</v>
      </c>
      <c r="Q883" s="67"/>
      <c r="R883" s="82">
        <v>980</v>
      </c>
      <c r="S883" s="67"/>
      <c r="T883" s="82"/>
      <c r="U883" s="67"/>
      <c r="V883" s="82"/>
      <c r="W883" s="82"/>
      <c r="X883" s="82"/>
      <c r="Y883" s="68">
        <v>8</v>
      </c>
      <c r="Z883" s="82">
        <v>6</v>
      </c>
      <c r="AA883" s="69">
        <v>44166</v>
      </c>
      <c r="AB883" s="74">
        <v>44084</v>
      </c>
      <c r="AC883" s="75" t="s">
        <v>1932</v>
      </c>
      <c r="AD883" s="70" t="s">
        <v>445</v>
      </c>
    </row>
    <row r="884" spans="1:30" s="76" customFormat="1" ht="37.5">
      <c r="A884" s="82">
        <f>+SUBTOTAL(3,$B$7:B884)</f>
        <v>878</v>
      </c>
      <c r="B884" s="82" t="s">
        <v>444</v>
      </c>
      <c r="C884" s="82" t="s">
        <v>111</v>
      </c>
      <c r="D884" s="66" t="s">
        <v>360</v>
      </c>
      <c r="E884" s="82">
        <v>2</v>
      </c>
      <c r="F884" s="67">
        <v>302664880</v>
      </c>
      <c r="G884" s="66" t="s">
        <v>366</v>
      </c>
      <c r="H884" s="66" t="s">
        <v>367</v>
      </c>
      <c r="I884" s="66" t="s">
        <v>10</v>
      </c>
      <c r="J884" s="82" t="s">
        <v>60</v>
      </c>
      <c r="K884" s="67">
        <v>500</v>
      </c>
      <c r="L884" s="82">
        <f t="shared" si="58"/>
        <v>0</v>
      </c>
      <c r="M884" s="67">
        <v>200</v>
      </c>
      <c r="N884" s="82"/>
      <c r="O884" s="82">
        <f t="shared" si="56"/>
        <v>300</v>
      </c>
      <c r="P884" s="82">
        <f t="shared" si="57"/>
        <v>0</v>
      </c>
      <c r="Q884" s="67">
        <v>300</v>
      </c>
      <c r="R884" s="82"/>
      <c r="S884" s="67">
        <v>0</v>
      </c>
      <c r="T884" s="82"/>
      <c r="U884" s="67">
        <v>0</v>
      </c>
      <c r="V884" s="82"/>
      <c r="W884" s="82"/>
      <c r="X884" s="82"/>
      <c r="Y884" s="68">
        <v>4</v>
      </c>
      <c r="Z884" s="82"/>
      <c r="AA884" s="18">
        <v>44440</v>
      </c>
      <c r="AB884" s="74"/>
      <c r="AC884" s="75"/>
      <c r="AD884" s="70" t="s">
        <v>7</v>
      </c>
    </row>
    <row r="885" spans="1:30" s="76" customFormat="1" ht="56.25">
      <c r="A885" s="82">
        <f>+SUBTOTAL(3,$B$7:B885)</f>
        <v>879</v>
      </c>
      <c r="B885" s="82" t="s">
        <v>444</v>
      </c>
      <c r="C885" s="82" t="s">
        <v>111</v>
      </c>
      <c r="D885" s="66" t="s">
        <v>360</v>
      </c>
      <c r="E885" s="82">
        <v>4</v>
      </c>
      <c r="F885" s="67">
        <v>203347865</v>
      </c>
      <c r="G885" s="66" t="s">
        <v>372</v>
      </c>
      <c r="H885" s="66" t="s">
        <v>373</v>
      </c>
      <c r="I885" s="66" t="s">
        <v>6</v>
      </c>
      <c r="J885" s="82" t="s">
        <v>12</v>
      </c>
      <c r="K885" s="67">
        <v>13300</v>
      </c>
      <c r="L885" s="82">
        <f t="shared" si="58"/>
        <v>0</v>
      </c>
      <c r="M885" s="67">
        <v>3000</v>
      </c>
      <c r="N885" s="82"/>
      <c r="O885" s="82">
        <f t="shared" si="56"/>
        <v>10200</v>
      </c>
      <c r="P885" s="82">
        <f t="shared" si="57"/>
        <v>0</v>
      </c>
      <c r="Q885" s="67"/>
      <c r="R885" s="82"/>
      <c r="S885" s="67">
        <v>1000</v>
      </c>
      <c r="T885" s="82"/>
      <c r="U885" s="67"/>
      <c r="V885" s="82"/>
      <c r="W885" s="82"/>
      <c r="X885" s="82"/>
      <c r="Y885" s="68">
        <v>15</v>
      </c>
      <c r="Z885" s="82"/>
      <c r="AA885" s="69">
        <v>44531</v>
      </c>
      <c r="AB885" s="74"/>
      <c r="AC885" s="75"/>
      <c r="AD885" s="70" t="s">
        <v>7</v>
      </c>
    </row>
    <row r="886" spans="1:30" s="76" customFormat="1" ht="37.5">
      <c r="A886" s="82">
        <f>+SUBTOTAL(3,$B$7:B886)</f>
        <v>880</v>
      </c>
      <c r="B886" s="82" t="s">
        <v>444</v>
      </c>
      <c r="C886" s="82" t="s">
        <v>111</v>
      </c>
      <c r="D886" s="66" t="s">
        <v>360</v>
      </c>
      <c r="E886" s="82">
        <v>2</v>
      </c>
      <c r="F886" s="67">
        <v>307169345</v>
      </c>
      <c r="G886" s="66" t="s">
        <v>1671</v>
      </c>
      <c r="H886" s="66" t="s">
        <v>379</v>
      </c>
      <c r="I886" s="66" t="s">
        <v>6</v>
      </c>
      <c r="J886" s="82" t="s">
        <v>11</v>
      </c>
      <c r="K886" s="67">
        <v>2560</v>
      </c>
      <c r="L886" s="82">
        <f t="shared" si="58"/>
        <v>2550</v>
      </c>
      <c r="M886" s="67">
        <v>500</v>
      </c>
      <c r="N886" s="82"/>
      <c r="O886" s="82">
        <f t="shared" si="56"/>
        <v>2039.9999999999998</v>
      </c>
      <c r="P886" s="82">
        <f t="shared" si="57"/>
        <v>2550</v>
      </c>
      <c r="Q886" s="67"/>
      <c r="R886" s="82"/>
      <c r="S886" s="67">
        <v>200</v>
      </c>
      <c r="T886" s="82">
        <v>250</v>
      </c>
      <c r="U886" s="67"/>
      <c r="V886" s="82"/>
      <c r="W886" s="82"/>
      <c r="X886" s="82"/>
      <c r="Y886" s="68">
        <v>6</v>
      </c>
      <c r="Z886" s="82"/>
      <c r="AA886" s="18">
        <v>44531</v>
      </c>
      <c r="AB886" s="74"/>
      <c r="AC886" s="75"/>
      <c r="AD886" s="70" t="s">
        <v>7</v>
      </c>
    </row>
    <row r="887" spans="1:30" s="76" customFormat="1" ht="37.5">
      <c r="A887" s="82">
        <f>+SUBTOTAL(3,$B$7:B887)</f>
        <v>881</v>
      </c>
      <c r="B887" s="82" t="s">
        <v>444</v>
      </c>
      <c r="C887" s="82" t="s">
        <v>111</v>
      </c>
      <c r="D887" s="66" t="s">
        <v>360</v>
      </c>
      <c r="E887" s="82">
        <v>1</v>
      </c>
      <c r="F887" s="67">
        <v>532390094</v>
      </c>
      <c r="G887" s="66" t="s">
        <v>1672</v>
      </c>
      <c r="H887" s="66" t="s">
        <v>154</v>
      </c>
      <c r="I887" s="66" t="s">
        <v>6</v>
      </c>
      <c r="J887" s="82" t="s">
        <v>13</v>
      </c>
      <c r="K887" s="67">
        <v>300</v>
      </c>
      <c r="L887" s="82">
        <f t="shared" si="58"/>
        <v>300</v>
      </c>
      <c r="M887" s="67">
        <v>100</v>
      </c>
      <c r="N887" s="82">
        <v>100</v>
      </c>
      <c r="O887" s="82">
        <f t="shared" si="56"/>
        <v>200</v>
      </c>
      <c r="P887" s="82">
        <f t="shared" si="57"/>
        <v>200</v>
      </c>
      <c r="Q887" s="67">
        <v>200</v>
      </c>
      <c r="R887" s="82">
        <v>200</v>
      </c>
      <c r="S887" s="67"/>
      <c r="T887" s="82"/>
      <c r="U887" s="67"/>
      <c r="V887" s="82"/>
      <c r="W887" s="82"/>
      <c r="X887" s="82"/>
      <c r="Y887" s="68">
        <v>5</v>
      </c>
      <c r="Z887" s="82">
        <v>2</v>
      </c>
      <c r="AA887" s="69">
        <v>44228</v>
      </c>
      <c r="AB887" s="74">
        <v>44113</v>
      </c>
      <c r="AC887" s="75" t="s">
        <v>1933</v>
      </c>
      <c r="AD887" s="70" t="s">
        <v>7</v>
      </c>
    </row>
    <row r="888" spans="1:30" s="76" customFormat="1" ht="37.5">
      <c r="A888" s="82">
        <f>+SUBTOTAL(3,$B$7:B888)</f>
        <v>882</v>
      </c>
      <c r="B888" s="82" t="s">
        <v>444</v>
      </c>
      <c r="C888" s="82" t="s">
        <v>111</v>
      </c>
      <c r="D888" s="66" t="s">
        <v>360</v>
      </c>
      <c r="E888" s="82">
        <v>1</v>
      </c>
      <c r="F888" s="67">
        <v>307566438</v>
      </c>
      <c r="G888" s="66" t="s">
        <v>1673</v>
      </c>
      <c r="H888" s="66" t="s">
        <v>136</v>
      </c>
      <c r="I888" s="66" t="s">
        <v>9</v>
      </c>
      <c r="J888" s="82" t="s">
        <v>36</v>
      </c>
      <c r="K888" s="67">
        <v>3500</v>
      </c>
      <c r="L888" s="82">
        <f t="shared" si="58"/>
        <v>1100</v>
      </c>
      <c r="M888" s="67">
        <v>1000</v>
      </c>
      <c r="N888" s="82"/>
      <c r="O888" s="82">
        <f t="shared" si="56"/>
        <v>2500</v>
      </c>
      <c r="P888" s="82">
        <f t="shared" si="57"/>
        <v>1100</v>
      </c>
      <c r="Q888" s="67">
        <v>2500</v>
      </c>
      <c r="R888" s="82">
        <v>1100</v>
      </c>
      <c r="S888" s="67"/>
      <c r="T888" s="82"/>
      <c r="U888" s="67"/>
      <c r="V888" s="82"/>
      <c r="W888" s="82"/>
      <c r="X888" s="82"/>
      <c r="Y888" s="68">
        <v>15</v>
      </c>
      <c r="Z888" s="82"/>
      <c r="AA888" s="18">
        <v>44531</v>
      </c>
      <c r="AB888" s="74"/>
      <c r="AC888" s="75"/>
      <c r="AD888" s="70" t="s">
        <v>7</v>
      </c>
    </row>
    <row r="889" spans="1:30" s="76" customFormat="1" ht="37.5">
      <c r="A889" s="82">
        <f>+SUBTOTAL(3,$B$7:B889)</f>
        <v>883</v>
      </c>
      <c r="B889" s="82" t="s">
        <v>444</v>
      </c>
      <c r="C889" s="82" t="s">
        <v>111</v>
      </c>
      <c r="D889" s="66" t="s">
        <v>360</v>
      </c>
      <c r="E889" s="82">
        <v>4</v>
      </c>
      <c r="F889" s="67">
        <v>307362454</v>
      </c>
      <c r="G889" s="66" t="s">
        <v>1674</v>
      </c>
      <c r="H889" s="66" t="s">
        <v>1675</v>
      </c>
      <c r="I889" s="66" t="s">
        <v>6</v>
      </c>
      <c r="J889" s="82" t="s">
        <v>12</v>
      </c>
      <c r="K889" s="67">
        <v>3000</v>
      </c>
      <c r="L889" s="82">
        <f t="shared" si="58"/>
        <v>0</v>
      </c>
      <c r="M889" s="67">
        <v>2500</v>
      </c>
      <c r="N889" s="82"/>
      <c r="O889" s="82">
        <f t="shared" si="56"/>
        <v>500</v>
      </c>
      <c r="P889" s="82">
        <f t="shared" si="57"/>
        <v>0</v>
      </c>
      <c r="Q889" s="67">
        <v>500</v>
      </c>
      <c r="R889" s="82"/>
      <c r="S889" s="67"/>
      <c r="T889" s="82"/>
      <c r="U889" s="67"/>
      <c r="V889" s="82"/>
      <c r="W889" s="82"/>
      <c r="X889" s="82"/>
      <c r="Y889" s="68">
        <v>10</v>
      </c>
      <c r="Z889" s="82"/>
      <c r="AA889" s="69">
        <v>44348</v>
      </c>
      <c r="AB889" s="74"/>
      <c r="AC889" s="75"/>
      <c r="AD889" s="70" t="s">
        <v>453</v>
      </c>
    </row>
    <row r="890" spans="1:30" s="76" customFormat="1" ht="37.5">
      <c r="A890" s="82">
        <f>+SUBTOTAL(3,$B$7:B890)</f>
        <v>884</v>
      </c>
      <c r="B890" s="82" t="s">
        <v>444</v>
      </c>
      <c r="C890" s="82" t="s">
        <v>111</v>
      </c>
      <c r="D890" s="66" t="s">
        <v>360</v>
      </c>
      <c r="E890" s="82">
        <v>2</v>
      </c>
      <c r="F890" s="67">
        <v>306854318</v>
      </c>
      <c r="G890" s="66" t="s">
        <v>1676</v>
      </c>
      <c r="H890" s="66" t="s">
        <v>114</v>
      </c>
      <c r="I890" s="66" t="s">
        <v>6</v>
      </c>
      <c r="J890" s="82" t="s">
        <v>13</v>
      </c>
      <c r="K890" s="67">
        <v>1700</v>
      </c>
      <c r="L890" s="82">
        <f t="shared" si="58"/>
        <v>0</v>
      </c>
      <c r="M890" s="67">
        <v>500</v>
      </c>
      <c r="N890" s="82"/>
      <c r="O890" s="82">
        <f t="shared" si="56"/>
        <v>1200</v>
      </c>
      <c r="P890" s="82">
        <f t="shared" si="57"/>
        <v>0</v>
      </c>
      <c r="Q890" s="67">
        <v>1200</v>
      </c>
      <c r="R890" s="82"/>
      <c r="S890" s="67"/>
      <c r="T890" s="82"/>
      <c r="U890" s="67"/>
      <c r="V890" s="82"/>
      <c r="W890" s="82"/>
      <c r="X890" s="82"/>
      <c r="Y890" s="68">
        <v>10</v>
      </c>
      <c r="Z890" s="82"/>
      <c r="AA890" s="18">
        <v>44531</v>
      </c>
      <c r="AB890" s="74"/>
      <c r="AC890" s="75"/>
      <c r="AD890" s="70" t="s">
        <v>445</v>
      </c>
    </row>
    <row r="891" spans="1:30" s="76" customFormat="1" ht="37.5">
      <c r="A891" s="82">
        <f>+SUBTOTAL(3,$B$7:B891)</f>
        <v>885</v>
      </c>
      <c r="B891" s="82" t="s">
        <v>444</v>
      </c>
      <c r="C891" s="82" t="s">
        <v>111</v>
      </c>
      <c r="D891" s="66" t="s">
        <v>360</v>
      </c>
      <c r="E891" s="82">
        <v>2</v>
      </c>
      <c r="F891" s="67">
        <v>204771552</v>
      </c>
      <c r="G891" s="66" t="s">
        <v>1677</v>
      </c>
      <c r="H891" s="66" t="s">
        <v>166</v>
      </c>
      <c r="I891" s="66" t="s">
        <v>6</v>
      </c>
      <c r="J891" s="82" t="s">
        <v>12</v>
      </c>
      <c r="K891" s="67">
        <v>2000</v>
      </c>
      <c r="L891" s="82">
        <f t="shared" si="58"/>
        <v>2200</v>
      </c>
      <c r="M891" s="67">
        <v>800</v>
      </c>
      <c r="N891" s="82">
        <v>1000</v>
      </c>
      <c r="O891" s="82">
        <f t="shared" si="56"/>
        <v>1200</v>
      </c>
      <c r="P891" s="82">
        <f t="shared" si="57"/>
        <v>1200</v>
      </c>
      <c r="Q891" s="67">
        <v>1200</v>
      </c>
      <c r="R891" s="82">
        <v>1200</v>
      </c>
      <c r="S891" s="67"/>
      <c r="T891" s="82"/>
      <c r="U891" s="67"/>
      <c r="V891" s="82"/>
      <c r="W891" s="82"/>
      <c r="X891" s="82"/>
      <c r="Y891" s="68">
        <v>20</v>
      </c>
      <c r="Z891" s="82">
        <v>12</v>
      </c>
      <c r="AA891" s="69">
        <v>44531</v>
      </c>
      <c r="AB891" s="74">
        <v>44084</v>
      </c>
      <c r="AC891" s="75" t="s">
        <v>1934</v>
      </c>
      <c r="AD891" s="70" t="s">
        <v>7</v>
      </c>
    </row>
    <row r="892" spans="1:30" s="76" customFormat="1" ht="37.5">
      <c r="A892" s="82">
        <f>+SUBTOTAL(3,$B$7:B892)</f>
        <v>886</v>
      </c>
      <c r="B892" s="82" t="s">
        <v>444</v>
      </c>
      <c r="C892" s="82" t="s">
        <v>111</v>
      </c>
      <c r="D892" s="66" t="s">
        <v>381</v>
      </c>
      <c r="E892" s="82">
        <v>2</v>
      </c>
      <c r="F892" s="67">
        <v>306653615</v>
      </c>
      <c r="G892" s="66" t="s">
        <v>1678</v>
      </c>
      <c r="H892" s="66" t="s">
        <v>1679</v>
      </c>
      <c r="I892" s="66" t="s">
        <v>10</v>
      </c>
      <c r="J892" s="82" t="s">
        <v>30</v>
      </c>
      <c r="K892" s="67">
        <v>1000</v>
      </c>
      <c r="L892" s="82">
        <f t="shared" si="58"/>
        <v>250</v>
      </c>
      <c r="M892" s="67">
        <v>750</v>
      </c>
      <c r="N892" s="82"/>
      <c r="O892" s="82">
        <f t="shared" si="56"/>
        <v>250</v>
      </c>
      <c r="P892" s="82">
        <f t="shared" si="57"/>
        <v>250</v>
      </c>
      <c r="Q892" s="67">
        <v>250</v>
      </c>
      <c r="R892" s="82">
        <v>250</v>
      </c>
      <c r="S892" s="67"/>
      <c r="T892" s="82"/>
      <c r="U892" s="67"/>
      <c r="V892" s="82"/>
      <c r="W892" s="82"/>
      <c r="X892" s="82"/>
      <c r="Y892" s="68">
        <v>8</v>
      </c>
      <c r="Z892" s="82"/>
      <c r="AA892" s="18">
        <v>44560</v>
      </c>
      <c r="AB892" s="74"/>
      <c r="AC892" s="75"/>
      <c r="AD892" s="70" t="s">
        <v>7</v>
      </c>
    </row>
    <row r="893" spans="1:30" s="76" customFormat="1" ht="37.5">
      <c r="A893" s="82">
        <f>+SUBTOTAL(3,$B$7:B893)</f>
        <v>887</v>
      </c>
      <c r="B893" s="82" t="s">
        <v>444</v>
      </c>
      <c r="C893" s="82" t="s">
        <v>111</v>
      </c>
      <c r="D893" s="66" t="s">
        <v>381</v>
      </c>
      <c r="E893" s="82">
        <v>4</v>
      </c>
      <c r="F893" s="67">
        <v>302533244</v>
      </c>
      <c r="G893" s="66" t="s">
        <v>384</v>
      </c>
      <c r="H893" s="66" t="s">
        <v>385</v>
      </c>
      <c r="I893" s="66" t="s">
        <v>10</v>
      </c>
      <c r="J893" s="82" t="s">
        <v>30</v>
      </c>
      <c r="K893" s="67">
        <v>800</v>
      </c>
      <c r="L893" s="82">
        <f t="shared" si="58"/>
        <v>0</v>
      </c>
      <c r="M893" s="67">
        <v>800</v>
      </c>
      <c r="N893" s="82"/>
      <c r="O893" s="82">
        <f t="shared" si="56"/>
        <v>0</v>
      </c>
      <c r="P893" s="82">
        <f t="shared" si="57"/>
        <v>0</v>
      </c>
      <c r="Q893" s="67"/>
      <c r="R893" s="82"/>
      <c r="S893" s="67"/>
      <c r="T893" s="82"/>
      <c r="U893" s="67">
        <v>0</v>
      </c>
      <c r="V893" s="82"/>
      <c r="W893" s="82"/>
      <c r="X893" s="82"/>
      <c r="Y893" s="68">
        <v>6</v>
      </c>
      <c r="Z893" s="82"/>
      <c r="AA893" s="69">
        <v>44560</v>
      </c>
      <c r="AB893" s="74"/>
      <c r="AC893" s="75"/>
      <c r="AD893" s="70" t="s">
        <v>477</v>
      </c>
    </row>
    <row r="894" spans="1:30" s="76" customFormat="1" ht="37.5">
      <c r="A894" s="82">
        <f>+SUBTOTAL(3,$B$7:B894)</f>
        <v>888</v>
      </c>
      <c r="B894" s="82" t="s">
        <v>444</v>
      </c>
      <c r="C894" s="82" t="s">
        <v>111</v>
      </c>
      <c r="D894" s="66" t="s">
        <v>381</v>
      </c>
      <c r="E894" s="82">
        <v>4</v>
      </c>
      <c r="F894" s="67">
        <v>201531970</v>
      </c>
      <c r="G894" s="66" t="s">
        <v>1680</v>
      </c>
      <c r="H894" s="66" t="s">
        <v>400</v>
      </c>
      <c r="I894" s="66" t="s">
        <v>10</v>
      </c>
      <c r="J894" s="82" t="s">
        <v>44</v>
      </c>
      <c r="K894" s="67">
        <v>5700</v>
      </c>
      <c r="L894" s="82">
        <f t="shared" si="58"/>
        <v>0</v>
      </c>
      <c r="M894" s="67">
        <v>5700</v>
      </c>
      <c r="N894" s="82"/>
      <c r="O894" s="82">
        <f t="shared" si="56"/>
        <v>0</v>
      </c>
      <c r="P894" s="82">
        <f t="shared" si="57"/>
        <v>0</v>
      </c>
      <c r="Q894" s="67"/>
      <c r="R894" s="82"/>
      <c r="S894" s="67"/>
      <c r="T894" s="82"/>
      <c r="U894" s="67"/>
      <c r="V894" s="82"/>
      <c r="W894" s="82"/>
      <c r="X894" s="82"/>
      <c r="Y894" s="68">
        <v>5</v>
      </c>
      <c r="Z894" s="82"/>
      <c r="AA894" s="69">
        <v>44531</v>
      </c>
      <c r="AB894" s="74"/>
      <c r="AC894" s="75"/>
      <c r="AD894" s="70" t="s">
        <v>477</v>
      </c>
    </row>
    <row r="895" spans="1:30" s="76" customFormat="1" ht="56.25">
      <c r="A895" s="82">
        <f>+SUBTOTAL(3,$B$7:B895)</f>
        <v>889</v>
      </c>
      <c r="B895" s="82" t="s">
        <v>444</v>
      </c>
      <c r="C895" s="82" t="s">
        <v>111</v>
      </c>
      <c r="D895" s="66" t="s">
        <v>381</v>
      </c>
      <c r="E895" s="82">
        <v>4</v>
      </c>
      <c r="F895" s="67">
        <v>305502368</v>
      </c>
      <c r="G895" s="66" t="s">
        <v>1681</v>
      </c>
      <c r="H895" s="66" t="s">
        <v>1682</v>
      </c>
      <c r="I895" s="66" t="s">
        <v>10</v>
      </c>
      <c r="J895" s="82" t="s">
        <v>44</v>
      </c>
      <c r="K895" s="67">
        <v>1500</v>
      </c>
      <c r="L895" s="82">
        <f t="shared" si="58"/>
        <v>500</v>
      </c>
      <c r="M895" s="67">
        <v>500</v>
      </c>
      <c r="N895" s="82"/>
      <c r="O895" s="82">
        <f t="shared" si="56"/>
        <v>1000</v>
      </c>
      <c r="P895" s="82">
        <f t="shared" si="57"/>
        <v>500</v>
      </c>
      <c r="Q895" s="67">
        <v>1000</v>
      </c>
      <c r="R895" s="82">
        <v>500</v>
      </c>
      <c r="S895" s="67"/>
      <c r="T895" s="82"/>
      <c r="U895" s="67"/>
      <c r="V895" s="82"/>
      <c r="W895" s="82"/>
      <c r="X895" s="82"/>
      <c r="Y895" s="68">
        <v>5</v>
      </c>
      <c r="Z895" s="82"/>
      <c r="AA895" s="18">
        <v>44287</v>
      </c>
      <c r="AB895" s="74"/>
      <c r="AC895" s="75"/>
      <c r="AD895" s="70" t="s">
        <v>4</v>
      </c>
    </row>
    <row r="896" spans="1:30" s="76" customFormat="1" ht="37.5">
      <c r="A896" s="82">
        <f>+SUBTOTAL(3,$B$7:B896)</f>
        <v>890</v>
      </c>
      <c r="B896" s="82" t="s">
        <v>444</v>
      </c>
      <c r="C896" s="82" t="s">
        <v>111</v>
      </c>
      <c r="D896" s="66" t="s">
        <v>381</v>
      </c>
      <c r="E896" s="82">
        <v>4</v>
      </c>
      <c r="F896" s="67">
        <v>305591243</v>
      </c>
      <c r="G896" s="66" t="s">
        <v>392</v>
      </c>
      <c r="H896" s="66" t="s">
        <v>145</v>
      </c>
      <c r="I896" s="66" t="s">
        <v>10</v>
      </c>
      <c r="J896" s="82" t="s">
        <v>56</v>
      </c>
      <c r="K896" s="67">
        <v>3187</v>
      </c>
      <c r="L896" s="82">
        <f t="shared" si="58"/>
        <v>2300</v>
      </c>
      <c r="M896" s="67">
        <v>887</v>
      </c>
      <c r="N896" s="82"/>
      <c r="O896" s="82">
        <f t="shared" si="56"/>
        <v>2300</v>
      </c>
      <c r="P896" s="82">
        <f t="shared" si="57"/>
        <v>2300</v>
      </c>
      <c r="Q896" s="67">
        <v>2300</v>
      </c>
      <c r="R896" s="82">
        <v>2300</v>
      </c>
      <c r="S896" s="67">
        <v>0</v>
      </c>
      <c r="T896" s="82"/>
      <c r="U896" s="67">
        <v>0</v>
      </c>
      <c r="V896" s="82"/>
      <c r="W896" s="82"/>
      <c r="X896" s="82"/>
      <c r="Y896" s="68">
        <v>15</v>
      </c>
      <c r="Z896" s="82"/>
      <c r="AA896" s="69">
        <v>44470</v>
      </c>
      <c r="AB896" s="74"/>
      <c r="AC896" s="75"/>
      <c r="AD896" s="70" t="s">
        <v>4</v>
      </c>
    </row>
    <row r="897" spans="1:30" s="76" customFormat="1" ht="37.5">
      <c r="A897" s="82">
        <f>+SUBTOTAL(3,$B$7:B897)</f>
        <v>891</v>
      </c>
      <c r="B897" s="82" t="s">
        <v>444</v>
      </c>
      <c r="C897" s="82" t="s">
        <v>111</v>
      </c>
      <c r="D897" s="66" t="s">
        <v>381</v>
      </c>
      <c r="E897" s="82">
        <v>4</v>
      </c>
      <c r="F897" s="67">
        <v>306337549</v>
      </c>
      <c r="G897" s="66" t="s">
        <v>1683</v>
      </c>
      <c r="H897" s="66" t="s">
        <v>1684</v>
      </c>
      <c r="I897" s="66" t="s">
        <v>6</v>
      </c>
      <c r="J897" s="82" t="s">
        <v>13</v>
      </c>
      <c r="K897" s="67">
        <v>200</v>
      </c>
      <c r="L897" s="82">
        <f t="shared" si="58"/>
        <v>60</v>
      </c>
      <c r="M897" s="67">
        <v>100</v>
      </c>
      <c r="N897" s="82"/>
      <c r="O897" s="82">
        <f t="shared" si="56"/>
        <v>100</v>
      </c>
      <c r="P897" s="82">
        <f t="shared" si="57"/>
        <v>60</v>
      </c>
      <c r="Q897" s="67">
        <v>100</v>
      </c>
      <c r="R897" s="82">
        <v>60</v>
      </c>
      <c r="S897" s="67">
        <v>0</v>
      </c>
      <c r="T897" s="82"/>
      <c r="U897" s="67">
        <v>0</v>
      </c>
      <c r="V897" s="82"/>
      <c r="W897" s="82"/>
      <c r="X897" s="82"/>
      <c r="Y897" s="68">
        <v>4</v>
      </c>
      <c r="Z897" s="82"/>
      <c r="AA897" s="69">
        <v>44287</v>
      </c>
      <c r="AB897" s="74"/>
      <c r="AC897" s="75"/>
      <c r="AD897" s="70" t="s">
        <v>0</v>
      </c>
    </row>
    <row r="898" spans="1:30" s="76" customFormat="1" ht="37.5">
      <c r="A898" s="82">
        <f>+SUBTOTAL(3,$B$7:B898)</f>
        <v>892</v>
      </c>
      <c r="B898" s="82" t="s">
        <v>444</v>
      </c>
      <c r="C898" s="82" t="s">
        <v>111</v>
      </c>
      <c r="D898" s="66" t="s">
        <v>381</v>
      </c>
      <c r="E898" s="82">
        <v>2</v>
      </c>
      <c r="F898" s="67">
        <v>305873224</v>
      </c>
      <c r="G898" s="66" t="s">
        <v>382</v>
      </c>
      <c r="H898" s="66" t="s">
        <v>383</v>
      </c>
      <c r="I898" s="66" t="s">
        <v>10</v>
      </c>
      <c r="J898" s="82" t="s">
        <v>59</v>
      </c>
      <c r="K898" s="67">
        <v>1020</v>
      </c>
      <c r="L898" s="82">
        <f t="shared" si="58"/>
        <v>1000</v>
      </c>
      <c r="M898" s="67">
        <v>1020</v>
      </c>
      <c r="N898" s="82">
        <v>750</v>
      </c>
      <c r="O898" s="82">
        <f t="shared" si="56"/>
        <v>0</v>
      </c>
      <c r="P898" s="82">
        <f t="shared" si="57"/>
        <v>250</v>
      </c>
      <c r="Q898" s="67"/>
      <c r="R898" s="82">
        <v>250</v>
      </c>
      <c r="S898" s="67"/>
      <c r="T898" s="82"/>
      <c r="U898" s="67">
        <v>0</v>
      </c>
      <c r="V898" s="82"/>
      <c r="W898" s="82"/>
      <c r="X898" s="82"/>
      <c r="Y898" s="68">
        <v>10</v>
      </c>
      <c r="Z898" s="82">
        <v>10</v>
      </c>
      <c r="AA898" s="69">
        <v>44531</v>
      </c>
      <c r="AB898" s="74">
        <v>44141</v>
      </c>
      <c r="AC898" s="75" t="s">
        <v>1935</v>
      </c>
      <c r="AD898" s="70" t="s">
        <v>453</v>
      </c>
    </row>
    <row r="899" spans="1:30" s="76" customFormat="1" ht="37.5">
      <c r="A899" s="82">
        <f>+SUBTOTAL(3,$B$7:B899)</f>
        <v>893</v>
      </c>
      <c r="B899" s="82" t="s">
        <v>444</v>
      </c>
      <c r="C899" s="82" t="s">
        <v>111</v>
      </c>
      <c r="D899" s="66" t="s">
        <v>381</v>
      </c>
      <c r="E899" s="82">
        <v>1</v>
      </c>
      <c r="F899" s="67">
        <v>301656622</v>
      </c>
      <c r="G899" s="66" t="s">
        <v>386</v>
      </c>
      <c r="H899" s="66" t="s">
        <v>387</v>
      </c>
      <c r="I899" s="66" t="s">
        <v>6</v>
      </c>
      <c r="J899" s="82" t="s">
        <v>13</v>
      </c>
      <c r="K899" s="67">
        <v>10960</v>
      </c>
      <c r="L899" s="82">
        <f t="shared" si="58"/>
        <v>0</v>
      </c>
      <c r="M899" s="67">
        <v>5810</v>
      </c>
      <c r="N899" s="82"/>
      <c r="O899" s="82">
        <f t="shared" si="56"/>
        <v>0</v>
      </c>
      <c r="P899" s="82">
        <f t="shared" si="57"/>
        <v>0</v>
      </c>
      <c r="Q899" s="67"/>
      <c r="R899" s="82"/>
      <c r="S899" s="67"/>
      <c r="T899" s="82"/>
      <c r="U899" s="67">
        <v>500</v>
      </c>
      <c r="V899" s="82"/>
      <c r="W899" s="82"/>
      <c r="X899" s="82"/>
      <c r="Y899" s="68">
        <v>80</v>
      </c>
      <c r="Z899" s="82"/>
      <c r="AA899" s="69">
        <v>44560</v>
      </c>
      <c r="AB899" s="74"/>
      <c r="AC899" s="75"/>
      <c r="AD899" s="70" t="s">
        <v>477</v>
      </c>
    </row>
    <row r="900" spans="1:30" s="76" customFormat="1" ht="37.5">
      <c r="A900" s="82">
        <f>+SUBTOTAL(3,$B$7:B900)</f>
        <v>894</v>
      </c>
      <c r="B900" s="82" t="s">
        <v>444</v>
      </c>
      <c r="C900" s="82" t="s">
        <v>111</v>
      </c>
      <c r="D900" s="66" t="s">
        <v>381</v>
      </c>
      <c r="E900" s="82">
        <v>1</v>
      </c>
      <c r="F900" s="67">
        <v>305874744</v>
      </c>
      <c r="G900" s="66" t="s">
        <v>388</v>
      </c>
      <c r="H900" s="66" t="s">
        <v>389</v>
      </c>
      <c r="I900" s="66" t="s">
        <v>10</v>
      </c>
      <c r="J900" s="82" t="s">
        <v>48</v>
      </c>
      <c r="K900" s="67">
        <v>1500</v>
      </c>
      <c r="L900" s="82">
        <f t="shared" si="58"/>
        <v>0</v>
      </c>
      <c r="M900" s="67">
        <v>1500</v>
      </c>
      <c r="N900" s="82"/>
      <c r="O900" s="82">
        <f t="shared" si="56"/>
        <v>0</v>
      </c>
      <c r="P900" s="82">
        <f t="shared" si="57"/>
        <v>0</v>
      </c>
      <c r="Q900" s="67"/>
      <c r="R900" s="82"/>
      <c r="S900" s="67"/>
      <c r="T900" s="82"/>
      <c r="U900" s="67">
        <v>0</v>
      </c>
      <c r="V900" s="82"/>
      <c r="W900" s="82"/>
      <c r="X900" s="82"/>
      <c r="Y900" s="68">
        <v>10</v>
      </c>
      <c r="Z900" s="82"/>
      <c r="AA900" s="69">
        <v>44499</v>
      </c>
      <c r="AB900" s="74"/>
      <c r="AC900" s="75"/>
      <c r="AD900" s="70" t="s">
        <v>2</v>
      </c>
    </row>
    <row r="901" spans="1:30" s="76" customFormat="1" ht="56.25">
      <c r="A901" s="82">
        <f>+SUBTOTAL(3,$B$7:B901)</f>
        <v>895</v>
      </c>
      <c r="B901" s="82" t="s">
        <v>444</v>
      </c>
      <c r="C901" s="82" t="s">
        <v>111</v>
      </c>
      <c r="D901" s="66" t="s">
        <v>381</v>
      </c>
      <c r="E901" s="82">
        <v>1</v>
      </c>
      <c r="F901" s="67">
        <v>307005153</v>
      </c>
      <c r="G901" s="66" t="s">
        <v>398</v>
      </c>
      <c r="H901" s="66" t="s">
        <v>399</v>
      </c>
      <c r="I901" s="66" t="s">
        <v>6</v>
      </c>
      <c r="J901" s="82" t="s">
        <v>12</v>
      </c>
      <c r="K901" s="67">
        <v>6330</v>
      </c>
      <c r="L901" s="82">
        <f t="shared" si="58"/>
        <v>3610.7999999999997</v>
      </c>
      <c r="M901" s="67">
        <v>150</v>
      </c>
      <c r="N901" s="82"/>
      <c r="O901" s="82">
        <f t="shared" si="56"/>
        <v>6120</v>
      </c>
      <c r="P901" s="82">
        <f t="shared" si="57"/>
        <v>3610.7999999999997</v>
      </c>
      <c r="Q901" s="67"/>
      <c r="R901" s="82"/>
      <c r="S901" s="67">
        <v>600</v>
      </c>
      <c r="T901" s="82">
        <v>354</v>
      </c>
      <c r="U901" s="67"/>
      <c r="V901" s="82"/>
      <c r="W901" s="82"/>
      <c r="X901" s="82"/>
      <c r="Y901" s="68">
        <v>10</v>
      </c>
      <c r="Z901" s="82"/>
      <c r="AA901" s="69">
        <v>44561</v>
      </c>
      <c r="AB901" s="74"/>
      <c r="AC901" s="75"/>
      <c r="AD901" s="70" t="s">
        <v>543</v>
      </c>
    </row>
    <row r="902" spans="1:30" s="76" customFormat="1" ht="37.5">
      <c r="A902" s="82">
        <f>+SUBTOTAL(3,$B$7:B902)</f>
        <v>896</v>
      </c>
      <c r="B902" s="95" t="s">
        <v>2100</v>
      </c>
      <c r="C902" s="82" t="s">
        <v>111</v>
      </c>
      <c r="D902" s="66" t="s">
        <v>381</v>
      </c>
      <c r="E902" s="82">
        <v>3</v>
      </c>
      <c r="F902" s="67">
        <v>305274938</v>
      </c>
      <c r="G902" s="66" t="s">
        <v>401</v>
      </c>
      <c r="H902" s="66" t="s">
        <v>1685</v>
      </c>
      <c r="I902" s="66" t="s">
        <v>6</v>
      </c>
      <c r="J902" s="82" t="s">
        <v>13</v>
      </c>
      <c r="K902" s="67">
        <v>50700</v>
      </c>
      <c r="L902" s="82">
        <f t="shared" si="58"/>
        <v>40647</v>
      </c>
      <c r="M902" s="67">
        <v>9500</v>
      </c>
      <c r="N902" s="82"/>
      <c r="O902" s="82">
        <f t="shared" si="56"/>
        <v>40800</v>
      </c>
      <c r="P902" s="82">
        <f t="shared" si="57"/>
        <v>40647</v>
      </c>
      <c r="Q902" s="67"/>
      <c r="R902" s="82"/>
      <c r="S902" s="67">
        <v>4000</v>
      </c>
      <c r="T902" s="82">
        <v>3985</v>
      </c>
      <c r="U902" s="67"/>
      <c r="V902" s="82"/>
      <c r="W902" s="82"/>
      <c r="X902" s="82"/>
      <c r="Y902" s="82">
        <v>20</v>
      </c>
      <c r="Z902" s="82"/>
      <c r="AA902" s="18">
        <v>44531</v>
      </c>
      <c r="AB902" s="74"/>
      <c r="AC902" s="75"/>
      <c r="AD902" s="70" t="s">
        <v>543</v>
      </c>
    </row>
    <row r="903" spans="1:30" s="76" customFormat="1" ht="37.5">
      <c r="A903" s="82">
        <f>+SUBTOTAL(3,$B$7:B903)</f>
        <v>897</v>
      </c>
      <c r="B903" s="82" t="s">
        <v>444</v>
      </c>
      <c r="C903" s="82" t="s">
        <v>111</v>
      </c>
      <c r="D903" s="66" t="s">
        <v>381</v>
      </c>
      <c r="E903" s="82">
        <v>4</v>
      </c>
      <c r="F903" s="67" t="s">
        <v>1936</v>
      </c>
      <c r="G903" s="66" t="s">
        <v>1686</v>
      </c>
      <c r="H903" s="66" t="s">
        <v>42</v>
      </c>
      <c r="I903" s="66" t="s">
        <v>9</v>
      </c>
      <c r="J903" s="82" t="s">
        <v>42</v>
      </c>
      <c r="K903" s="67">
        <v>600</v>
      </c>
      <c r="L903" s="82">
        <f t="shared" si="58"/>
        <v>600</v>
      </c>
      <c r="M903" s="67">
        <v>200</v>
      </c>
      <c r="N903" s="82">
        <v>200</v>
      </c>
      <c r="O903" s="82">
        <f t="shared" ref="O903:O966" si="59">+Q903+S903*10.2</f>
        <v>400</v>
      </c>
      <c r="P903" s="82">
        <f t="shared" ref="P903:P966" si="60">+R903+T903*10.2</f>
        <v>400</v>
      </c>
      <c r="Q903" s="67">
        <v>400</v>
      </c>
      <c r="R903" s="82">
        <v>400</v>
      </c>
      <c r="S903" s="67"/>
      <c r="T903" s="82"/>
      <c r="U903" s="67"/>
      <c r="V903" s="82"/>
      <c r="W903" s="82"/>
      <c r="X903" s="82"/>
      <c r="Y903" s="68">
        <v>20</v>
      </c>
      <c r="Z903" s="82">
        <v>6</v>
      </c>
      <c r="AA903" s="69">
        <v>44166</v>
      </c>
      <c r="AB903" s="74">
        <v>44180</v>
      </c>
      <c r="AC903" s="75" t="s">
        <v>2003</v>
      </c>
      <c r="AD903" s="70" t="s">
        <v>8</v>
      </c>
    </row>
    <row r="904" spans="1:30" s="76" customFormat="1" ht="37.5">
      <c r="A904" s="82">
        <f>+SUBTOTAL(3,$B$7:B904)</f>
        <v>898</v>
      </c>
      <c r="B904" s="82" t="s">
        <v>444</v>
      </c>
      <c r="C904" s="82" t="s">
        <v>111</v>
      </c>
      <c r="D904" s="66" t="s">
        <v>381</v>
      </c>
      <c r="E904" s="82">
        <v>1</v>
      </c>
      <c r="F904" s="67">
        <v>201003234</v>
      </c>
      <c r="G904" s="66" t="s">
        <v>1687</v>
      </c>
      <c r="H904" s="66" t="s">
        <v>1688</v>
      </c>
      <c r="I904" s="66" t="s">
        <v>9</v>
      </c>
      <c r="J904" s="82" t="s">
        <v>36</v>
      </c>
      <c r="K904" s="67">
        <v>1530</v>
      </c>
      <c r="L904" s="82">
        <f t="shared" si="58"/>
        <v>703.8</v>
      </c>
      <c r="M904" s="67">
        <v>500</v>
      </c>
      <c r="N904" s="82"/>
      <c r="O904" s="82">
        <f t="shared" si="59"/>
        <v>1019.9999999999999</v>
      </c>
      <c r="P904" s="82">
        <f t="shared" si="60"/>
        <v>703.8</v>
      </c>
      <c r="Q904" s="67"/>
      <c r="R904" s="82"/>
      <c r="S904" s="67">
        <v>100</v>
      </c>
      <c r="T904" s="82">
        <v>69</v>
      </c>
      <c r="U904" s="67"/>
      <c r="V904" s="82"/>
      <c r="W904" s="82"/>
      <c r="X904" s="82"/>
      <c r="Y904" s="68">
        <v>5</v>
      </c>
      <c r="Z904" s="82"/>
      <c r="AA904" s="69">
        <v>44501</v>
      </c>
      <c r="AB904" s="74"/>
      <c r="AC904" s="75"/>
      <c r="AD904" s="70" t="s">
        <v>445</v>
      </c>
    </row>
    <row r="905" spans="1:30" s="76" customFormat="1" ht="37.5">
      <c r="A905" s="82">
        <f>+SUBTOTAL(3,$B$7:B905)</f>
        <v>899</v>
      </c>
      <c r="B905" s="82" t="s">
        <v>444</v>
      </c>
      <c r="C905" s="82" t="s">
        <v>111</v>
      </c>
      <c r="D905" s="66" t="s">
        <v>381</v>
      </c>
      <c r="E905" s="82">
        <v>2</v>
      </c>
      <c r="F905" s="67" t="s">
        <v>1937</v>
      </c>
      <c r="G905" s="66" t="s">
        <v>1689</v>
      </c>
      <c r="H905" s="66" t="s">
        <v>1690</v>
      </c>
      <c r="I905" s="66" t="s">
        <v>6</v>
      </c>
      <c r="J905" s="82" t="s">
        <v>12</v>
      </c>
      <c r="K905" s="67">
        <v>300</v>
      </c>
      <c r="L905" s="82">
        <f t="shared" si="58"/>
        <v>300</v>
      </c>
      <c r="M905" s="67">
        <v>100</v>
      </c>
      <c r="N905" s="82">
        <v>100</v>
      </c>
      <c r="O905" s="82">
        <f t="shared" si="59"/>
        <v>200</v>
      </c>
      <c r="P905" s="82">
        <f t="shared" si="60"/>
        <v>200</v>
      </c>
      <c r="Q905" s="67">
        <v>200</v>
      </c>
      <c r="R905" s="82">
        <v>200</v>
      </c>
      <c r="S905" s="67"/>
      <c r="T905" s="82"/>
      <c r="U905" s="67"/>
      <c r="V905" s="82"/>
      <c r="W905" s="82"/>
      <c r="X905" s="82"/>
      <c r="Y905" s="68">
        <v>5</v>
      </c>
      <c r="Z905" s="82">
        <v>5</v>
      </c>
      <c r="AA905" s="18">
        <v>44166</v>
      </c>
      <c r="AB905" s="74">
        <v>44172</v>
      </c>
      <c r="AC905" s="75" t="s">
        <v>1985</v>
      </c>
      <c r="AD905" s="70" t="s">
        <v>445</v>
      </c>
    </row>
    <row r="906" spans="1:30" s="76" customFormat="1" ht="37.5">
      <c r="A906" s="82">
        <f>+SUBTOTAL(3,$B$7:B906)</f>
        <v>900</v>
      </c>
      <c r="B906" s="82" t="s">
        <v>444</v>
      </c>
      <c r="C906" s="82" t="s">
        <v>111</v>
      </c>
      <c r="D906" s="66" t="s">
        <v>381</v>
      </c>
      <c r="E906" s="82">
        <v>3</v>
      </c>
      <c r="F906" s="67">
        <v>303444932</v>
      </c>
      <c r="G906" s="66" t="s">
        <v>1691</v>
      </c>
      <c r="H906" s="66" t="s">
        <v>1692</v>
      </c>
      <c r="I906" s="66" t="s">
        <v>6</v>
      </c>
      <c r="J906" s="82" t="s">
        <v>13</v>
      </c>
      <c r="K906" s="67">
        <v>10800</v>
      </c>
      <c r="L906" s="82">
        <f t="shared" si="58"/>
        <v>5406</v>
      </c>
      <c r="M906" s="67">
        <v>500</v>
      </c>
      <c r="N906" s="82"/>
      <c r="O906" s="82">
        <f t="shared" si="59"/>
        <v>10200</v>
      </c>
      <c r="P906" s="82">
        <f t="shared" si="60"/>
        <v>5406</v>
      </c>
      <c r="Q906" s="67"/>
      <c r="R906" s="82"/>
      <c r="S906" s="67">
        <v>1000</v>
      </c>
      <c r="T906" s="82">
        <v>530</v>
      </c>
      <c r="U906" s="67"/>
      <c r="V906" s="82"/>
      <c r="W906" s="82"/>
      <c r="X906" s="82"/>
      <c r="Y906" s="68">
        <v>8</v>
      </c>
      <c r="Z906" s="82"/>
      <c r="AA906" s="69">
        <v>44501</v>
      </c>
      <c r="AB906" s="74"/>
      <c r="AC906" s="75"/>
      <c r="AD906" s="70" t="s">
        <v>445</v>
      </c>
    </row>
    <row r="907" spans="1:30" s="76" customFormat="1" ht="37.5">
      <c r="A907" s="82">
        <f>+SUBTOTAL(3,$B$7:B907)</f>
        <v>901</v>
      </c>
      <c r="B907" s="82" t="s">
        <v>444</v>
      </c>
      <c r="C907" s="82" t="s">
        <v>111</v>
      </c>
      <c r="D907" s="66" t="s">
        <v>381</v>
      </c>
      <c r="E907" s="82">
        <v>2</v>
      </c>
      <c r="F907" s="67">
        <v>203969130</v>
      </c>
      <c r="G907" s="66" t="s">
        <v>1693</v>
      </c>
      <c r="H907" s="66" t="s">
        <v>1694</v>
      </c>
      <c r="I907" s="66" t="s">
        <v>9</v>
      </c>
      <c r="J907" s="82" t="s">
        <v>36</v>
      </c>
      <c r="K907" s="67">
        <v>1031</v>
      </c>
      <c r="L907" s="82">
        <f t="shared" si="58"/>
        <v>500</v>
      </c>
      <c r="M907" s="67">
        <v>238</v>
      </c>
      <c r="N907" s="82"/>
      <c r="O907" s="82">
        <f t="shared" si="59"/>
        <v>793</v>
      </c>
      <c r="P907" s="82">
        <f t="shared" si="60"/>
        <v>500</v>
      </c>
      <c r="Q907" s="67">
        <v>793</v>
      </c>
      <c r="R907" s="82">
        <v>500</v>
      </c>
      <c r="S907" s="67"/>
      <c r="T907" s="82"/>
      <c r="U907" s="67"/>
      <c r="V907" s="82"/>
      <c r="W907" s="82"/>
      <c r="X907" s="82"/>
      <c r="Y907" s="68">
        <v>4</v>
      </c>
      <c r="Z907" s="82"/>
      <c r="AA907" s="18">
        <v>44531</v>
      </c>
      <c r="AB907" s="74"/>
      <c r="AC907" s="75"/>
      <c r="AD907" s="70" t="s">
        <v>445</v>
      </c>
    </row>
    <row r="908" spans="1:30" s="76" customFormat="1" ht="37.5">
      <c r="A908" s="82">
        <f>+SUBTOTAL(3,$B$7:B908)</f>
        <v>902</v>
      </c>
      <c r="B908" s="82" t="s">
        <v>444</v>
      </c>
      <c r="C908" s="82" t="s">
        <v>111</v>
      </c>
      <c r="D908" s="66" t="s">
        <v>381</v>
      </c>
      <c r="E908" s="82">
        <v>4</v>
      </c>
      <c r="F908" s="67">
        <v>307009654</v>
      </c>
      <c r="G908" s="66" t="s">
        <v>1695</v>
      </c>
      <c r="H908" s="66" t="s">
        <v>701</v>
      </c>
      <c r="I908" s="66" t="s">
        <v>6</v>
      </c>
      <c r="J908" s="82" t="s">
        <v>34</v>
      </c>
      <c r="K908" s="67">
        <v>1200</v>
      </c>
      <c r="L908" s="82">
        <f t="shared" si="58"/>
        <v>1223</v>
      </c>
      <c r="M908" s="67">
        <v>800</v>
      </c>
      <c r="N908" s="82">
        <v>1000</v>
      </c>
      <c r="O908" s="82">
        <f t="shared" si="59"/>
        <v>400</v>
      </c>
      <c r="P908" s="82">
        <f t="shared" si="60"/>
        <v>223</v>
      </c>
      <c r="Q908" s="67">
        <v>400</v>
      </c>
      <c r="R908" s="82">
        <v>223</v>
      </c>
      <c r="S908" s="67">
        <v>0</v>
      </c>
      <c r="T908" s="82"/>
      <c r="U908" s="67">
        <v>0</v>
      </c>
      <c r="V908" s="82"/>
      <c r="W908" s="82"/>
      <c r="X908" s="82"/>
      <c r="Y908" s="68">
        <v>8</v>
      </c>
      <c r="Z908" s="82">
        <v>8</v>
      </c>
      <c r="AA908" s="69">
        <v>44326</v>
      </c>
      <c r="AB908" s="74">
        <v>44143</v>
      </c>
      <c r="AC908" s="75" t="s">
        <v>1938</v>
      </c>
      <c r="AD908" s="70" t="s">
        <v>453</v>
      </c>
    </row>
    <row r="909" spans="1:30" s="76" customFormat="1" ht="37.5">
      <c r="A909" s="82">
        <f>+SUBTOTAL(3,$B$7:B909)</f>
        <v>903</v>
      </c>
      <c r="B909" s="82" t="s">
        <v>444</v>
      </c>
      <c r="C909" s="82" t="s">
        <v>111</v>
      </c>
      <c r="D909" s="66" t="s">
        <v>381</v>
      </c>
      <c r="E909" s="82">
        <v>2</v>
      </c>
      <c r="F909" s="67">
        <v>307090264</v>
      </c>
      <c r="G909" s="66" t="s">
        <v>1696</v>
      </c>
      <c r="H909" s="66" t="s">
        <v>1697</v>
      </c>
      <c r="I909" s="66" t="s">
        <v>10</v>
      </c>
      <c r="J909" s="82" t="s">
        <v>59</v>
      </c>
      <c r="K909" s="67">
        <v>1200</v>
      </c>
      <c r="L909" s="82">
        <f t="shared" si="58"/>
        <v>1200</v>
      </c>
      <c r="M909" s="67">
        <v>200</v>
      </c>
      <c r="N909" s="82">
        <v>1000</v>
      </c>
      <c r="O909" s="82">
        <f t="shared" si="59"/>
        <v>1000</v>
      </c>
      <c r="P909" s="82">
        <f t="shared" si="60"/>
        <v>200</v>
      </c>
      <c r="Q909" s="67">
        <v>1000</v>
      </c>
      <c r="R909" s="82">
        <v>200</v>
      </c>
      <c r="S909" s="67"/>
      <c r="T909" s="82"/>
      <c r="U909" s="67"/>
      <c r="V909" s="82"/>
      <c r="W909" s="82"/>
      <c r="X909" s="82"/>
      <c r="Y909" s="68">
        <v>8</v>
      </c>
      <c r="Z909" s="82">
        <v>10</v>
      </c>
      <c r="AA909" s="69">
        <v>44501</v>
      </c>
      <c r="AB909" s="74">
        <v>44141</v>
      </c>
      <c r="AC909" s="75" t="s">
        <v>1897</v>
      </c>
      <c r="AD909" s="70" t="s">
        <v>453</v>
      </c>
    </row>
    <row r="910" spans="1:30" s="76" customFormat="1" ht="37.5">
      <c r="A910" s="82">
        <f>+SUBTOTAL(3,$B$7:B910)</f>
        <v>904</v>
      </c>
      <c r="B910" s="82" t="s">
        <v>444</v>
      </c>
      <c r="C910" s="82" t="s">
        <v>111</v>
      </c>
      <c r="D910" s="66" t="s">
        <v>381</v>
      </c>
      <c r="E910" s="82">
        <v>4</v>
      </c>
      <c r="F910" s="67">
        <v>307333269</v>
      </c>
      <c r="G910" s="66" t="s">
        <v>1698</v>
      </c>
      <c r="H910" s="66" t="s">
        <v>391</v>
      </c>
      <c r="I910" s="66" t="s">
        <v>10</v>
      </c>
      <c r="J910" s="82" t="s">
        <v>44</v>
      </c>
      <c r="K910" s="67">
        <v>1200</v>
      </c>
      <c r="L910" s="82">
        <f t="shared" si="58"/>
        <v>1400</v>
      </c>
      <c r="M910" s="67">
        <v>200</v>
      </c>
      <c r="N910" s="82">
        <v>1000</v>
      </c>
      <c r="O910" s="82">
        <f t="shared" si="59"/>
        <v>1000</v>
      </c>
      <c r="P910" s="82">
        <f t="shared" si="60"/>
        <v>400</v>
      </c>
      <c r="Q910" s="67">
        <v>1000</v>
      </c>
      <c r="R910" s="82">
        <v>400</v>
      </c>
      <c r="S910" s="67"/>
      <c r="T910" s="82"/>
      <c r="U910" s="67"/>
      <c r="V910" s="82"/>
      <c r="W910" s="82"/>
      <c r="X910" s="82"/>
      <c r="Y910" s="68">
        <v>10</v>
      </c>
      <c r="Z910" s="82">
        <v>10</v>
      </c>
      <c r="AA910" s="69">
        <v>44470</v>
      </c>
      <c r="AB910" s="74">
        <v>44141</v>
      </c>
      <c r="AC910" s="75" t="s">
        <v>1912</v>
      </c>
      <c r="AD910" s="70" t="s">
        <v>453</v>
      </c>
    </row>
    <row r="911" spans="1:30" s="76" customFormat="1" ht="56.25">
      <c r="A911" s="82">
        <f>+SUBTOTAL(3,$B$7:B911)</f>
        <v>905</v>
      </c>
      <c r="B911" s="82" t="s">
        <v>444</v>
      </c>
      <c r="C911" s="82" t="s">
        <v>111</v>
      </c>
      <c r="D911" s="66" t="s">
        <v>381</v>
      </c>
      <c r="E911" s="82">
        <v>3</v>
      </c>
      <c r="F911" s="67">
        <v>301122764</v>
      </c>
      <c r="G911" s="66" t="s">
        <v>1699</v>
      </c>
      <c r="H911" s="66" t="s">
        <v>1700</v>
      </c>
      <c r="I911" s="66" t="s">
        <v>10</v>
      </c>
      <c r="J911" s="82" t="s">
        <v>59</v>
      </c>
      <c r="K911" s="67">
        <v>350</v>
      </c>
      <c r="L911" s="82">
        <f t="shared" si="58"/>
        <v>200</v>
      </c>
      <c r="M911" s="67">
        <v>150</v>
      </c>
      <c r="N911" s="82"/>
      <c r="O911" s="82">
        <f t="shared" si="59"/>
        <v>200</v>
      </c>
      <c r="P911" s="82">
        <f t="shared" si="60"/>
        <v>200</v>
      </c>
      <c r="Q911" s="67">
        <v>200</v>
      </c>
      <c r="R911" s="82">
        <v>200</v>
      </c>
      <c r="S911" s="67"/>
      <c r="T911" s="82"/>
      <c r="U911" s="67"/>
      <c r="V911" s="82"/>
      <c r="W911" s="82"/>
      <c r="X911" s="82"/>
      <c r="Y911" s="68">
        <v>4</v>
      </c>
      <c r="Z911" s="82"/>
      <c r="AA911" s="69">
        <v>44501</v>
      </c>
      <c r="AB911" s="74"/>
      <c r="AC911" s="75"/>
      <c r="AD911" s="70" t="s">
        <v>8</v>
      </c>
    </row>
    <row r="912" spans="1:30" s="76" customFormat="1" ht="56.25">
      <c r="A912" s="82">
        <f>+SUBTOTAL(3,$B$7:B912)</f>
        <v>906</v>
      </c>
      <c r="B912" s="82" t="s">
        <v>444</v>
      </c>
      <c r="C912" s="82" t="s">
        <v>111</v>
      </c>
      <c r="D912" s="66" t="s">
        <v>381</v>
      </c>
      <c r="E912" s="82">
        <v>1</v>
      </c>
      <c r="F912" s="67">
        <v>307216484</v>
      </c>
      <c r="G912" s="66" t="s">
        <v>1701</v>
      </c>
      <c r="H912" s="66" t="s">
        <v>1702</v>
      </c>
      <c r="I912" s="66" t="s">
        <v>10</v>
      </c>
      <c r="J912" s="82" t="s">
        <v>30</v>
      </c>
      <c r="K912" s="67">
        <v>550</v>
      </c>
      <c r="L912" s="82">
        <f t="shared" si="58"/>
        <v>400</v>
      </c>
      <c r="M912" s="67">
        <v>150</v>
      </c>
      <c r="N912" s="82"/>
      <c r="O912" s="82">
        <f t="shared" si="59"/>
        <v>400</v>
      </c>
      <c r="P912" s="82">
        <f t="shared" si="60"/>
        <v>400</v>
      </c>
      <c r="Q912" s="67">
        <v>400</v>
      </c>
      <c r="R912" s="82">
        <v>400</v>
      </c>
      <c r="S912" s="67"/>
      <c r="T912" s="82"/>
      <c r="U912" s="67"/>
      <c r="V912" s="82"/>
      <c r="W912" s="82"/>
      <c r="X912" s="82"/>
      <c r="Y912" s="68">
        <v>5</v>
      </c>
      <c r="Z912" s="82"/>
      <c r="AA912" s="69">
        <v>44501</v>
      </c>
      <c r="AB912" s="74"/>
      <c r="AC912" s="75"/>
      <c r="AD912" s="70" t="s">
        <v>8</v>
      </c>
    </row>
    <row r="913" spans="1:30" s="76" customFormat="1" ht="37.5">
      <c r="A913" s="82">
        <f>+SUBTOTAL(3,$B$7:B913)</f>
        <v>907</v>
      </c>
      <c r="B913" s="82" t="s">
        <v>444</v>
      </c>
      <c r="C913" s="82" t="s">
        <v>111</v>
      </c>
      <c r="D913" s="66" t="s">
        <v>381</v>
      </c>
      <c r="E913" s="82">
        <v>1</v>
      </c>
      <c r="F913" s="67">
        <v>306272472</v>
      </c>
      <c r="G913" s="66" t="s">
        <v>1703</v>
      </c>
      <c r="H913" s="66" t="s">
        <v>144</v>
      </c>
      <c r="I913" s="66" t="s">
        <v>10</v>
      </c>
      <c r="J913" s="82" t="s">
        <v>59</v>
      </c>
      <c r="K913" s="67">
        <v>280</v>
      </c>
      <c r="L913" s="82">
        <f t="shared" si="58"/>
        <v>400</v>
      </c>
      <c r="M913" s="67">
        <v>80</v>
      </c>
      <c r="N913" s="82">
        <v>200</v>
      </c>
      <c r="O913" s="82">
        <f t="shared" si="59"/>
        <v>200</v>
      </c>
      <c r="P913" s="82">
        <f t="shared" si="60"/>
        <v>200</v>
      </c>
      <c r="Q913" s="67">
        <v>200</v>
      </c>
      <c r="R913" s="82">
        <v>200</v>
      </c>
      <c r="S913" s="67"/>
      <c r="T913" s="82"/>
      <c r="U913" s="67"/>
      <c r="V913" s="82"/>
      <c r="W913" s="82"/>
      <c r="X913" s="82"/>
      <c r="Y913" s="68">
        <v>6</v>
      </c>
      <c r="Z913" s="82">
        <v>6</v>
      </c>
      <c r="AA913" s="69">
        <v>44501</v>
      </c>
      <c r="AB913" s="74">
        <v>44141</v>
      </c>
      <c r="AC913" s="75" t="s">
        <v>1939</v>
      </c>
      <c r="AD913" s="70" t="s">
        <v>453</v>
      </c>
    </row>
    <row r="914" spans="1:30" s="76" customFormat="1" ht="37.5">
      <c r="A914" s="82">
        <f>+SUBTOTAL(3,$B$7:B914)</f>
        <v>908</v>
      </c>
      <c r="B914" s="82" t="s">
        <v>444</v>
      </c>
      <c r="C914" s="82" t="s">
        <v>111</v>
      </c>
      <c r="D914" s="66" t="s">
        <v>381</v>
      </c>
      <c r="E914" s="82">
        <v>2</v>
      </c>
      <c r="F914" s="67">
        <v>307157566</v>
      </c>
      <c r="G914" s="66" t="s">
        <v>1704</v>
      </c>
      <c r="H914" s="66" t="s">
        <v>153</v>
      </c>
      <c r="I914" s="66" t="s">
        <v>10</v>
      </c>
      <c r="J914" s="82" t="s">
        <v>30</v>
      </c>
      <c r="K914" s="67">
        <v>300</v>
      </c>
      <c r="L914" s="82">
        <f t="shared" si="58"/>
        <v>400</v>
      </c>
      <c r="M914" s="67">
        <v>50</v>
      </c>
      <c r="N914" s="82">
        <v>150</v>
      </c>
      <c r="O914" s="82">
        <f t="shared" si="59"/>
        <v>250</v>
      </c>
      <c r="P914" s="82">
        <f t="shared" si="60"/>
        <v>250</v>
      </c>
      <c r="Q914" s="67">
        <v>250</v>
      </c>
      <c r="R914" s="82">
        <v>250</v>
      </c>
      <c r="S914" s="67"/>
      <c r="T914" s="82"/>
      <c r="U914" s="67"/>
      <c r="V914" s="82"/>
      <c r="W914" s="82"/>
      <c r="X914" s="82"/>
      <c r="Y914" s="68">
        <v>3</v>
      </c>
      <c r="Z914" s="82">
        <v>3</v>
      </c>
      <c r="AA914" s="18">
        <v>44501</v>
      </c>
      <c r="AB914" s="74">
        <v>44141</v>
      </c>
      <c r="AC914" s="75" t="s">
        <v>1940</v>
      </c>
      <c r="AD914" s="70" t="s">
        <v>453</v>
      </c>
    </row>
    <row r="915" spans="1:30" s="76" customFormat="1" ht="37.5">
      <c r="A915" s="82">
        <f>+SUBTOTAL(3,$B$7:B915)</f>
        <v>909</v>
      </c>
      <c r="B915" s="82" t="s">
        <v>444</v>
      </c>
      <c r="C915" s="82" t="s">
        <v>111</v>
      </c>
      <c r="D915" s="66" t="s">
        <v>381</v>
      </c>
      <c r="E915" s="82">
        <v>4</v>
      </c>
      <c r="F915" s="67">
        <v>306196923</v>
      </c>
      <c r="G915" s="66" t="s">
        <v>1705</v>
      </c>
      <c r="H915" s="66" t="s">
        <v>1706</v>
      </c>
      <c r="I915" s="66" t="s">
        <v>10</v>
      </c>
      <c r="J915" s="82" t="s">
        <v>60</v>
      </c>
      <c r="K915" s="67">
        <v>700</v>
      </c>
      <c r="L915" s="82">
        <f t="shared" si="58"/>
        <v>700</v>
      </c>
      <c r="M915" s="67">
        <v>100</v>
      </c>
      <c r="N915" s="82">
        <v>200</v>
      </c>
      <c r="O915" s="82">
        <f t="shared" si="59"/>
        <v>600</v>
      </c>
      <c r="P915" s="82">
        <f t="shared" si="60"/>
        <v>500</v>
      </c>
      <c r="Q915" s="67">
        <v>600</v>
      </c>
      <c r="R915" s="82">
        <v>500</v>
      </c>
      <c r="S915" s="67"/>
      <c r="T915" s="82"/>
      <c r="U915" s="67"/>
      <c r="V915" s="82"/>
      <c r="W915" s="82"/>
      <c r="X915" s="82"/>
      <c r="Y915" s="68">
        <v>8</v>
      </c>
      <c r="Z915" s="82">
        <v>8</v>
      </c>
      <c r="AA915" s="69">
        <v>44501</v>
      </c>
      <c r="AB915" s="74">
        <v>44228</v>
      </c>
      <c r="AC915" s="75" t="s">
        <v>2103</v>
      </c>
      <c r="AD915" s="70" t="s">
        <v>453</v>
      </c>
    </row>
    <row r="916" spans="1:30" s="76" customFormat="1" ht="56.25">
      <c r="A916" s="82">
        <f>+SUBTOTAL(3,$B$7:B916)</f>
        <v>910</v>
      </c>
      <c r="B916" s="82" t="s">
        <v>444</v>
      </c>
      <c r="C916" s="82" t="s">
        <v>111</v>
      </c>
      <c r="D916" s="66" t="s">
        <v>381</v>
      </c>
      <c r="E916" s="82">
        <v>4</v>
      </c>
      <c r="F916" s="67">
        <v>302862169</v>
      </c>
      <c r="G916" s="66" t="s">
        <v>1707</v>
      </c>
      <c r="H916" s="66" t="s">
        <v>1708</v>
      </c>
      <c r="I916" s="66" t="s">
        <v>10</v>
      </c>
      <c r="J916" s="82" t="s">
        <v>30</v>
      </c>
      <c r="K916" s="67">
        <v>750</v>
      </c>
      <c r="L916" s="82">
        <f t="shared" si="58"/>
        <v>750</v>
      </c>
      <c r="M916" s="67">
        <v>250</v>
      </c>
      <c r="N916" s="82">
        <v>250</v>
      </c>
      <c r="O916" s="82">
        <f t="shared" si="59"/>
        <v>500</v>
      </c>
      <c r="P916" s="82">
        <f t="shared" si="60"/>
        <v>500</v>
      </c>
      <c r="Q916" s="67">
        <v>500</v>
      </c>
      <c r="R916" s="82">
        <v>500</v>
      </c>
      <c r="S916" s="67"/>
      <c r="T916" s="82"/>
      <c r="U916" s="67"/>
      <c r="V916" s="82"/>
      <c r="W916" s="82"/>
      <c r="X916" s="82"/>
      <c r="Y916" s="68">
        <v>8</v>
      </c>
      <c r="Z916" s="82">
        <v>8</v>
      </c>
      <c r="AA916" s="18">
        <v>44501</v>
      </c>
      <c r="AB916" s="74">
        <v>44141</v>
      </c>
      <c r="AC916" s="75" t="s">
        <v>1941</v>
      </c>
      <c r="AD916" s="70" t="s">
        <v>453</v>
      </c>
    </row>
    <row r="917" spans="1:30" s="76" customFormat="1" ht="37.5">
      <c r="A917" s="82">
        <f>+SUBTOTAL(3,$B$7:B917)</f>
        <v>911</v>
      </c>
      <c r="B917" s="82" t="s">
        <v>444</v>
      </c>
      <c r="C917" s="82" t="s">
        <v>111</v>
      </c>
      <c r="D917" s="66" t="s">
        <v>381</v>
      </c>
      <c r="E917" s="82">
        <v>3</v>
      </c>
      <c r="F917" s="67">
        <v>305649564</v>
      </c>
      <c r="G917" s="66" t="s">
        <v>393</v>
      </c>
      <c r="H917" s="66" t="s">
        <v>394</v>
      </c>
      <c r="I917" s="66" t="s">
        <v>9</v>
      </c>
      <c r="J917" s="82" t="s">
        <v>41</v>
      </c>
      <c r="K917" s="67">
        <v>1500</v>
      </c>
      <c r="L917" s="82">
        <f t="shared" si="58"/>
        <v>0</v>
      </c>
      <c r="M917" s="67">
        <v>1500</v>
      </c>
      <c r="N917" s="82"/>
      <c r="O917" s="82">
        <f t="shared" si="59"/>
        <v>0</v>
      </c>
      <c r="P917" s="82">
        <f t="shared" si="60"/>
        <v>0</v>
      </c>
      <c r="Q917" s="67"/>
      <c r="R917" s="82"/>
      <c r="S917" s="67"/>
      <c r="T917" s="82"/>
      <c r="U917" s="67">
        <v>0</v>
      </c>
      <c r="V917" s="82"/>
      <c r="W917" s="82"/>
      <c r="X917" s="82"/>
      <c r="Y917" s="68">
        <v>6</v>
      </c>
      <c r="Z917" s="82"/>
      <c r="AA917" s="69">
        <v>44550</v>
      </c>
      <c r="AB917" s="74"/>
      <c r="AC917" s="75"/>
      <c r="AD917" s="70" t="s">
        <v>477</v>
      </c>
    </row>
    <row r="918" spans="1:30" s="76" customFormat="1" ht="37.5">
      <c r="A918" s="82">
        <f>+SUBTOTAL(3,$B$7:B918)</f>
        <v>912</v>
      </c>
      <c r="B918" s="82" t="s">
        <v>444</v>
      </c>
      <c r="C918" s="82" t="s">
        <v>111</v>
      </c>
      <c r="D918" s="66" t="s">
        <v>381</v>
      </c>
      <c r="E918" s="82">
        <v>4</v>
      </c>
      <c r="F918" s="67">
        <v>305460477</v>
      </c>
      <c r="G918" s="66" t="s">
        <v>395</v>
      </c>
      <c r="H918" s="66" t="s">
        <v>124</v>
      </c>
      <c r="I918" s="66" t="s">
        <v>10</v>
      </c>
      <c r="J918" s="82" t="s">
        <v>50</v>
      </c>
      <c r="K918" s="67">
        <v>1000</v>
      </c>
      <c r="L918" s="82">
        <f t="shared" si="58"/>
        <v>0</v>
      </c>
      <c r="M918" s="67">
        <v>1000</v>
      </c>
      <c r="N918" s="82"/>
      <c r="O918" s="82">
        <f t="shared" si="59"/>
        <v>0</v>
      </c>
      <c r="P918" s="82">
        <f t="shared" si="60"/>
        <v>0</v>
      </c>
      <c r="Q918" s="67"/>
      <c r="R918" s="82"/>
      <c r="S918" s="67"/>
      <c r="T918" s="82"/>
      <c r="U918" s="67">
        <v>0</v>
      </c>
      <c r="V918" s="82"/>
      <c r="W918" s="82"/>
      <c r="X918" s="82"/>
      <c r="Y918" s="68">
        <v>15</v>
      </c>
      <c r="Z918" s="82"/>
      <c r="AA918" s="69">
        <v>44545</v>
      </c>
      <c r="AB918" s="74"/>
      <c r="AC918" s="75"/>
      <c r="AD918" s="70" t="s">
        <v>477</v>
      </c>
    </row>
    <row r="919" spans="1:30" s="76" customFormat="1" ht="56.25">
      <c r="A919" s="82">
        <f>+SUBTOTAL(3,$B$7:B919)</f>
        <v>913</v>
      </c>
      <c r="B919" s="82" t="s">
        <v>444</v>
      </c>
      <c r="C919" s="82" t="s">
        <v>111</v>
      </c>
      <c r="D919" s="66" t="s">
        <v>381</v>
      </c>
      <c r="E919" s="82">
        <v>3</v>
      </c>
      <c r="F919" s="67">
        <v>304582911</v>
      </c>
      <c r="G919" s="66" t="s">
        <v>396</v>
      </c>
      <c r="H919" s="66" t="s">
        <v>397</v>
      </c>
      <c r="I919" s="66" t="s">
        <v>10</v>
      </c>
      <c r="J919" s="82" t="s">
        <v>44</v>
      </c>
      <c r="K919" s="67">
        <v>30000</v>
      </c>
      <c r="L919" s="82">
        <f t="shared" si="58"/>
        <v>0</v>
      </c>
      <c r="M919" s="67">
        <v>30000</v>
      </c>
      <c r="N919" s="82"/>
      <c r="O919" s="82">
        <f t="shared" si="59"/>
        <v>0</v>
      </c>
      <c r="P919" s="82">
        <f t="shared" si="60"/>
        <v>0</v>
      </c>
      <c r="Q919" s="67"/>
      <c r="R919" s="82"/>
      <c r="S919" s="67"/>
      <c r="T919" s="82"/>
      <c r="U919" s="67">
        <v>0</v>
      </c>
      <c r="V919" s="82"/>
      <c r="W919" s="82"/>
      <c r="X919" s="82"/>
      <c r="Y919" s="68">
        <v>20</v>
      </c>
      <c r="Z919" s="82"/>
      <c r="AA919" s="69">
        <v>44501</v>
      </c>
      <c r="AB919" s="74"/>
      <c r="AC919" s="75"/>
      <c r="AD919" s="70" t="s">
        <v>3</v>
      </c>
    </row>
    <row r="920" spans="1:30" s="76" customFormat="1" ht="37.5">
      <c r="A920" s="82">
        <f>+SUBTOTAL(3,$B$7:B920)</f>
        <v>914</v>
      </c>
      <c r="B920" s="82" t="s">
        <v>444</v>
      </c>
      <c r="C920" s="82" t="s">
        <v>111</v>
      </c>
      <c r="D920" s="66" t="s">
        <v>381</v>
      </c>
      <c r="E920" s="82">
        <v>3</v>
      </c>
      <c r="F920" s="67">
        <v>305908938</v>
      </c>
      <c r="G920" s="66" t="s">
        <v>1709</v>
      </c>
      <c r="H920" s="66" t="s">
        <v>1710</v>
      </c>
      <c r="I920" s="66" t="s">
        <v>9</v>
      </c>
      <c r="J920" s="82" t="s">
        <v>40</v>
      </c>
      <c r="K920" s="67">
        <v>700</v>
      </c>
      <c r="L920" s="82">
        <f t="shared" si="58"/>
        <v>200</v>
      </c>
      <c r="M920" s="67">
        <v>500</v>
      </c>
      <c r="N920" s="82"/>
      <c r="O920" s="82">
        <f t="shared" si="59"/>
        <v>200</v>
      </c>
      <c r="P920" s="82">
        <f t="shared" si="60"/>
        <v>200</v>
      </c>
      <c r="Q920" s="67">
        <v>200</v>
      </c>
      <c r="R920" s="82">
        <v>200</v>
      </c>
      <c r="S920" s="67"/>
      <c r="T920" s="82"/>
      <c r="U920" s="67"/>
      <c r="V920" s="82"/>
      <c r="W920" s="82"/>
      <c r="X920" s="82"/>
      <c r="Y920" s="68">
        <v>5</v>
      </c>
      <c r="Z920" s="82"/>
      <c r="AA920" s="69">
        <v>44540</v>
      </c>
      <c r="AB920" s="74"/>
      <c r="AC920" s="75"/>
      <c r="AD920" s="70" t="s">
        <v>3</v>
      </c>
    </row>
    <row r="921" spans="1:30" s="76" customFormat="1" ht="56.25">
      <c r="A921" s="82">
        <f>+SUBTOTAL(3,$B$7:B921)</f>
        <v>915</v>
      </c>
      <c r="B921" s="82" t="s">
        <v>444</v>
      </c>
      <c r="C921" s="82" t="s">
        <v>111</v>
      </c>
      <c r="D921" s="66" t="s">
        <v>381</v>
      </c>
      <c r="E921" s="82">
        <v>2</v>
      </c>
      <c r="F921" s="67">
        <v>307763066</v>
      </c>
      <c r="G921" s="66" t="s">
        <v>1711</v>
      </c>
      <c r="H921" s="66" t="s">
        <v>1712</v>
      </c>
      <c r="I921" s="66" t="s">
        <v>6</v>
      </c>
      <c r="J921" s="82" t="s">
        <v>49</v>
      </c>
      <c r="K921" s="67">
        <v>8000</v>
      </c>
      <c r="L921" s="82">
        <f t="shared" si="58"/>
        <v>0</v>
      </c>
      <c r="M921" s="67">
        <v>3000</v>
      </c>
      <c r="N921" s="82"/>
      <c r="O921" s="82">
        <f t="shared" si="59"/>
        <v>5000</v>
      </c>
      <c r="P921" s="82">
        <f t="shared" si="60"/>
        <v>0</v>
      </c>
      <c r="Q921" s="67">
        <v>5000</v>
      </c>
      <c r="R921" s="82"/>
      <c r="S921" s="67"/>
      <c r="T921" s="82"/>
      <c r="U921" s="67"/>
      <c r="V921" s="82"/>
      <c r="W921" s="82"/>
      <c r="X921" s="82"/>
      <c r="Y921" s="68">
        <v>60</v>
      </c>
      <c r="Z921" s="82"/>
      <c r="AA921" s="69">
        <v>44905</v>
      </c>
      <c r="AB921" s="74"/>
      <c r="AC921" s="75"/>
      <c r="AD921" s="70" t="s">
        <v>445</v>
      </c>
    </row>
    <row r="922" spans="1:30" s="76" customFormat="1" ht="37.5">
      <c r="A922" s="82">
        <f>+SUBTOTAL(3,$B$7:B922)</f>
        <v>916</v>
      </c>
      <c r="B922" s="82" t="s">
        <v>444</v>
      </c>
      <c r="C922" s="82" t="s">
        <v>111</v>
      </c>
      <c r="D922" s="66" t="s">
        <v>381</v>
      </c>
      <c r="E922" s="82">
        <v>2</v>
      </c>
      <c r="F922" s="67">
        <v>303449506</v>
      </c>
      <c r="G922" s="66" t="s">
        <v>1713</v>
      </c>
      <c r="H922" s="66" t="s">
        <v>153</v>
      </c>
      <c r="I922" s="66" t="s">
        <v>10</v>
      </c>
      <c r="J922" s="82" t="s">
        <v>30</v>
      </c>
      <c r="K922" s="67">
        <v>700</v>
      </c>
      <c r="L922" s="82">
        <f t="shared" si="58"/>
        <v>0</v>
      </c>
      <c r="M922" s="67">
        <v>200</v>
      </c>
      <c r="N922" s="82"/>
      <c r="O922" s="82">
        <f t="shared" si="59"/>
        <v>500</v>
      </c>
      <c r="P922" s="82">
        <f t="shared" si="60"/>
        <v>0</v>
      </c>
      <c r="Q922" s="67">
        <v>500</v>
      </c>
      <c r="R922" s="82"/>
      <c r="S922" s="67"/>
      <c r="T922" s="82"/>
      <c r="U922" s="67"/>
      <c r="V922" s="82"/>
      <c r="W922" s="82"/>
      <c r="X922" s="82"/>
      <c r="Y922" s="68">
        <v>3</v>
      </c>
      <c r="Z922" s="82"/>
      <c r="AA922" s="69">
        <v>44540</v>
      </c>
      <c r="AB922" s="74"/>
      <c r="AC922" s="75"/>
      <c r="AD922" s="70" t="s">
        <v>445</v>
      </c>
    </row>
    <row r="923" spans="1:30" s="76" customFormat="1" ht="37.5">
      <c r="A923" s="82">
        <f>+SUBTOTAL(3,$B$7:B923)</f>
        <v>917</v>
      </c>
      <c r="B923" s="82" t="s">
        <v>444</v>
      </c>
      <c r="C923" s="82" t="s">
        <v>111</v>
      </c>
      <c r="D923" s="66" t="s">
        <v>381</v>
      </c>
      <c r="E923" s="82">
        <v>1</v>
      </c>
      <c r="F923" s="67">
        <v>305923896</v>
      </c>
      <c r="G923" s="66" t="s">
        <v>1714</v>
      </c>
      <c r="H923" s="66" t="s">
        <v>1715</v>
      </c>
      <c r="I923" s="66" t="s">
        <v>6</v>
      </c>
      <c r="J923" s="82" t="s">
        <v>12</v>
      </c>
      <c r="K923" s="67">
        <v>3000</v>
      </c>
      <c r="L923" s="82">
        <f t="shared" si="58"/>
        <v>0</v>
      </c>
      <c r="M923" s="67">
        <v>3000</v>
      </c>
      <c r="N923" s="82"/>
      <c r="O923" s="82">
        <f t="shared" si="59"/>
        <v>0</v>
      </c>
      <c r="P923" s="82">
        <f t="shared" si="60"/>
        <v>0</v>
      </c>
      <c r="Q923" s="67"/>
      <c r="R923" s="82"/>
      <c r="S923" s="67"/>
      <c r="T923" s="82"/>
      <c r="U923" s="67"/>
      <c r="V923" s="82"/>
      <c r="W923" s="82"/>
      <c r="X923" s="82"/>
      <c r="Y923" s="68">
        <v>6</v>
      </c>
      <c r="Z923" s="82"/>
      <c r="AA923" s="69">
        <v>44531</v>
      </c>
      <c r="AB923" s="74"/>
      <c r="AC923" s="75"/>
      <c r="AD923" s="70" t="s">
        <v>543</v>
      </c>
    </row>
    <row r="924" spans="1:30" s="76" customFormat="1" ht="37.5">
      <c r="A924" s="82">
        <f>+SUBTOTAL(3,$B$7:B924)</f>
        <v>918</v>
      </c>
      <c r="B924" s="82" t="s">
        <v>444</v>
      </c>
      <c r="C924" s="82" t="s">
        <v>111</v>
      </c>
      <c r="D924" s="66" t="s">
        <v>381</v>
      </c>
      <c r="E924" s="82">
        <v>1</v>
      </c>
      <c r="F924" s="67">
        <v>302950454</v>
      </c>
      <c r="G924" s="66" t="s">
        <v>1716</v>
      </c>
      <c r="H924" s="66" t="s">
        <v>377</v>
      </c>
      <c r="I924" s="66" t="s">
        <v>9</v>
      </c>
      <c r="J924" s="82" t="s">
        <v>36</v>
      </c>
      <c r="K924" s="67">
        <v>450</v>
      </c>
      <c r="L924" s="82">
        <f t="shared" si="58"/>
        <v>0</v>
      </c>
      <c r="M924" s="67">
        <v>200</v>
      </c>
      <c r="N924" s="82"/>
      <c r="O924" s="82">
        <f t="shared" si="59"/>
        <v>250</v>
      </c>
      <c r="P924" s="82">
        <f t="shared" si="60"/>
        <v>0</v>
      </c>
      <c r="Q924" s="67">
        <v>250</v>
      </c>
      <c r="R924" s="82"/>
      <c r="S924" s="67"/>
      <c r="T924" s="82"/>
      <c r="U924" s="67"/>
      <c r="V924" s="82"/>
      <c r="W924" s="82"/>
      <c r="X924" s="82"/>
      <c r="Y924" s="68">
        <v>3</v>
      </c>
      <c r="Z924" s="82"/>
      <c r="AA924" s="69">
        <v>44540</v>
      </c>
      <c r="AB924" s="74"/>
      <c r="AC924" s="75"/>
      <c r="AD924" s="70" t="s">
        <v>445</v>
      </c>
    </row>
    <row r="925" spans="1:30" s="76" customFormat="1" ht="37.5">
      <c r="A925" s="82">
        <f>+SUBTOTAL(3,$B$7:B925)</f>
        <v>919</v>
      </c>
      <c r="B925" s="82" t="s">
        <v>444</v>
      </c>
      <c r="C925" s="82" t="s">
        <v>111</v>
      </c>
      <c r="D925" s="66" t="s">
        <v>381</v>
      </c>
      <c r="E925" s="82">
        <v>3</v>
      </c>
      <c r="F925" s="67">
        <v>302950454</v>
      </c>
      <c r="G925" s="66" t="s">
        <v>1717</v>
      </c>
      <c r="H925" s="66" t="s">
        <v>1718</v>
      </c>
      <c r="I925" s="66" t="s">
        <v>9</v>
      </c>
      <c r="J925" s="82" t="s">
        <v>41</v>
      </c>
      <c r="K925" s="67">
        <v>500</v>
      </c>
      <c r="L925" s="82">
        <f t="shared" si="58"/>
        <v>0</v>
      </c>
      <c r="M925" s="67">
        <v>200</v>
      </c>
      <c r="N925" s="82"/>
      <c r="O925" s="82">
        <f t="shared" si="59"/>
        <v>300</v>
      </c>
      <c r="P925" s="82">
        <f t="shared" si="60"/>
        <v>0</v>
      </c>
      <c r="Q925" s="67">
        <v>300</v>
      </c>
      <c r="R925" s="82"/>
      <c r="S925" s="67"/>
      <c r="T925" s="82"/>
      <c r="U925" s="67"/>
      <c r="V925" s="82"/>
      <c r="W925" s="82"/>
      <c r="X925" s="82"/>
      <c r="Y925" s="68">
        <v>3</v>
      </c>
      <c r="Z925" s="82"/>
      <c r="AA925" s="69">
        <v>44540</v>
      </c>
      <c r="AB925" s="74"/>
      <c r="AC925" s="75"/>
      <c r="AD925" s="70" t="s">
        <v>445</v>
      </c>
    </row>
    <row r="926" spans="1:30" s="76" customFormat="1" ht="37.5">
      <c r="A926" s="82">
        <f>+SUBTOTAL(3,$B$7:B926)</f>
        <v>920</v>
      </c>
      <c r="B926" s="82" t="s">
        <v>444</v>
      </c>
      <c r="C926" s="82" t="s">
        <v>111</v>
      </c>
      <c r="D926" s="66" t="s">
        <v>381</v>
      </c>
      <c r="E926" s="82">
        <v>2</v>
      </c>
      <c r="F926" s="67">
        <v>201003639</v>
      </c>
      <c r="G926" s="66" t="s">
        <v>390</v>
      </c>
      <c r="H926" s="66" t="s">
        <v>391</v>
      </c>
      <c r="I926" s="66" t="s">
        <v>10</v>
      </c>
      <c r="J926" s="82" t="s">
        <v>44</v>
      </c>
      <c r="K926" s="67">
        <v>1000</v>
      </c>
      <c r="L926" s="82">
        <f t="shared" si="58"/>
        <v>800</v>
      </c>
      <c r="M926" s="67">
        <v>500</v>
      </c>
      <c r="N926" s="82">
        <v>300</v>
      </c>
      <c r="O926" s="82">
        <f t="shared" si="59"/>
        <v>500</v>
      </c>
      <c r="P926" s="82">
        <f t="shared" si="60"/>
        <v>500</v>
      </c>
      <c r="Q926" s="67">
        <v>500</v>
      </c>
      <c r="R926" s="82">
        <v>500</v>
      </c>
      <c r="S926" s="67"/>
      <c r="T926" s="82"/>
      <c r="U926" s="67">
        <v>0</v>
      </c>
      <c r="V926" s="82"/>
      <c r="W926" s="82"/>
      <c r="X926" s="82"/>
      <c r="Y926" s="68">
        <v>10</v>
      </c>
      <c r="Z926" s="82">
        <v>10</v>
      </c>
      <c r="AA926" s="69">
        <v>44287</v>
      </c>
      <c r="AB926" s="74">
        <v>44140</v>
      </c>
      <c r="AC926" s="75" t="s">
        <v>1942</v>
      </c>
      <c r="AD926" s="70" t="s">
        <v>7</v>
      </c>
    </row>
    <row r="927" spans="1:30" s="76" customFormat="1" ht="37.5">
      <c r="A927" s="82">
        <f>+SUBTOTAL(3,$B$7:B927)</f>
        <v>921</v>
      </c>
      <c r="B927" s="82" t="s">
        <v>444</v>
      </c>
      <c r="C927" s="82" t="s">
        <v>111</v>
      </c>
      <c r="D927" s="66" t="s">
        <v>381</v>
      </c>
      <c r="E927" s="82">
        <v>2</v>
      </c>
      <c r="F927" s="67">
        <v>306969498</v>
      </c>
      <c r="G927" s="66" t="s">
        <v>1719</v>
      </c>
      <c r="H927" s="66" t="s">
        <v>1720</v>
      </c>
      <c r="I927" s="66" t="s">
        <v>9</v>
      </c>
      <c r="J927" s="82" t="s">
        <v>41</v>
      </c>
      <c r="K927" s="67">
        <v>4000</v>
      </c>
      <c r="L927" s="82">
        <f t="shared" si="58"/>
        <v>2500</v>
      </c>
      <c r="M927" s="67">
        <v>1000</v>
      </c>
      <c r="N927" s="82"/>
      <c r="O927" s="82">
        <f t="shared" si="59"/>
        <v>3000</v>
      </c>
      <c r="P927" s="82">
        <f t="shared" si="60"/>
        <v>2500</v>
      </c>
      <c r="Q927" s="67">
        <v>3000</v>
      </c>
      <c r="R927" s="82">
        <v>2500</v>
      </c>
      <c r="S927" s="67"/>
      <c r="T927" s="82"/>
      <c r="U927" s="67"/>
      <c r="V927" s="82"/>
      <c r="W927" s="82"/>
      <c r="X927" s="82"/>
      <c r="Y927" s="68">
        <v>8</v>
      </c>
      <c r="Z927" s="82"/>
      <c r="AA927" s="69">
        <v>44470</v>
      </c>
      <c r="AB927" s="74"/>
      <c r="AC927" s="75"/>
      <c r="AD927" s="70" t="s">
        <v>7</v>
      </c>
    </row>
    <row r="928" spans="1:30" s="76" customFormat="1" ht="37.5">
      <c r="A928" s="82">
        <f>+SUBTOTAL(3,$B$7:B928)</f>
        <v>922</v>
      </c>
      <c r="B928" s="82" t="s">
        <v>444</v>
      </c>
      <c r="C928" s="82" t="s">
        <v>111</v>
      </c>
      <c r="D928" s="66" t="s">
        <v>381</v>
      </c>
      <c r="E928" s="82">
        <v>2</v>
      </c>
      <c r="F928" s="67">
        <v>306978029</v>
      </c>
      <c r="G928" s="66" t="s">
        <v>1721</v>
      </c>
      <c r="H928" s="66" t="s">
        <v>1720</v>
      </c>
      <c r="I928" s="66" t="s">
        <v>9</v>
      </c>
      <c r="J928" s="82" t="s">
        <v>41</v>
      </c>
      <c r="K928" s="67">
        <v>4000</v>
      </c>
      <c r="L928" s="82">
        <f t="shared" si="58"/>
        <v>3000</v>
      </c>
      <c r="M928" s="67">
        <v>1000</v>
      </c>
      <c r="N928" s="82"/>
      <c r="O928" s="82">
        <f t="shared" si="59"/>
        <v>3000</v>
      </c>
      <c r="P928" s="82">
        <f t="shared" si="60"/>
        <v>3000</v>
      </c>
      <c r="Q928" s="67">
        <v>3000</v>
      </c>
      <c r="R928" s="82">
        <v>3000</v>
      </c>
      <c r="S928" s="67"/>
      <c r="T928" s="82"/>
      <c r="U928" s="67"/>
      <c r="V928" s="82"/>
      <c r="W928" s="82"/>
      <c r="X928" s="82"/>
      <c r="Y928" s="68">
        <v>8</v>
      </c>
      <c r="Z928" s="82"/>
      <c r="AA928" s="69">
        <v>44470</v>
      </c>
      <c r="AB928" s="74"/>
      <c r="AC928" s="75"/>
      <c r="AD928" s="70" t="s">
        <v>7</v>
      </c>
    </row>
    <row r="929" spans="1:30" s="76" customFormat="1" ht="37.5">
      <c r="A929" s="82">
        <f>+SUBTOTAL(3,$B$7:B929)</f>
        <v>923</v>
      </c>
      <c r="B929" s="82" t="s">
        <v>444</v>
      </c>
      <c r="C929" s="82" t="s">
        <v>111</v>
      </c>
      <c r="D929" s="66" t="s">
        <v>381</v>
      </c>
      <c r="E929" s="82">
        <v>1</v>
      </c>
      <c r="F929" s="67">
        <v>305633363</v>
      </c>
      <c r="G929" s="66" t="s">
        <v>1722</v>
      </c>
      <c r="H929" s="66" t="s">
        <v>121</v>
      </c>
      <c r="I929" s="66" t="s">
        <v>6</v>
      </c>
      <c r="J929" s="82" t="s">
        <v>12</v>
      </c>
      <c r="K929" s="67">
        <v>900</v>
      </c>
      <c r="L929" s="82">
        <f t="shared" si="58"/>
        <v>900</v>
      </c>
      <c r="M929" s="67">
        <v>425</v>
      </c>
      <c r="N929" s="82">
        <v>425</v>
      </c>
      <c r="O929" s="82">
        <f t="shared" si="59"/>
        <v>475</v>
      </c>
      <c r="P929" s="82">
        <f t="shared" si="60"/>
        <v>475</v>
      </c>
      <c r="Q929" s="67">
        <v>475</v>
      </c>
      <c r="R929" s="82">
        <v>475</v>
      </c>
      <c r="S929" s="67"/>
      <c r="T929" s="82"/>
      <c r="U929" s="67"/>
      <c r="V929" s="82"/>
      <c r="W929" s="82"/>
      <c r="X929" s="82"/>
      <c r="Y929" s="68">
        <v>5</v>
      </c>
      <c r="Z929" s="82">
        <v>5</v>
      </c>
      <c r="AA929" s="69">
        <v>44256</v>
      </c>
      <c r="AB929" s="74">
        <v>44172</v>
      </c>
      <c r="AC929" s="75" t="s">
        <v>1907</v>
      </c>
      <c r="AD929" s="70" t="s">
        <v>7</v>
      </c>
    </row>
    <row r="930" spans="1:30" s="76" customFormat="1" ht="37.5">
      <c r="A930" s="82">
        <f>+SUBTOTAL(3,$B$7:B930)</f>
        <v>924</v>
      </c>
      <c r="B930" s="82" t="s">
        <v>444</v>
      </c>
      <c r="C930" s="82" t="s">
        <v>111</v>
      </c>
      <c r="D930" s="66" t="s">
        <v>402</v>
      </c>
      <c r="E930" s="82">
        <v>3</v>
      </c>
      <c r="F930" s="67">
        <v>305705266</v>
      </c>
      <c r="G930" s="66" t="s">
        <v>414</v>
      </c>
      <c r="H930" s="66" t="s">
        <v>404</v>
      </c>
      <c r="I930" s="66" t="s">
        <v>10</v>
      </c>
      <c r="J930" s="82" t="s">
        <v>45</v>
      </c>
      <c r="K930" s="67">
        <v>6000</v>
      </c>
      <c r="L930" s="82">
        <f t="shared" si="58"/>
        <v>0</v>
      </c>
      <c r="M930" s="67">
        <v>2000</v>
      </c>
      <c r="N930" s="82"/>
      <c r="O930" s="82">
        <f t="shared" si="59"/>
        <v>4000</v>
      </c>
      <c r="P930" s="82">
        <f t="shared" si="60"/>
        <v>0</v>
      </c>
      <c r="Q930" s="67">
        <v>4000</v>
      </c>
      <c r="R930" s="82"/>
      <c r="S930" s="67">
        <v>0</v>
      </c>
      <c r="T930" s="82"/>
      <c r="U930" s="67">
        <v>0</v>
      </c>
      <c r="V930" s="82"/>
      <c r="W930" s="82"/>
      <c r="X930" s="82"/>
      <c r="Y930" s="68">
        <v>3</v>
      </c>
      <c r="Z930" s="82"/>
      <c r="AA930" s="69">
        <v>44501</v>
      </c>
      <c r="AB930" s="74"/>
      <c r="AC930" s="75"/>
      <c r="AD930" s="70" t="s">
        <v>8</v>
      </c>
    </row>
    <row r="931" spans="1:30" s="76" customFormat="1" ht="37.5">
      <c r="A931" s="82">
        <f>+SUBTOTAL(3,$B$7:B931)</f>
        <v>925</v>
      </c>
      <c r="B931" s="82" t="s">
        <v>444</v>
      </c>
      <c r="C931" s="82" t="s">
        <v>111</v>
      </c>
      <c r="D931" s="66" t="s">
        <v>402</v>
      </c>
      <c r="E931" s="82">
        <v>1</v>
      </c>
      <c r="F931" s="67">
        <v>203034417</v>
      </c>
      <c r="G931" s="66" t="s">
        <v>1723</v>
      </c>
      <c r="H931" s="66" t="s">
        <v>1724</v>
      </c>
      <c r="I931" s="66" t="s">
        <v>10</v>
      </c>
      <c r="J931" s="82" t="s">
        <v>60</v>
      </c>
      <c r="K931" s="67">
        <v>1330</v>
      </c>
      <c r="L931" s="82">
        <f t="shared" si="58"/>
        <v>146</v>
      </c>
      <c r="M931" s="67">
        <v>300</v>
      </c>
      <c r="N931" s="82"/>
      <c r="O931" s="82">
        <f t="shared" si="59"/>
        <v>1019.9999999999999</v>
      </c>
      <c r="P931" s="82">
        <f t="shared" si="60"/>
        <v>146</v>
      </c>
      <c r="Q931" s="67"/>
      <c r="R931" s="82">
        <v>146</v>
      </c>
      <c r="S931" s="67">
        <v>100</v>
      </c>
      <c r="T931" s="82"/>
      <c r="U931" s="67"/>
      <c r="V931" s="82"/>
      <c r="W931" s="82"/>
      <c r="X931" s="82"/>
      <c r="Y931" s="68">
        <v>5</v>
      </c>
      <c r="Z931" s="82"/>
      <c r="AA931" s="69">
        <v>44440</v>
      </c>
      <c r="AB931" s="74"/>
      <c r="AC931" s="75"/>
      <c r="AD931" s="70" t="s">
        <v>0</v>
      </c>
    </row>
    <row r="932" spans="1:30" s="76" customFormat="1" ht="37.5">
      <c r="A932" s="82">
        <f>+SUBTOTAL(3,$B$7:B932)</f>
        <v>926</v>
      </c>
      <c r="B932" s="82" t="s">
        <v>444</v>
      </c>
      <c r="C932" s="82" t="s">
        <v>111</v>
      </c>
      <c r="D932" s="66" t="s">
        <v>402</v>
      </c>
      <c r="E932" s="82">
        <v>3</v>
      </c>
      <c r="F932" s="67">
        <v>201437708</v>
      </c>
      <c r="G932" s="66" t="s">
        <v>415</v>
      </c>
      <c r="H932" s="66" t="s">
        <v>417</v>
      </c>
      <c r="I932" s="66" t="s">
        <v>6</v>
      </c>
      <c r="J932" s="82" t="s">
        <v>12</v>
      </c>
      <c r="K932" s="67">
        <v>1900</v>
      </c>
      <c r="L932" s="82">
        <f t="shared" si="58"/>
        <v>0</v>
      </c>
      <c r="M932" s="67">
        <v>400</v>
      </c>
      <c r="N932" s="82"/>
      <c r="O932" s="82">
        <f t="shared" si="59"/>
        <v>1500</v>
      </c>
      <c r="P932" s="82">
        <f t="shared" si="60"/>
        <v>0</v>
      </c>
      <c r="Q932" s="67">
        <v>1500</v>
      </c>
      <c r="R932" s="82"/>
      <c r="S932" s="67">
        <v>0</v>
      </c>
      <c r="T932" s="82"/>
      <c r="U932" s="67">
        <v>0</v>
      </c>
      <c r="V932" s="82"/>
      <c r="W932" s="82"/>
      <c r="X932" s="82"/>
      <c r="Y932" s="68">
        <v>15</v>
      </c>
      <c r="Z932" s="82"/>
      <c r="AA932" s="69">
        <v>44774</v>
      </c>
      <c r="AB932" s="74"/>
      <c r="AC932" s="75"/>
      <c r="AD932" s="70" t="s">
        <v>460</v>
      </c>
    </row>
    <row r="933" spans="1:30" s="76" customFormat="1" ht="37.5">
      <c r="A933" s="82">
        <f>+SUBTOTAL(3,$B$7:B933)</f>
        <v>927</v>
      </c>
      <c r="B933" s="82" t="s">
        <v>444</v>
      </c>
      <c r="C933" s="82" t="s">
        <v>111</v>
      </c>
      <c r="D933" s="66" t="s">
        <v>402</v>
      </c>
      <c r="E933" s="82">
        <v>1</v>
      </c>
      <c r="F933" s="67">
        <v>302027446</v>
      </c>
      <c r="G933" s="66" t="s">
        <v>430</v>
      </c>
      <c r="H933" s="66" t="s">
        <v>431</v>
      </c>
      <c r="I933" s="66" t="s">
        <v>6</v>
      </c>
      <c r="J933" s="82" t="s">
        <v>12</v>
      </c>
      <c r="K933" s="67">
        <v>6000</v>
      </c>
      <c r="L933" s="82">
        <f t="shared" si="58"/>
        <v>6000</v>
      </c>
      <c r="M933" s="67">
        <v>1000</v>
      </c>
      <c r="N933" s="82">
        <v>1000</v>
      </c>
      <c r="O933" s="82">
        <f t="shared" si="59"/>
        <v>5000</v>
      </c>
      <c r="P933" s="82">
        <f t="shared" si="60"/>
        <v>5000</v>
      </c>
      <c r="Q933" s="67">
        <v>5000</v>
      </c>
      <c r="R933" s="82">
        <v>5000</v>
      </c>
      <c r="S933" s="67">
        <v>0</v>
      </c>
      <c r="T933" s="82"/>
      <c r="U933" s="67">
        <v>0</v>
      </c>
      <c r="V933" s="82"/>
      <c r="W933" s="82"/>
      <c r="X933" s="82"/>
      <c r="Y933" s="68">
        <v>12</v>
      </c>
      <c r="Z933" s="82">
        <v>10</v>
      </c>
      <c r="AA933" s="69">
        <v>44166</v>
      </c>
      <c r="AB933" s="74">
        <v>44175</v>
      </c>
      <c r="AC933" s="75" t="s">
        <v>2055</v>
      </c>
      <c r="AD933" s="70" t="s">
        <v>460</v>
      </c>
    </row>
    <row r="934" spans="1:30" s="76" customFormat="1" ht="37.5">
      <c r="A934" s="82">
        <f>+SUBTOTAL(3,$B$7:B934)</f>
        <v>928</v>
      </c>
      <c r="B934" s="82" t="s">
        <v>444</v>
      </c>
      <c r="C934" s="82" t="s">
        <v>111</v>
      </c>
      <c r="D934" s="66" t="s">
        <v>402</v>
      </c>
      <c r="E934" s="82">
        <v>1</v>
      </c>
      <c r="F934" s="67">
        <v>305293811</v>
      </c>
      <c r="G934" s="66" t="s">
        <v>1725</v>
      </c>
      <c r="H934" s="66" t="s">
        <v>1726</v>
      </c>
      <c r="I934" s="66" t="s">
        <v>10</v>
      </c>
      <c r="J934" s="82" t="s">
        <v>66</v>
      </c>
      <c r="K934" s="67">
        <v>1500</v>
      </c>
      <c r="L934" s="82">
        <f t="shared" si="58"/>
        <v>300</v>
      </c>
      <c r="M934" s="67">
        <v>500</v>
      </c>
      <c r="N934" s="82"/>
      <c r="O934" s="82">
        <f t="shared" si="59"/>
        <v>1000</v>
      </c>
      <c r="P934" s="82">
        <f t="shared" si="60"/>
        <v>300</v>
      </c>
      <c r="Q934" s="67">
        <v>1000</v>
      </c>
      <c r="R934" s="82">
        <v>300</v>
      </c>
      <c r="S934" s="67"/>
      <c r="T934" s="82"/>
      <c r="U934" s="67"/>
      <c r="V934" s="82"/>
      <c r="W934" s="82"/>
      <c r="X934" s="82"/>
      <c r="Y934" s="68">
        <v>5</v>
      </c>
      <c r="Z934" s="82"/>
      <c r="AA934" s="69">
        <v>44348</v>
      </c>
      <c r="AB934" s="74"/>
      <c r="AC934" s="75"/>
      <c r="AD934" s="70" t="s">
        <v>460</v>
      </c>
    </row>
    <row r="935" spans="1:30" s="76" customFormat="1" ht="37.5">
      <c r="A935" s="82">
        <f>+SUBTOTAL(3,$B$7:B935)</f>
        <v>929</v>
      </c>
      <c r="B935" s="82" t="s">
        <v>444</v>
      </c>
      <c r="C935" s="82" t="s">
        <v>111</v>
      </c>
      <c r="D935" s="66" t="s">
        <v>402</v>
      </c>
      <c r="E935" s="82">
        <v>3</v>
      </c>
      <c r="F935" s="67">
        <v>301893684</v>
      </c>
      <c r="G935" s="66" t="s">
        <v>1727</v>
      </c>
      <c r="H935" s="66" t="s">
        <v>1728</v>
      </c>
      <c r="I935" s="66" t="s">
        <v>6</v>
      </c>
      <c r="J935" s="82" t="s">
        <v>54</v>
      </c>
      <c r="K935" s="67">
        <v>5811</v>
      </c>
      <c r="L935" s="82">
        <f t="shared" si="58"/>
        <v>3773.9999999999995</v>
      </c>
      <c r="M935" s="67">
        <v>2000</v>
      </c>
      <c r="N935" s="82"/>
      <c r="O935" s="82">
        <f t="shared" si="59"/>
        <v>3773.9999999999995</v>
      </c>
      <c r="P935" s="82">
        <f t="shared" si="60"/>
        <v>3773.9999999999995</v>
      </c>
      <c r="Q935" s="67"/>
      <c r="R935" s="82"/>
      <c r="S935" s="67">
        <v>370</v>
      </c>
      <c r="T935" s="82">
        <v>370</v>
      </c>
      <c r="U935" s="67"/>
      <c r="V935" s="82"/>
      <c r="W935" s="82"/>
      <c r="X935" s="82"/>
      <c r="Y935" s="68">
        <v>20</v>
      </c>
      <c r="Z935" s="82"/>
      <c r="AA935" s="69">
        <v>44287</v>
      </c>
      <c r="AB935" s="74"/>
      <c r="AC935" s="75"/>
      <c r="AD935" s="70" t="s">
        <v>460</v>
      </c>
    </row>
    <row r="936" spans="1:30" s="76" customFormat="1" ht="37.5">
      <c r="A936" s="82">
        <f>+SUBTOTAL(3,$B$7:B936)</f>
        <v>930</v>
      </c>
      <c r="B936" s="82" t="s">
        <v>444</v>
      </c>
      <c r="C936" s="82" t="s">
        <v>111</v>
      </c>
      <c r="D936" s="66" t="s">
        <v>402</v>
      </c>
      <c r="E936" s="82">
        <v>3</v>
      </c>
      <c r="F936" s="67">
        <v>201437708</v>
      </c>
      <c r="G936" s="66" t="s">
        <v>415</v>
      </c>
      <c r="H936" s="66" t="s">
        <v>1729</v>
      </c>
      <c r="I936" s="66" t="s">
        <v>6</v>
      </c>
      <c r="J936" s="82" t="s">
        <v>54</v>
      </c>
      <c r="K936" s="67">
        <v>1550</v>
      </c>
      <c r="L936" s="82">
        <f t="shared" si="58"/>
        <v>1224</v>
      </c>
      <c r="M936" s="67">
        <v>550</v>
      </c>
      <c r="N936" s="82"/>
      <c r="O936" s="82">
        <f t="shared" si="59"/>
        <v>1000</v>
      </c>
      <c r="P936" s="82">
        <f t="shared" si="60"/>
        <v>1224</v>
      </c>
      <c r="Q936" s="67">
        <v>1000</v>
      </c>
      <c r="R936" s="82"/>
      <c r="S936" s="67"/>
      <c r="T936" s="82">
        <v>120</v>
      </c>
      <c r="U936" s="67"/>
      <c r="V936" s="82"/>
      <c r="W936" s="82"/>
      <c r="X936" s="82"/>
      <c r="Y936" s="68">
        <v>50</v>
      </c>
      <c r="Z936" s="82"/>
      <c r="AA936" s="69">
        <v>44348</v>
      </c>
      <c r="AB936" s="74"/>
      <c r="AC936" s="75"/>
      <c r="AD936" s="70" t="s">
        <v>460</v>
      </c>
    </row>
    <row r="937" spans="1:30" s="76" customFormat="1" ht="37.5">
      <c r="A937" s="82">
        <f>+SUBTOTAL(3,$B$7:B937)</f>
        <v>931</v>
      </c>
      <c r="B937" s="82" t="s">
        <v>444</v>
      </c>
      <c r="C937" s="82" t="s">
        <v>111</v>
      </c>
      <c r="D937" s="66" t="s">
        <v>402</v>
      </c>
      <c r="E937" s="82">
        <v>4</v>
      </c>
      <c r="F937" s="67">
        <v>201437708</v>
      </c>
      <c r="G937" s="66" t="s">
        <v>415</v>
      </c>
      <c r="H937" s="66" t="s">
        <v>1157</v>
      </c>
      <c r="I937" s="66" t="s">
        <v>6</v>
      </c>
      <c r="J937" s="82" t="s">
        <v>34</v>
      </c>
      <c r="K937" s="67">
        <v>1250</v>
      </c>
      <c r="L937" s="82">
        <f t="shared" si="58"/>
        <v>0</v>
      </c>
      <c r="M937" s="67">
        <v>1250</v>
      </c>
      <c r="N937" s="82"/>
      <c r="O937" s="82">
        <f t="shared" si="59"/>
        <v>0</v>
      </c>
      <c r="P937" s="82">
        <f t="shared" si="60"/>
        <v>0</v>
      </c>
      <c r="Q937" s="67"/>
      <c r="R937" s="82"/>
      <c r="S937" s="67"/>
      <c r="T937" s="82"/>
      <c r="U937" s="67"/>
      <c r="V937" s="82"/>
      <c r="W937" s="82"/>
      <c r="X937" s="82"/>
      <c r="Y937" s="68">
        <v>20</v>
      </c>
      <c r="Z937" s="82"/>
      <c r="AA937" s="69">
        <v>44531</v>
      </c>
      <c r="AB937" s="74"/>
      <c r="AC937" s="75"/>
      <c r="AD937" s="70" t="s">
        <v>460</v>
      </c>
    </row>
    <row r="938" spans="1:30" s="76" customFormat="1" ht="37.5">
      <c r="A938" s="82">
        <f>+SUBTOTAL(3,$B$7:B938)</f>
        <v>932</v>
      </c>
      <c r="B938" s="82" t="s">
        <v>444</v>
      </c>
      <c r="C938" s="82" t="s">
        <v>111</v>
      </c>
      <c r="D938" s="66" t="s">
        <v>402</v>
      </c>
      <c r="E938" s="82">
        <v>1</v>
      </c>
      <c r="F938" s="67">
        <v>307045452</v>
      </c>
      <c r="G938" s="66" t="s">
        <v>434</v>
      </c>
      <c r="H938" s="66" t="s">
        <v>435</v>
      </c>
      <c r="I938" s="66" t="s">
        <v>6</v>
      </c>
      <c r="J938" s="82" t="s">
        <v>13</v>
      </c>
      <c r="K938" s="67">
        <v>13390.000000000002</v>
      </c>
      <c r="L938" s="82">
        <f t="shared" si="58"/>
        <v>0</v>
      </c>
      <c r="M938" s="67"/>
      <c r="N938" s="82"/>
      <c r="O938" s="82">
        <f t="shared" si="59"/>
        <v>0</v>
      </c>
      <c r="P938" s="82">
        <f t="shared" si="60"/>
        <v>0</v>
      </c>
      <c r="Q938" s="67"/>
      <c r="R938" s="82"/>
      <c r="S938" s="67"/>
      <c r="T938" s="82"/>
      <c r="U938" s="67">
        <v>1300</v>
      </c>
      <c r="V938" s="82"/>
      <c r="W938" s="82"/>
      <c r="X938" s="82"/>
      <c r="Y938" s="68">
        <v>20</v>
      </c>
      <c r="Z938" s="82"/>
      <c r="AA938" s="69">
        <v>44531</v>
      </c>
      <c r="AB938" s="74"/>
      <c r="AC938" s="75"/>
      <c r="AD938" s="70" t="s">
        <v>477</v>
      </c>
    </row>
    <row r="939" spans="1:30" s="76" customFormat="1" ht="37.5">
      <c r="A939" s="82">
        <f>+SUBTOTAL(3,$B$7:B939)</f>
        <v>933</v>
      </c>
      <c r="B939" s="82" t="s">
        <v>444</v>
      </c>
      <c r="C939" s="82" t="s">
        <v>111</v>
      </c>
      <c r="D939" s="66" t="s">
        <v>402</v>
      </c>
      <c r="E939" s="82">
        <v>3</v>
      </c>
      <c r="F939" s="67">
        <v>307348684</v>
      </c>
      <c r="G939" s="66" t="s">
        <v>1730</v>
      </c>
      <c r="H939" s="66" t="s">
        <v>37</v>
      </c>
      <c r="I939" s="66" t="s">
        <v>9</v>
      </c>
      <c r="J939" s="82" t="s">
        <v>37</v>
      </c>
      <c r="K939" s="67">
        <v>10000</v>
      </c>
      <c r="L939" s="82">
        <f t="shared" ref="L939:L967" si="61">+N939+R939+T939*10.2+V939*10.2</f>
        <v>0</v>
      </c>
      <c r="M939" s="67">
        <v>10000</v>
      </c>
      <c r="N939" s="82"/>
      <c r="O939" s="82">
        <f t="shared" si="59"/>
        <v>0</v>
      </c>
      <c r="P939" s="82">
        <f t="shared" si="60"/>
        <v>0</v>
      </c>
      <c r="Q939" s="67"/>
      <c r="R939" s="82"/>
      <c r="S939" s="67"/>
      <c r="T939" s="82"/>
      <c r="U939" s="67"/>
      <c r="V939" s="82"/>
      <c r="W939" s="82"/>
      <c r="X939" s="82"/>
      <c r="Y939" s="68">
        <v>150</v>
      </c>
      <c r="Z939" s="82"/>
      <c r="AA939" s="69">
        <v>44560</v>
      </c>
      <c r="AB939" s="74"/>
      <c r="AC939" s="75"/>
      <c r="AD939" s="70" t="s">
        <v>477</v>
      </c>
    </row>
    <row r="940" spans="1:30" s="76" customFormat="1" ht="37.5">
      <c r="A940" s="82">
        <f>+SUBTOTAL(3,$B$7:B940)</f>
        <v>934</v>
      </c>
      <c r="B940" s="82" t="s">
        <v>444</v>
      </c>
      <c r="C940" s="82" t="s">
        <v>111</v>
      </c>
      <c r="D940" s="66" t="s">
        <v>402</v>
      </c>
      <c r="E940" s="82">
        <v>3</v>
      </c>
      <c r="F940" s="67">
        <v>302318545</v>
      </c>
      <c r="G940" s="66" t="s">
        <v>426</v>
      </c>
      <c r="H940" s="66" t="s">
        <v>427</v>
      </c>
      <c r="I940" s="66" t="s">
        <v>6</v>
      </c>
      <c r="J940" s="82" t="s">
        <v>13</v>
      </c>
      <c r="K940" s="67">
        <v>2545</v>
      </c>
      <c r="L940" s="82">
        <f t="shared" si="61"/>
        <v>999.59999999999991</v>
      </c>
      <c r="M940" s="67">
        <v>1000</v>
      </c>
      <c r="N940" s="82"/>
      <c r="O940" s="82">
        <f t="shared" si="59"/>
        <v>1530</v>
      </c>
      <c r="P940" s="82">
        <f t="shared" si="60"/>
        <v>999.59999999999991</v>
      </c>
      <c r="Q940" s="67"/>
      <c r="R940" s="82"/>
      <c r="S940" s="67">
        <v>150</v>
      </c>
      <c r="T940" s="82">
        <v>98</v>
      </c>
      <c r="U940" s="67">
        <v>0</v>
      </c>
      <c r="V940" s="82"/>
      <c r="W940" s="82"/>
      <c r="X940" s="82"/>
      <c r="Y940" s="68">
        <v>5</v>
      </c>
      <c r="Z940" s="82"/>
      <c r="AA940" s="69">
        <v>44470</v>
      </c>
      <c r="AB940" s="74"/>
      <c r="AC940" s="75"/>
      <c r="AD940" s="70" t="s">
        <v>453</v>
      </c>
    </row>
    <row r="941" spans="1:30" s="76" customFormat="1" ht="37.5">
      <c r="A941" s="82">
        <f>+SUBTOTAL(3,$B$7:B941)</f>
        <v>935</v>
      </c>
      <c r="B941" s="82" t="s">
        <v>444</v>
      </c>
      <c r="C941" s="82" t="s">
        <v>111</v>
      </c>
      <c r="D941" s="66" t="s">
        <v>402</v>
      </c>
      <c r="E941" s="82">
        <v>4</v>
      </c>
      <c r="F941" s="67">
        <v>305161334</v>
      </c>
      <c r="G941" s="66" t="s">
        <v>1785</v>
      </c>
      <c r="H941" s="66" t="s">
        <v>211</v>
      </c>
      <c r="I941" s="66" t="s">
        <v>6</v>
      </c>
      <c r="J941" s="82" t="s">
        <v>12</v>
      </c>
      <c r="K941" s="67">
        <v>12000</v>
      </c>
      <c r="L941" s="82">
        <f t="shared" si="61"/>
        <v>0</v>
      </c>
      <c r="M941" s="67">
        <v>3760</v>
      </c>
      <c r="N941" s="82"/>
      <c r="O941" s="82">
        <f t="shared" si="59"/>
        <v>8159.9999999999991</v>
      </c>
      <c r="P941" s="82">
        <f t="shared" si="60"/>
        <v>0</v>
      </c>
      <c r="Q941" s="67">
        <v>0</v>
      </c>
      <c r="R941" s="82"/>
      <c r="S941" s="67">
        <v>800</v>
      </c>
      <c r="T941" s="82"/>
      <c r="U941" s="67">
        <v>0</v>
      </c>
      <c r="V941" s="82"/>
      <c r="W941" s="82"/>
      <c r="X941" s="82"/>
      <c r="Y941" s="68">
        <v>15</v>
      </c>
      <c r="Z941" s="82"/>
      <c r="AA941" s="69">
        <v>44470</v>
      </c>
      <c r="AB941" s="74"/>
      <c r="AC941" s="75"/>
      <c r="AD941" s="70" t="s">
        <v>1</v>
      </c>
    </row>
    <row r="942" spans="1:30" s="76" customFormat="1" ht="37.5">
      <c r="A942" s="82">
        <f>+SUBTOTAL(3,$B$7:B942)</f>
        <v>936</v>
      </c>
      <c r="B942" s="82" t="s">
        <v>444</v>
      </c>
      <c r="C942" s="82" t="s">
        <v>111</v>
      </c>
      <c r="D942" s="66" t="s">
        <v>402</v>
      </c>
      <c r="E942" s="82">
        <v>4</v>
      </c>
      <c r="F942" s="67">
        <v>307366156</v>
      </c>
      <c r="G942" s="66" t="s">
        <v>1731</v>
      </c>
      <c r="H942" s="66" t="s">
        <v>1732</v>
      </c>
      <c r="I942" s="66" t="s">
        <v>9</v>
      </c>
      <c r="J942" s="82" t="s">
        <v>38</v>
      </c>
      <c r="K942" s="67">
        <v>1500</v>
      </c>
      <c r="L942" s="82">
        <f t="shared" si="61"/>
        <v>0</v>
      </c>
      <c r="M942" s="67">
        <v>500</v>
      </c>
      <c r="N942" s="82"/>
      <c r="O942" s="82">
        <f t="shared" si="59"/>
        <v>1000</v>
      </c>
      <c r="P942" s="82">
        <f t="shared" si="60"/>
        <v>0</v>
      </c>
      <c r="Q942" s="67">
        <v>1000</v>
      </c>
      <c r="R942" s="82"/>
      <c r="S942" s="67">
        <v>0</v>
      </c>
      <c r="T942" s="82"/>
      <c r="U942" s="67">
        <v>0</v>
      </c>
      <c r="V942" s="82"/>
      <c r="W942" s="82"/>
      <c r="X942" s="82"/>
      <c r="Y942" s="68">
        <v>5</v>
      </c>
      <c r="Z942" s="82"/>
      <c r="AA942" s="69">
        <v>44531</v>
      </c>
      <c r="AB942" s="74"/>
      <c r="AC942" s="75"/>
      <c r="AD942" s="70" t="s">
        <v>445</v>
      </c>
    </row>
    <row r="943" spans="1:30" s="76" customFormat="1" ht="37.5">
      <c r="A943" s="82">
        <f>+SUBTOTAL(3,$B$7:B943)</f>
        <v>937</v>
      </c>
      <c r="B943" s="82" t="s">
        <v>444</v>
      </c>
      <c r="C943" s="82" t="s">
        <v>111</v>
      </c>
      <c r="D943" s="66" t="s">
        <v>402</v>
      </c>
      <c r="E943" s="82">
        <v>1</v>
      </c>
      <c r="F943" s="67">
        <v>300533523</v>
      </c>
      <c r="G943" s="66" t="s">
        <v>405</v>
      </c>
      <c r="H943" s="66" t="s">
        <v>406</v>
      </c>
      <c r="I943" s="66" t="s">
        <v>6</v>
      </c>
      <c r="J943" s="82" t="s">
        <v>12</v>
      </c>
      <c r="K943" s="67">
        <v>4000</v>
      </c>
      <c r="L943" s="82">
        <f t="shared" si="61"/>
        <v>3500</v>
      </c>
      <c r="M943" s="67">
        <v>500</v>
      </c>
      <c r="N943" s="82"/>
      <c r="O943" s="82">
        <f t="shared" si="59"/>
        <v>3500</v>
      </c>
      <c r="P943" s="82">
        <f t="shared" si="60"/>
        <v>3500</v>
      </c>
      <c r="Q943" s="67">
        <v>3500</v>
      </c>
      <c r="R943" s="82">
        <v>3500</v>
      </c>
      <c r="S943" s="67">
        <v>0</v>
      </c>
      <c r="T943" s="82"/>
      <c r="U943" s="67">
        <v>0</v>
      </c>
      <c r="V943" s="82"/>
      <c r="W943" s="82"/>
      <c r="X943" s="82"/>
      <c r="Y943" s="68">
        <v>5</v>
      </c>
      <c r="Z943" s="82"/>
      <c r="AA943" s="69">
        <v>44256</v>
      </c>
      <c r="AB943" s="74"/>
      <c r="AC943" s="75"/>
      <c r="AD943" s="70" t="s">
        <v>445</v>
      </c>
    </row>
    <row r="944" spans="1:30" s="76" customFormat="1" ht="37.5">
      <c r="A944" s="82">
        <f>+SUBTOTAL(3,$B$7:B944)</f>
        <v>938</v>
      </c>
      <c r="B944" s="82" t="s">
        <v>444</v>
      </c>
      <c r="C944" s="82" t="s">
        <v>111</v>
      </c>
      <c r="D944" s="66" t="s">
        <v>402</v>
      </c>
      <c r="E944" s="82">
        <v>1</v>
      </c>
      <c r="F944" s="67">
        <v>300533523</v>
      </c>
      <c r="G944" s="66" t="s">
        <v>405</v>
      </c>
      <c r="H944" s="66" t="s">
        <v>121</v>
      </c>
      <c r="I944" s="66" t="s">
        <v>6</v>
      </c>
      <c r="J944" s="82" t="s">
        <v>12</v>
      </c>
      <c r="K944" s="67">
        <v>2000</v>
      </c>
      <c r="L944" s="82">
        <f t="shared" si="61"/>
        <v>1500</v>
      </c>
      <c r="M944" s="67">
        <v>500</v>
      </c>
      <c r="N944" s="82"/>
      <c r="O944" s="82">
        <f t="shared" si="59"/>
        <v>1500</v>
      </c>
      <c r="P944" s="82">
        <f t="shared" si="60"/>
        <v>1500</v>
      </c>
      <c r="Q944" s="67">
        <v>1500</v>
      </c>
      <c r="R944" s="82">
        <v>1500</v>
      </c>
      <c r="S944" s="67">
        <v>0</v>
      </c>
      <c r="T944" s="82"/>
      <c r="U944" s="67">
        <v>0</v>
      </c>
      <c r="V944" s="82"/>
      <c r="W944" s="82"/>
      <c r="X944" s="82"/>
      <c r="Y944" s="68">
        <v>30</v>
      </c>
      <c r="Z944" s="82"/>
      <c r="AA944" s="18">
        <v>44256</v>
      </c>
      <c r="AB944" s="74"/>
      <c r="AC944" s="75"/>
      <c r="AD944" s="70" t="s">
        <v>445</v>
      </c>
    </row>
    <row r="945" spans="1:30" s="76" customFormat="1" ht="37.5">
      <c r="A945" s="82">
        <f>+SUBTOTAL(3,$B$7:B945)</f>
        <v>939</v>
      </c>
      <c r="B945" s="82" t="s">
        <v>444</v>
      </c>
      <c r="C945" s="82" t="s">
        <v>111</v>
      </c>
      <c r="D945" s="66" t="s">
        <v>402</v>
      </c>
      <c r="E945" s="82">
        <v>4</v>
      </c>
      <c r="F945" s="67">
        <v>305812529</v>
      </c>
      <c r="G945" s="66" t="s">
        <v>432</v>
      </c>
      <c r="H945" s="66" t="s">
        <v>1697</v>
      </c>
      <c r="I945" s="66" t="s">
        <v>10</v>
      </c>
      <c r="J945" s="82" t="s">
        <v>59</v>
      </c>
      <c r="K945" s="67">
        <v>5300</v>
      </c>
      <c r="L945" s="82">
        <f t="shared" si="61"/>
        <v>800</v>
      </c>
      <c r="M945" s="67">
        <v>5000</v>
      </c>
      <c r="N945" s="82">
        <v>300</v>
      </c>
      <c r="O945" s="82">
        <f t="shared" si="59"/>
        <v>300</v>
      </c>
      <c r="P945" s="82">
        <f t="shared" si="60"/>
        <v>500</v>
      </c>
      <c r="Q945" s="67">
        <v>300</v>
      </c>
      <c r="R945" s="82">
        <v>500</v>
      </c>
      <c r="S945" s="67">
        <v>0</v>
      </c>
      <c r="T945" s="82"/>
      <c r="U945" s="67">
        <v>0</v>
      </c>
      <c r="V945" s="82"/>
      <c r="W945" s="82"/>
      <c r="X945" s="82"/>
      <c r="Y945" s="68">
        <v>16</v>
      </c>
      <c r="Z945" s="82">
        <v>10</v>
      </c>
      <c r="AA945" s="69">
        <v>44348</v>
      </c>
      <c r="AB945" s="74">
        <v>44136</v>
      </c>
      <c r="AC945" s="75" t="s">
        <v>1943</v>
      </c>
      <c r="AD945" s="70" t="s">
        <v>445</v>
      </c>
    </row>
    <row r="946" spans="1:30" s="76" customFormat="1" ht="37.5">
      <c r="A946" s="82">
        <f>+SUBTOTAL(3,$B$7:B946)</f>
        <v>940</v>
      </c>
      <c r="B946" s="82" t="s">
        <v>444</v>
      </c>
      <c r="C946" s="82" t="s">
        <v>111</v>
      </c>
      <c r="D946" s="66" t="s">
        <v>402</v>
      </c>
      <c r="E946" s="82">
        <v>4</v>
      </c>
      <c r="F946" s="67">
        <v>464414721</v>
      </c>
      <c r="G946" s="66" t="s">
        <v>433</v>
      </c>
      <c r="H946" s="66" t="s">
        <v>411</v>
      </c>
      <c r="I946" s="66" t="s">
        <v>10</v>
      </c>
      <c r="J946" s="82" t="s">
        <v>44</v>
      </c>
      <c r="K946" s="67">
        <v>500</v>
      </c>
      <c r="L946" s="82">
        <f t="shared" si="61"/>
        <v>500</v>
      </c>
      <c r="M946" s="67">
        <v>500</v>
      </c>
      <c r="N946" s="82">
        <v>500</v>
      </c>
      <c r="O946" s="82">
        <f t="shared" si="59"/>
        <v>0</v>
      </c>
      <c r="P946" s="82">
        <f t="shared" si="60"/>
        <v>0</v>
      </c>
      <c r="Q946" s="67"/>
      <c r="R946" s="82"/>
      <c r="S946" s="67"/>
      <c r="T946" s="82"/>
      <c r="U946" s="67">
        <v>0</v>
      </c>
      <c r="V946" s="82"/>
      <c r="W946" s="82"/>
      <c r="X946" s="82"/>
      <c r="Y946" s="68">
        <v>2</v>
      </c>
      <c r="Z946" s="82">
        <v>2</v>
      </c>
      <c r="AA946" s="69">
        <v>44166</v>
      </c>
      <c r="AB946" s="74">
        <v>44151</v>
      </c>
      <c r="AC946" s="75" t="s">
        <v>1944</v>
      </c>
      <c r="AD946" s="70" t="s">
        <v>445</v>
      </c>
    </row>
    <row r="947" spans="1:30" s="76" customFormat="1" ht="37.5">
      <c r="A947" s="82">
        <f>+SUBTOTAL(3,$B$7:B947)</f>
        <v>941</v>
      </c>
      <c r="B947" s="82" t="s">
        <v>444</v>
      </c>
      <c r="C947" s="82" t="s">
        <v>111</v>
      </c>
      <c r="D947" s="66" t="s">
        <v>402</v>
      </c>
      <c r="E947" s="82">
        <v>2</v>
      </c>
      <c r="F947" s="67">
        <v>307286730</v>
      </c>
      <c r="G947" s="66" t="s">
        <v>1733</v>
      </c>
      <c r="H947" s="66" t="s">
        <v>160</v>
      </c>
      <c r="I947" s="66" t="s">
        <v>9</v>
      </c>
      <c r="J947" s="82" t="s">
        <v>36</v>
      </c>
      <c r="K947" s="67">
        <v>725</v>
      </c>
      <c r="L947" s="82">
        <f t="shared" si="61"/>
        <v>1000</v>
      </c>
      <c r="M947" s="67">
        <v>225</v>
      </c>
      <c r="N947" s="82">
        <v>660</v>
      </c>
      <c r="O947" s="82">
        <f t="shared" si="59"/>
        <v>500</v>
      </c>
      <c r="P947" s="82">
        <f t="shared" si="60"/>
        <v>340</v>
      </c>
      <c r="Q947" s="67">
        <v>500</v>
      </c>
      <c r="R947" s="82">
        <v>340</v>
      </c>
      <c r="S947" s="67"/>
      <c r="T947" s="82"/>
      <c r="U947" s="67"/>
      <c r="V947" s="82"/>
      <c r="W947" s="82"/>
      <c r="X947" s="82"/>
      <c r="Y947" s="68">
        <v>4</v>
      </c>
      <c r="Z947" s="82">
        <v>3</v>
      </c>
      <c r="AA947" s="18">
        <v>44166</v>
      </c>
      <c r="AB947" s="74">
        <v>44136</v>
      </c>
      <c r="AC947" s="75" t="s">
        <v>1945</v>
      </c>
      <c r="AD947" s="70" t="s">
        <v>445</v>
      </c>
    </row>
    <row r="948" spans="1:30" s="76" customFormat="1" ht="37.5">
      <c r="A948" s="82">
        <f>+SUBTOTAL(3,$B$7:B948)</f>
        <v>942</v>
      </c>
      <c r="B948" s="82" t="s">
        <v>444</v>
      </c>
      <c r="C948" s="82" t="s">
        <v>111</v>
      </c>
      <c r="D948" s="66" t="s">
        <v>402</v>
      </c>
      <c r="E948" s="82">
        <v>3</v>
      </c>
      <c r="F948" s="67">
        <v>307284781</v>
      </c>
      <c r="G948" s="66" t="s">
        <v>1734</v>
      </c>
      <c r="H948" s="66" t="s">
        <v>160</v>
      </c>
      <c r="I948" s="66" t="s">
        <v>9</v>
      </c>
      <c r="J948" s="82" t="s">
        <v>36</v>
      </c>
      <c r="K948" s="67">
        <v>710</v>
      </c>
      <c r="L948" s="82">
        <f t="shared" si="61"/>
        <v>1000</v>
      </c>
      <c r="M948" s="67">
        <v>233</v>
      </c>
      <c r="N948" s="82">
        <v>580</v>
      </c>
      <c r="O948" s="82">
        <f t="shared" si="59"/>
        <v>477</v>
      </c>
      <c r="P948" s="82">
        <f t="shared" si="60"/>
        <v>420</v>
      </c>
      <c r="Q948" s="67">
        <v>477</v>
      </c>
      <c r="R948" s="82">
        <v>420</v>
      </c>
      <c r="S948" s="67"/>
      <c r="T948" s="82"/>
      <c r="U948" s="67"/>
      <c r="V948" s="82"/>
      <c r="W948" s="82"/>
      <c r="X948" s="82"/>
      <c r="Y948" s="68">
        <v>4</v>
      </c>
      <c r="Z948" s="82">
        <v>3</v>
      </c>
      <c r="AA948" s="69">
        <v>44166</v>
      </c>
      <c r="AB948" s="74">
        <v>44136</v>
      </c>
      <c r="AC948" s="75" t="s">
        <v>1946</v>
      </c>
      <c r="AD948" s="70" t="s">
        <v>445</v>
      </c>
    </row>
    <row r="949" spans="1:30" s="76" customFormat="1" ht="37.5">
      <c r="A949" s="82">
        <f>+SUBTOTAL(3,$B$7:B949)</f>
        <v>943</v>
      </c>
      <c r="B949" s="82" t="s">
        <v>444</v>
      </c>
      <c r="C949" s="82" t="s">
        <v>111</v>
      </c>
      <c r="D949" s="66" t="s">
        <v>402</v>
      </c>
      <c r="E949" s="82">
        <v>1</v>
      </c>
      <c r="F949" s="67">
        <v>307289766</v>
      </c>
      <c r="G949" s="66" t="s">
        <v>1735</v>
      </c>
      <c r="H949" s="66" t="s">
        <v>1736</v>
      </c>
      <c r="I949" s="66" t="s">
        <v>9</v>
      </c>
      <c r="J949" s="82" t="s">
        <v>36</v>
      </c>
      <c r="K949" s="67">
        <v>3000</v>
      </c>
      <c r="L949" s="82">
        <f t="shared" si="61"/>
        <v>0</v>
      </c>
      <c r="M949" s="67">
        <v>2000</v>
      </c>
      <c r="N949" s="82"/>
      <c r="O949" s="82">
        <f t="shared" si="59"/>
        <v>1000</v>
      </c>
      <c r="P949" s="82">
        <f t="shared" si="60"/>
        <v>0</v>
      </c>
      <c r="Q949" s="67">
        <v>1000</v>
      </c>
      <c r="R949" s="82"/>
      <c r="S949" s="67"/>
      <c r="T949" s="82"/>
      <c r="U949" s="67"/>
      <c r="V949" s="82"/>
      <c r="W949" s="82"/>
      <c r="X949" s="82"/>
      <c r="Y949" s="68">
        <v>20</v>
      </c>
      <c r="Z949" s="82"/>
      <c r="AA949" s="69">
        <v>44501</v>
      </c>
      <c r="AB949" s="74"/>
      <c r="AC949" s="75"/>
      <c r="AD949" s="70" t="s">
        <v>445</v>
      </c>
    </row>
    <row r="950" spans="1:30" s="76" customFormat="1" ht="37.5">
      <c r="A950" s="82">
        <f>+SUBTOTAL(3,$B$7:B950)</f>
        <v>944</v>
      </c>
      <c r="B950" s="82" t="s">
        <v>444</v>
      </c>
      <c r="C950" s="82" t="s">
        <v>111</v>
      </c>
      <c r="D950" s="66" t="s">
        <v>402</v>
      </c>
      <c r="E950" s="82">
        <v>2</v>
      </c>
      <c r="F950" s="67">
        <v>305327656</v>
      </c>
      <c r="G950" s="66" t="s">
        <v>1737</v>
      </c>
      <c r="H950" s="66" t="s">
        <v>118</v>
      </c>
      <c r="I950" s="66" t="s">
        <v>6</v>
      </c>
      <c r="J950" s="82" t="s">
        <v>52</v>
      </c>
      <c r="K950" s="67">
        <v>1300</v>
      </c>
      <c r="L950" s="82">
        <f t="shared" si="61"/>
        <v>1300</v>
      </c>
      <c r="M950" s="67">
        <v>800</v>
      </c>
      <c r="N950" s="82">
        <v>800</v>
      </c>
      <c r="O950" s="82">
        <f t="shared" si="59"/>
        <v>500</v>
      </c>
      <c r="P950" s="82">
        <f t="shared" si="60"/>
        <v>500</v>
      </c>
      <c r="Q950" s="67">
        <v>500</v>
      </c>
      <c r="R950" s="82">
        <v>500</v>
      </c>
      <c r="S950" s="67"/>
      <c r="T950" s="82"/>
      <c r="U950" s="67"/>
      <c r="V950" s="82"/>
      <c r="W950" s="82"/>
      <c r="X950" s="82"/>
      <c r="Y950" s="68">
        <v>10</v>
      </c>
      <c r="Z950" s="82">
        <v>10</v>
      </c>
      <c r="AA950" s="69">
        <v>44166</v>
      </c>
      <c r="AB950" s="74">
        <v>44166</v>
      </c>
      <c r="AC950" s="75" t="s">
        <v>2040</v>
      </c>
      <c r="AD950" s="70" t="s">
        <v>445</v>
      </c>
    </row>
    <row r="951" spans="1:30" s="76" customFormat="1" ht="37.5">
      <c r="A951" s="82">
        <f>+SUBTOTAL(3,$B$7:B951)</f>
        <v>945</v>
      </c>
      <c r="B951" s="82" t="s">
        <v>444</v>
      </c>
      <c r="C951" s="82" t="s">
        <v>111</v>
      </c>
      <c r="D951" s="66" t="s">
        <v>402</v>
      </c>
      <c r="E951" s="82">
        <v>1</v>
      </c>
      <c r="F951" s="67">
        <v>303252855</v>
      </c>
      <c r="G951" s="66" t="s">
        <v>1738</v>
      </c>
      <c r="H951" s="66" t="s">
        <v>1739</v>
      </c>
      <c r="I951" s="66" t="s">
        <v>9</v>
      </c>
      <c r="J951" s="82" t="s">
        <v>36</v>
      </c>
      <c r="K951" s="67">
        <v>1500</v>
      </c>
      <c r="L951" s="82">
        <f t="shared" si="61"/>
        <v>1500</v>
      </c>
      <c r="M951" s="67">
        <v>500</v>
      </c>
      <c r="N951" s="82">
        <v>1500</v>
      </c>
      <c r="O951" s="82">
        <f t="shared" si="59"/>
        <v>1000</v>
      </c>
      <c r="P951" s="82">
        <f t="shared" si="60"/>
        <v>0</v>
      </c>
      <c r="Q951" s="67">
        <v>1000</v>
      </c>
      <c r="R951" s="82"/>
      <c r="S951" s="67"/>
      <c r="T951" s="82"/>
      <c r="U951" s="67"/>
      <c r="V951" s="82"/>
      <c r="W951" s="82"/>
      <c r="X951" s="82"/>
      <c r="Y951" s="68">
        <v>3</v>
      </c>
      <c r="Z951" s="82">
        <v>3</v>
      </c>
      <c r="AA951" s="69">
        <v>44560</v>
      </c>
      <c r="AB951" s="74">
        <v>44147</v>
      </c>
      <c r="AC951" s="75" t="s">
        <v>1947</v>
      </c>
      <c r="AD951" s="70" t="s">
        <v>445</v>
      </c>
    </row>
    <row r="952" spans="1:30" s="76" customFormat="1" ht="56.25">
      <c r="A952" s="82">
        <f>+SUBTOTAL(3,$B$7:B952)</f>
        <v>946</v>
      </c>
      <c r="B952" s="95" t="s">
        <v>2100</v>
      </c>
      <c r="C952" s="82" t="s">
        <v>111</v>
      </c>
      <c r="D952" s="66" t="s">
        <v>402</v>
      </c>
      <c r="E952" s="82">
        <v>2</v>
      </c>
      <c r="F952" s="67">
        <v>304814240</v>
      </c>
      <c r="G952" s="66" t="s">
        <v>1740</v>
      </c>
      <c r="H952" s="66" t="s">
        <v>408</v>
      </c>
      <c r="I952" s="66" t="s">
        <v>10</v>
      </c>
      <c r="J952" s="82" t="s">
        <v>66</v>
      </c>
      <c r="K952" s="67">
        <v>51500</v>
      </c>
      <c r="L952" s="82">
        <f t="shared" si="61"/>
        <v>0</v>
      </c>
      <c r="M952" s="67">
        <v>0</v>
      </c>
      <c r="N952" s="82"/>
      <c r="O952" s="82">
        <f t="shared" si="59"/>
        <v>0</v>
      </c>
      <c r="P952" s="82">
        <f t="shared" si="60"/>
        <v>0</v>
      </c>
      <c r="Q952" s="67"/>
      <c r="R952" s="82"/>
      <c r="S952" s="67"/>
      <c r="T952" s="82"/>
      <c r="U952" s="67">
        <v>5000</v>
      </c>
      <c r="V952" s="82"/>
      <c r="W952" s="82"/>
      <c r="X952" s="82"/>
      <c r="Y952" s="68">
        <v>25</v>
      </c>
      <c r="Z952" s="82"/>
      <c r="AA952" s="69">
        <v>44805</v>
      </c>
      <c r="AB952" s="74"/>
      <c r="AC952" s="75"/>
      <c r="AD952" s="70" t="s">
        <v>84</v>
      </c>
    </row>
    <row r="953" spans="1:30" s="76" customFormat="1" ht="37.5">
      <c r="A953" s="82">
        <f>+SUBTOTAL(3,$B$7:B953)</f>
        <v>947</v>
      </c>
      <c r="B953" s="82" t="s">
        <v>444</v>
      </c>
      <c r="C953" s="82" t="s">
        <v>111</v>
      </c>
      <c r="D953" s="66" t="s">
        <v>402</v>
      </c>
      <c r="E953" s="82">
        <v>3</v>
      </c>
      <c r="F953" s="67">
        <v>306377697</v>
      </c>
      <c r="G953" s="66" t="s">
        <v>407</v>
      </c>
      <c r="H953" s="66" t="s">
        <v>409</v>
      </c>
      <c r="I953" s="66" t="s">
        <v>10</v>
      </c>
      <c r="J953" s="82" t="s">
        <v>59</v>
      </c>
      <c r="K953" s="67">
        <v>3090</v>
      </c>
      <c r="L953" s="82">
        <f t="shared" si="61"/>
        <v>0</v>
      </c>
      <c r="M953" s="67">
        <v>0</v>
      </c>
      <c r="N953" s="82"/>
      <c r="O953" s="82">
        <f t="shared" si="59"/>
        <v>0</v>
      </c>
      <c r="P953" s="82">
        <f t="shared" si="60"/>
        <v>0</v>
      </c>
      <c r="Q953" s="67"/>
      <c r="R953" s="82"/>
      <c r="S953" s="67"/>
      <c r="T953" s="82"/>
      <c r="U953" s="67">
        <v>300</v>
      </c>
      <c r="V953" s="82"/>
      <c r="W953" s="82"/>
      <c r="X953" s="82"/>
      <c r="Y953" s="68">
        <v>10</v>
      </c>
      <c r="Z953" s="82"/>
      <c r="AA953" s="69">
        <v>44560</v>
      </c>
      <c r="AB953" s="74"/>
      <c r="AC953" s="75"/>
      <c r="AD953" s="70" t="s">
        <v>84</v>
      </c>
    </row>
    <row r="954" spans="1:30" s="76" customFormat="1" ht="37.5">
      <c r="A954" s="82">
        <f>+SUBTOTAL(3,$B$7:B954)</f>
        <v>948</v>
      </c>
      <c r="B954" s="82" t="s">
        <v>444</v>
      </c>
      <c r="C954" s="82" t="s">
        <v>111</v>
      </c>
      <c r="D954" s="66" t="s">
        <v>402</v>
      </c>
      <c r="E954" s="82">
        <v>1</v>
      </c>
      <c r="F954" s="67">
        <v>302874350</v>
      </c>
      <c r="G954" s="66" t="s">
        <v>436</v>
      </c>
      <c r="H954" s="66" t="s">
        <v>437</v>
      </c>
      <c r="I954" s="66" t="s">
        <v>10</v>
      </c>
      <c r="J954" s="82" t="s">
        <v>44</v>
      </c>
      <c r="K954" s="67">
        <v>4000</v>
      </c>
      <c r="L954" s="82">
        <f t="shared" si="61"/>
        <v>2725</v>
      </c>
      <c r="M954" s="67">
        <v>1000</v>
      </c>
      <c r="N954" s="82"/>
      <c r="O954" s="82">
        <f t="shared" si="59"/>
        <v>3000</v>
      </c>
      <c r="P954" s="82">
        <f t="shared" si="60"/>
        <v>2725</v>
      </c>
      <c r="Q954" s="67">
        <v>3000</v>
      </c>
      <c r="R954" s="82">
        <v>2725</v>
      </c>
      <c r="S954" s="67"/>
      <c r="T954" s="82"/>
      <c r="U954" s="67"/>
      <c r="V954" s="82"/>
      <c r="W954" s="82"/>
      <c r="X954" s="82"/>
      <c r="Y954" s="68">
        <v>20</v>
      </c>
      <c r="Z954" s="82"/>
      <c r="AA954" s="69">
        <v>44652</v>
      </c>
      <c r="AB954" s="74"/>
      <c r="AC954" s="75"/>
      <c r="AD954" s="70" t="s">
        <v>4</v>
      </c>
    </row>
    <row r="955" spans="1:30" s="76" customFormat="1" ht="37.5">
      <c r="A955" s="82">
        <f>+SUBTOTAL(3,$B$7:B955)</f>
        <v>949</v>
      </c>
      <c r="B955" s="82" t="s">
        <v>444</v>
      </c>
      <c r="C955" s="82" t="s">
        <v>111</v>
      </c>
      <c r="D955" s="66" t="s">
        <v>402</v>
      </c>
      <c r="E955" s="82">
        <v>3</v>
      </c>
      <c r="F955" s="67">
        <v>301990629</v>
      </c>
      <c r="G955" s="66" t="s">
        <v>1741</v>
      </c>
      <c r="H955" s="66" t="s">
        <v>1742</v>
      </c>
      <c r="I955" s="66" t="s">
        <v>9</v>
      </c>
      <c r="J955" s="82" t="s">
        <v>37</v>
      </c>
      <c r="K955" s="67">
        <v>40389.5</v>
      </c>
      <c r="L955" s="82">
        <f t="shared" si="61"/>
        <v>0</v>
      </c>
      <c r="M955" s="67">
        <v>15000</v>
      </c>
      <c r="N955" s="82"/>
      <c r="O955" s="82">
        <f t="shared" si="59"/>
        <v>25143</v>
      </c>
      <c r="P955" s="82">
        <f t="shared" si="60"/>
        <v>0</v>
      </c>
      <c r="Q955" s="67"/>
      <c r="R955" s="82"/>
      <c r="S955" s="67">
        <v>2465</v>
      </c>
      <c r="T955" s="82"/>
      <c r="U955" s="67"/>
      <c r="V955" s="82"/>
      <c r="W955" s="82"/>
      <c r="X955" s="82"/>
      <c r="Y955" s="68">
        <v>80</v>
      </c>
      <c r="Z955" s="82"/>
      <c r="AA955" s="69">
        <v>44317</v>
      </c>
      <c r="AB955" s="74"/>
      <c r="AC955" s="75"/>
      <c r="AD955" s="70" t="s">
        <v>445</v>
      </c>
    </row>
    <row r="956" spans="1:30" s="76" customFormat="1" ht="37.5">
      <c r="A956" s="82">
        <f>+SUBTOTAL(3,$B$7:B956)</f>
        <v>950</v>
      </c>
      <c r="B956" s="82" t="s">
        <v>444</v>
      </c>
      <c r="C956" s="82" t="s">
        <v>111</v>
      </c>
      <c r="D956" s="66" t="s">
        <v>402</v>
      </c>
      <c r="E956" s="82">
        <v>1</v>
      </c>
      <c r="F956" s="67">
        <v>302133347</v>
      </c>
      <c r="G956" s="66" t="s">
        <v>410</v>
      </c>
      <c r="H956" s="66" t="s">
        <v>411</v>
      </c>
      <c r="I956" s="66" t="s">
        <v>10</v>
      </c>
      <c r="J956" s="82" t="s">
        <v>44</v>
      </c>
      <c r="K956" s="67">
        <v>2800</v>
      </c>
      <c r="L956" s="82">
        <f t="shared" si="61"/>
        <v>500</v>
      </c>
      <c r="M956" s="67">
        <v>1800</v>
      </c>
      <c r="N956" s="82"/>
      <c r="O956" s="82">
        <f t="shared" si="59"/>
        <v>1000</v>
      </c>
      <c r="P956" s="82">
        <f t="shared" si="60"/>
        <v>500</v>
      </c>
      <c r="Q956" s="67">
        <v>1000</v>
      </c>
      <c r="R956" s="82">
        <v>500</v>
      </c>
      <c r="S956" s="67">
        <v>0</v>
      </c>
      <c r="T956" s="82"/>
      <c r="U956" s="67">
        <v>0</v>
      </c>
      <c r="V956" s="82"/>
      <c r="W956" s="82"/>
      <c r="X956" s="82"/>
      <c r="Y956" s="68">
        <v>8</v>
      </c>
      <c r="Z956" s="82"/>
      <c r="AA956" s="69">
        <v>44317</v>
      </c>
      <c r="AB956" s="74"/>
      <c r="AC956" s="75"/>
      <c r="AD956" s="70" t="s">
        <v>3</v>
      </c>
    </row>
    <row r="957" spans="1:30" s="76" customFormat="1" ht="37.5">
      <c r="A957" s="82">
        <f>+SUBTOTAL(3,$B$7:B957)</f>
        <v>951</v>
      </c>
      <c r="B957" s="82" t="s">
        <v>444</v>
      </c>
      <c r="C957" s="82" t="s">
        <v>111</v>
      </c>
      <c r="D957" s="66" t="s">
        <v>402</v>
      </c>
      <c r="E957" s="82">
        <v>2</v>
      </c>
      <c r="F957" s="67">
        <v>304760064</v>
      </c>
      <c r="G957" s="66" t="s">
        <v>420</v>
      </c>
      <c r="H957" s="66" t="s">
        <v>421</v>
      </c>
      <c r="I957" s="66" t="s">
        <v>6</v>
      </c>
      <c r="J957" s="82" t="s">
        <v>12</v>
      </c>
      <c r="K957" s="67">
        <v>500</v>
      </c>
      <c r="L957" s="82">
        <f t="shared" si="61"/>
        <v>500</v>
      </c>
      <c r="M957" s="67">
        <v>200</v>
      </c>
      <c r="N957" s="82">
        <v>320</v>
      </c>
      <c r="O957" s="82">
        <f t="shared" si="59"/>
        <v>300</v>
      </c>
      <c r="P957" s="82">
        <f t="shared" si="60"/>
        <v>180</v>
      </c>
      <c r="Q957" s="67">
        <v>300</v>
      </c>
      <c r="R957" s="82">
        <v>180</v>
      </c>
      <c r="S957" s="67">
        <v>0</v>
      </c>
      <c r="T957" s="82"/>
      <c r="U957" s="67">
        <v>0</v>
      </c>
      <c r="V957" s="82"/>
      <c r="W957" s="82"/>
      <c r="X957" s="82"/>
      <c r="Y957" s="68">
        <v>6</v>
      </c>
      <c r="Z957" s="82">
        <v>2</v>
      </c>
      <c r="AA957" s="69">
        <v>44378</v>
      </c>
      <c r="AB957" s="74">
        <v>44175</v>
      </c>
      <c r="AC957" s="75" t="s">
        <v>2063</v>
      </c>
      <c r="AD957" s="70" t="s">
        <v>3</v>
      </c>
    </row>
    <row r="958" spans="1:30" s="76" customFormat="1" ht="37.5">
      <c r="A958" s="82">
        <f>+SUBTOTAL(3,$B$7:B958)</f>
        <v>952</v>
      </c>
      <c r="B958" s="82" t="s">
        <v>444</v>
      </c>
      <c r="C958" s="82" t="s">
        <v>111</v>
      </c>
      <c r="D958" s="66" t="s">
        <v>402</v>
      </c>
      <c r="E958" s="82">
        <v>1</v>
      </c>
      <c r="F958" s="67">
        <v>303887824</v>
      </c>
      <c r="G958" s="66" t="s">
        <v>428</v>
      </c>
      <c r="H958" s="66" t="s">
        <v>429</v>
      </c>
      <c r="I958" s="66" t="s">
        <v>9</v>
      </c>
      <c r="J958" s="82" t="s">
        <v>40</v>
      </c>
      <c r="K958" s="67">
        <v>5500</v>
      </c>
      <c r="L958" s="82">
        <f t="shared" si="61"/>
        <v>4000</v>
      </c>
      <c r="M958" s="67">
        <v>1500</v>
      </c>
      <c r="N958" s="82"/>
      <c r="O958" s="82">
        <f t="shared" si="59"/>
        <v>4000</v>
      </c>
      <c r="P958" s="82">
        <f t="shared" si="60"/>
        <v>4000</v>
      </c>
      <c r="Q958" s="67">
        <v>4000</v>
      </c>
      <c r="R958" s="82">
        <v>4000</v>
      </c>
      <c r="S958" s="67">
        <v>0</v>
      </c>
      <c r="T958" s="82"/>
      <c r="U958" s="67">
        <v>0</v>
      </c>
      <c r="V958" s="82"/>
      <c r="W958" s="82"/>
      <c r="X958" s="82"/>
      <c r="Y958" s="68">
        <v>10</v>
      </c>
      <c r="Z958" s="82"/>
      <c r="AA958" s="18">
        <v>44317</v>
      </c>
      <c r="AB958" s="74"/>
      <c r="AC958" s="75"/>
      <c r="AD958" s="70" t="s">
        <v>3</v>
      </c>
    </row>
    <row r="959" spans="1:30" s="76" customFormat="1" ht="37.5">
      <c r="A959" s="82">
        <f>+SUBTOTAL(3,$B$7:B959)</f>
        <v>953</v>
      </c>
      <c r="B959" s="82" t="s">
        <v>444</v>
      </c>
      <c r="C959" s="82" t="s">
        <v>111</v>
      </c>
      <c r="D959" s="66" t="s">
        <v>402</v>
      </c>
      <c r="E959" s="82">
        <v>2</v>
      </c>
      <c r="F959" s="67">
        <v>301891213</v>
      </c>
      <c r="G959" s="66" t="s">
        <v>1743</v>
      </c>
      <c r="H959" s="66" t="s">
        <v>40</v>
      </c>
      <c r="I959" s="66" t="s">
        <v>9</v>
      </c>
      <c r="J959" s="82" t="s">
        <v>40</v>
      </c>
      <c r="K959" s="67">
        <v>200</v>
      </c>
      <c r="L959" s="82">
        <f t="shared" si="61"/>
        <v>600</v>
      </c>
      <c r="M959" s="67">
        <v>100</v>
      </c>
      <c r="N959" s="82">
        <v>500</v>
      </c>
      <c r="O959" s="82">
        <f t="shared" si="59"/>
        <v>100</v>
      </c>
      <c r="P959" s="82">
        <f t="shared" si="60"/>
        <v>100</v>
      </c>
      <c r="Q959" s="67">
        <v>100</v>
      </c>
      <c r="R959" s="82">
        <v>100</v>
      </c>
      <c r="S959" s="67"/>
      <c r="T959" s="82"/>
      <c r="U959" s="67"/>
      <c r="V959" s="82"/>
      <c r="W959" s="82"/>
      <c r="X959" s="82"/>
      <c r="Y959" s="68">
        <v>4</v>
      </c>
      <c r="Z959" s="82">
        <v>2</v>
      </c>
      <c r="AA959" s="18">
        <v>44166</v>
      </c>
      <c r="AB959" s="74">
        <v>44136</v>
      </c>
      <c r="AC959" s="75" t="s">
        <v>1999</v>
      </c>
      <c r="AD959" s="70" t="s">
        <v>3</v>
      </c>
    </row>
    <row r="960" spans="1:30" s="76" customFormat="1" ht="37.5">
      <c r="A960" s="82">
        <f>+SUBTOTAL(3,$B$7:B960)</f>
        <v>954</v>
      </c>
      <c r="B960" s="82" t="s">
        <v>444</v>
      </c>
      <c r="C960" s="82" t="s">
        <v>111</v>
      </c>
      <c r="D960" s="66" t="s">
        <v>402</v>
      </c>
      <c r="E960" s="82">
        <v>2</v>
      </c>
      <c r="F960" s="67">
        <v>306888457</v>
      </c>
      <c r="G960" s="66" t="s">
        <v>1744</v>
      </c>
      <c r="H960" s="66" t="s">
        <v>780</v>
      </c>
      <c r="I960" s="66" t="s">
        <v>9</v>
      </c>
      <c r="J960" s="82" t="s">
        <v>40</v>
      </c>
      <c r="K960" s="67">
        <v>600</v>
      </c>
      <c r="L960" s="82">
        <f t="shared" si="61"/>
        <v>600</v>
      </c>
      <c r="M960" s="67">
        <v>500</v>
      </c>
      <c r="N960" s="82">
        <v>500</v>
      </c>
      <c r="O960" s="82">
        <f t="shared" si="59"/>
        <v>100</v>
      </c>
      <c r="P960" s="82">
        <f t="shared" si="60"/>
        <v>100</v>
      </c>
      <c r="Q960" s="67">
        <v>100</v>
      </c>
      <c r="R960" s="82">
        <v>100</v>
      </c>
      <c r="S960" s="67"/>
      <c r="T960" s="82"/>
      <c r="U960" s="67"/>
      <c r="V960" s="82"/>
      <c r="W960" s="82"/>
      <c r="X960" s="82"/>
      <c r="Y960" s="68">
        <v>6</v>
      </c>
      <c r="Z960" s="82">
        <v>2</v>
      </c>
      <c r="AA960" s="18">
        <v>44196</v>
      </c>
      <c r="AB960" s="74">
        <v>44136</v>
      </c>
      <c r="AC960" s="75" t="s">
        <v>1995</v>
      </c>
      <c r="AD960" s="70" t="s">
        <v>3</v>
      </c>
    </row>
    <row r="961" spans="1:30" s="76" customFormat="1" ht="37.5">
      <c r="A961" s="82">
        <f>+SUBTOTAL(3,$B$7:B961)</f>
        <v>955</v>
      </c>
      <c r="B961" s="82" t="s">
        <v>444</v>
      </c>
      <c r="C961" s="82" t="s">
        <v>111</v>
      </c>
      <c r="D961" s="66" t="s">
        <v>402</v>
      </c>
      <c r="E961" s="82">
        <v>3</v>
      </c>
      <c r="F961" s="67">
        <v>307329184</v>
      </c>
      <c r="G961" s="66" t="s">
        <v>1745</v>
      </c>
      <c r="H961" s="66" t="s">
        <v>40</v>
      </c>
      <c r="I961" s="66" t="s">
        <v>9</v>
      </c>
      <c r="J961" s="82" t="s">
        <v>40</v>
      </c>
      <c r="K961" s="67">
        <v>600</v>
      </c>
      <c r="L961" s="82">
        <f t="shared" si="61"/>
        <v>350</v>
      </c>
      <c r="M961" s="67">
        <v>200</v>
      </c>
      <c r="N961" s="82"/>
      <c r="O961" s="82">
        <f t="shared" si="59"/>
        <v>400</v>
      </c>
      <c r="P961" s="82">
        <f t="shared" si="60"/>
        <v>350</v>
      </c>
      <c r="Q961" s="67">
        <v>400</v>
      </c>
      <c r="R961" s="82">
        <v>350</v>
      </c>
      <c r="S961" s="67"/>
      <c r="T961" s="82"/>
      <c r="U961" s="67"/>
      <c r="V961" s="82"/>
      <c r="W961" s="82"/>
      <c r="X961" s="82"/>
      <c r="Y961" s="68">
        <v>5</v>
      </c>
      <c r="Z961" s="82"/>
      <c r="AA961" s="69">
        <v>44470</v>
      </c>
      <c r="AB961" s="74"/>
      <c r="AC961" s="75"/>
      <c r="AD961" s="70" t="s">
        <v>3</v>
      </c>
    </row>
    <row r="962" spans="1:30" s="76" customFormat="1" ht="37.5">
      <c r="A962" s="82">
        <f>+SUBTOTAL(3,$B$7:B962)</f>
        <v>956</v>
      </c>
      <c r="B962" s="82" t="s">
        <v>444</v>
      </c>
      <c r="C962" s="82" t="s">
        <v>111</v>
      </c>
      <c r="D962" s="66" t="s">
        <v>402</v>
      </c>
      <c r="E962" s="82">
        <v>4</v>
      </c>
      <c r="F962" s="67">
        <v>304137069</v>
      </c>
      <c r="G962" s="66" t="s">
        <v>1746</v>
      </c>
      <c r="H962" s="66" t="s">
        <v>1747</v>
      </c>
      <c r="I962" s="66" t="s">
        <v>6</v>
      </c>
      <c r="J962" s="82" t="s">
        <v>54</v>
      </c>
      <c r="K962" s="67">
        <v>12016</v>
      </c>
      <c r="L962" s="82">
        <f t="shared" si="61"/>
        <v>7021.6799999999994</v>
      </c>
      <c r="M962" s="67">
        <v>3570</v>
      </c>
      <c r="N962" s="82"/>
      <c r="O962" s="82">
        <f t="shared" si="59"/>
        <v>8364</v>
      </c>
      <c r="P962" s="82">
        <f t="shared" si="60"/>
        <v>7021.6799999999994</v>
      </c>
      <c r="Q962" s="67"/>
      <c r="R962" s="82"/>
      <c r="S962" s="67">
        <v>820</v>
      </c>
      <c r="T962" s="82">
        <v>688.4</v>
      </c>
      <c r="U962" s="67"/>
      <c r="V962" s="82"/>
      <c r="W962" s="82"/>
      <c r="X962" s="82"/>
      <c r="Y962" s="68">
        <v>50</v>
      </c>
      <c r="Z962" s="82"/>
      <c r="AA962" s="18">
        <v>44470</v>
      </c>
      <c r="AB962" s="74"/>
      <c r="AC962" s="75"/>
      <c r="AD962" s="70" t="s">
        <v>3</v>
      </c>
    </row>
    <row r="963" spans="1:30" s="76" customFormat="1" ht="37.5">
      <c r="A963" s="82">
        <f>+SUBTOTAL(3,$B$7:B963)</f>
        <v>957</v>
      </c>
      <c r="B963" s="82" t="s">
        <v>444</v>
      </c>
      <c r="C963" s="82" t="s">
        <v>111</v>
      </c>
      <c r="D963" s="66" t="s">
        <v>402</v>
      </c>
      <c r="E963" s="82">
        <v>1</v>
      </c>
      <c r="F963" s="67">
        <v>204640779</v>
      </c>
      <c r="G963" s="66" t="s">
        <v>412</v>
      </c>
      <c r="H963" s="66" t="s">
        <v>413</v>
      </c>
      <c r="I963" s="66" t="s">
        <v>10</v>
      </c>
      <c r="J963" s="82" t="s">
        <v>30</v>
      </c>
      <c r="K963" s="67">
        <v>9500</v>
      </c>
      <c r="L963" s="82">
        <f t="shared" si="61"/>
        <v>4100</v>
      </c>
      <c r="M963" s="67">
        <v>3500</v>
      </c>
      <c r="N963" s="82"/>
      <c r="O963" s="82">
        <f t="shared" si="59"/>
        <v>6000</v>
      </c>
      <c r="P963" s="82">
        <f t="shared" si="60"/>
        <v>4100</v>
      </c>
      <c r="Q963" s="67">
        <v>6000</v>
      </c>
      <c r="R963" s="82">
        <v>4100</v>
      </c>
      <c r="S963" s="67">
        <v>0</v>
      </c>
      <c r="T963" s="82"/>
      <c r="U963" s="67">
        <v>0</v>
      </c>
      <c r="V963" s="82"/>
      <c r="W963" s="82"/>
      <c r="X963" s="82"/>
      <c r="Y963" s="68">
        <v>10</v>
      </c>
      <c r="Z963" s="82"/>
      <c r="AA963" s="69">
        <v>44925</v>
      </c>
      <c r="AB963" s="74"/>
      <c r="AC963" s="75"/>
      <c r="AD963" s="70" t="s">
        <v>3</v>
      </c>
    </row>
    <row r="964" spans="1:30" s="76" customFormat="1" ht="37.5">
      <c r="A964" s="82">
        <f>+SUBTOTAL(3,$B$7:B964)</f>
        <v>958</v>
      </c>
      <c r="B964" s="82" t="s">
        <v>444</v>
      </c>
      <c r="C964" s="82" t="s">
        <v>111</v>
      </c>
      <c r="D964" s="66" t="s">
        <v>402</v>
      </c>
      <c r="E964" s="82">
        <v>3</v>
      </c>
      <c r="F964" s="67">
        <v>301990629</v>
      </c>
      <c r="G964" s="66" t="s">
        <v>1748</v>
      </c>
      <c r="H964" s="66" t="s">
        <v>1749</v>
      </c>
      <c r="I964" s="66" t="s">
        <v>6</v>
      </c>
      <c r="J964" s="82" t="s">
        <v>13</v>
      </c>
      <c r="K964" s="67">
        <v>25000</v>
      </c>
      <c r="L964" s="82">
        <f t="shared" si="61"/>
        <v>0</v>
      </c>
      <c r="M964" s="67">
        <v>25000</v>
      </c>
      <c r="N964" s="82"/>
      <c r="O964" s="82">
        <f t="shared" si="59"/>
        <v>0</v>
      </c>
      <c r="P964" s="82">
        <f t="shared" si="60"/>
        <v>0</v>
      </c>
      <c r="Q964" s="67"/>
      <c r="R964" s="82"/>
      <c r="S964" s="67"/>
      <c r="T964" s="82"/>
      <c r="U964" s="67"/>
      <c r="V964" s="82"/>
      <c r="W964" s="82"/>
      <c r="X964" s="82"/>
      <c r="Y964" s="68">
        <v>20</v>
      </c>
      <c r="Z964" s="82"/>
      <c r="AA964" s="69">
        <v>44317</v>
      </c>
      <c r="AB964" s="74"/>
      <c r="AC964" s="75"/>
      <c r="AD964" s="70" t="s">
        <v>3</v>
      </c>
    </row>
    <row r="965" spans="1:30" s="76" customFormat="1" ht="37.5">
      <c r="A965" s="82">
        <f>+SUBTOTAL(3,$B$7:B965)</f>
        <v>959</v>
      </c>
      <c r="B965" s="82" t="s">
        <v>444</v>
      </c>
      <c r="C965" s="82" t="s">
        <v>111</v>
      </c>
      <c r="D965" s="66" t="s">
        <v>402</v>
      </c>
      <c r="E965" s="82">
        <v>1</v>
      </c>
      <c r="F965" s="67">
        <v>307036874</v>
      </c>
      <c r="G965" s="66" t="s">
        <v>1750</v>
      </c>
      <c r="H965" s="66" t="s">
        <v>42</v>
      </c>
      <c r="I965" s="66" t="s">
        <v>9</v>
      </c>
      <c r="J965" s="82" t="s">
        <v>42</v>
      </c>
      <c r="K965" s="67">
        <v>200</v>
      </c>
      <c r="L965" s="82">
        <f t="shared" si="61"/>
        <v>200</v>
      </c>
      <c r="M965" s="67">
        <v>80</v>
      </c>
      <c r="N965" s="82">
        <v>120</v>
      </c>
      <c r="O965" s="82">
        <f t="shared" si="59"/>
        <v>120</v>
      </c>
      <c r="P965" s="82">
        <f t="shared" si="60"/>
        <v>80</v>
      </c>
      <c r="Q965" s="67">
        <v>120</v>
      </c>
      <c r="R965" s="82">
        <v>80</v>
      </c>
      <c r="S965" s="67"/>
      <c r="T965" s="82"/>
      <c r="U965" s="67"/>
      <c r="V965" s="82"/>
      <c r="W965" s="82"/>
      <c r="X965" s="82"/>
      <c r="Y965" s="68">
        <v>2</v>
      </c>
      <c r="Z965" s="82">
        <v>2</v>
      </c>
      <c r="AA965" s="18">
        <v>44166</v>
      </c>
      <c r="AB965" s="74">
        <v>44103</v>
      </c>
      <c r="AC965" s="75" t="s">
        <v>1948</v>
      </c>
      <c r="AD965" s="70" t="s">
        <v>8</v>
      </c>
    </row>
    <row r="966" spans="1:30" s="76" customFormat="1" ht="37.5">
      <c r="A966" s="82">
        <f>+SUBTOTAL(3,$B$7:B966)</f>
        <v>960</v>
      </c>
      <c r="B966" s="82" t="s">
        <v>444</v>
      </c>
      <c r="C966" s="82" t="s">
        <v>111</v>
      </c>
      <c r="D966" s="66" t="s">
        <v>402</v>
      </c>
      <c r="E966" s="82">
        <v>4</v>
      </c>
      <c r="F966" s="67">
        <v>306632371</v>
      </c>
      <c r="G966" s="66" t="s">
        <v>1751</v>
      </c>
      <c r="H966" s="66" t="s">
        <v>1752</v>
      </c>
      <c r="I966" s="66" t="s">
        <v>6</v>
      </c>
      <c r="J966" s="82" t="s">
        <v>34</v>
      </c>
      <c r="K966" s="67">
        <v>125</v>
      </c>
      <c r="L966" s="82">
        <f t="shared" si="61"/>
        <v>70</v>
      </c>
      <c r="M966" s="67">
        <v>100</v>
      </c>
      <c r="N966" s="82"/>
      <c r="O966" s="82">
        <f t="shared" si="59"/>
        <v>25</v>
      </c>
      <c r="P966" s="82">
        <f t="shared" si="60"/>
        <v>70</v>
      </c>
      <c r="Q966" s="67">
        <v>25</v>
      </c>
      <c r="R966" s="82">
        <v>70</v>
      </c>
      <c r="S966" s="67"/>
      <c r="T966" s="82"/>
      <c r="U966" s="67"/>
      <c r="V966" s="82"/>
      <c r="W966" s="82"/>
      <c r="X966" s="82"/>
      <c r="Y966" s="68">
        <v>30</v>
      </c>
      <c r="Z966" s="82"/>
      <c r="AA966" s="18">
        <v>44531</v>
      </c>
      <c r="AB966" s="74"/>
      <c r="AC966" s="75"/>
      <c r="AD966" s="70" t="s">
        <v>445</v>
      </c>
    </row>
    <row r="967" spans="1:30" s="76" customFormat="1" ht="37.5">
      <c r="A967" s="82">
        <f>+SUBTOTAL(3,$B$7:B967)</f>
        <v>961</v>
      </c>
      <c r="B967" s="82" t="s">
        <v>444</v>
      </c>
      <c r="C967" s="82" t="s">
        <v>111</v>
      </c>
      <c r="D967" s="66" t="s">
        <v>402</v>
      </c>
      <c r="E967" s="82">
        <v>1</v>
      </c>
      <c r="F967" s="67">
        <v>307516024</v>
      </c>
      <c r="G967" s="66" t="s">
        <v>1753</v>
      </c>
      <c r="H967" s="66" t="s">
        <v>403</v>
      </c>
      <c r="I967" s="66" t="s">
        <v>10</v>
      </c>
      <c r="J967" s="82" t="s">
        <v>50</v>
      </c>
      <c r="K967" s="67">
        <v>1000</v>
      </c>
      <c r="L967" s="82">
        <f t="shared" si="61"/>
        <v>0</v>
      </c>
      <c r="M967" s="67">
        <v>200</v>
      </c>
      <c r="N967" s="82"/>
      <c r="O967" s="82">
        <f t="shared" ref="O967:O974" si="62">+Q967+S967*10.2</f>
        <v>800</v>
      </c>
      <c r="P967" s="82">
        <f t="shared" ref="P967:P974" si="63">+R967+T967*10.2</f>
        <v>0</v>
      </c>
      <c r="Q967" s="67">
        <v>800</v>
      </c>
      <c r="R967" s="82"/>
      <c r="S967" s="67"/>
      <c r="T967" s="82"/>
      <c r="U967" s="67"/>
      <c r="V967" s="82"/>
      <c r="W967" s="82"/>
      <c r="X967" s="82"/>
      <c r="Y967" s="68">
        <v>20</v>
      </c>
      <c r="Z967" s="82"/>
      <c r="AA967" s="18">
        <v>44531</v>
      </c>
      <c r="AB967" s="74"/>
      <c r="AC967" s="75"/>
      <c r="AD967" s="70" t="s">
        <v>460</v>
      </c>
    </row>
    <row r="968" spans="1:30" s="76" customFormat="1" ht="37.5">
      <c r="A968" s="82">
        <f>+SUBTOTAL(3,$B$7:B968)</f>
        <v>962</v>
      </c>
      <c r="B968" s="82" t="s">
        <v>444</v>
      </c>
      <c r="C968" s="82" t="s">
        <v>111</v>
      </c>
      <c r="D968" s="66" t="s">
        <v>402</v>
      </c>
      <c r="E968" s="82">
        <v>1</v>
      </c>
      <c r="F968" s="67">
        <v>204691233</v>
      </c>
      <c r="G968" s="66" t="s">
        <v>418</v>
      </c>
      <c r="H968" s="66" t="s">
        <v>419</v>
      </c>
      <c r="I968" s="66" t="s">
        <v>9</v>
      </c>
      <c r="J968" s="82" t="s">
        <v>37</v>
      </c>
      <c r="K968" s="67">
        <v>815</v>
      </c>
      <c r="L968" s="82">
        <v>615</v>
      </c>
      <c r="M968" s="67">
        <v>200</v>
      </c>
      <c r="N968" s="82">
        <v>285</v>
      </c>
      <c r="O968" s="82">
        <f t="shared" si="62"/>
        <v>615</v>
      </c>
      <c r="P968" s="82">
        <f t="shared" si="63"/>
        <v>530</v>
      </c>
      <c r="Q968" s="67">
        <v>615</v>
      </c>
      <c r="R968" s="82">
        <v>530</v>
      </c>
      <c r="S968" s="67">
        <v>0</v>
      </c>
      <c r="T968" s="82"/>
      <c r="U968" s="67">
        <v>0</v>
      </c>
      <c r="V968" s="82"/>
      <c r="W968" s="82"/>
      <c r="X968" s="82"/>
      <c r="Y968" s="68">
        <v>4</v>
      </c>
      <c r="Z968" s="82">
        <v>4</v>
      </c>
      <c r="AA968" s="69">
        <v>44470</v>
      </c>
      <c r="AB968" s="74">
        <v>44141</v>
      </c>
      <c r="AC968" s="75" t="s">
        <v>1949</v>
      </c>
      <c r="AD968" s="70" t="s">
        <v>7</v>
      </c>
    </row>
    <row r="969" spans="1:30" s="76" customFormat="1" ht="37.5">
      <c r="A969" s="82">
        <f>+SUBTOTAL(3,$B$7:B969)</f>
        <v>963</v>
      </c>
      <c r="B969" s="82" t="s">
        <v>444</v>
      </c>
      <c r="C969" s="82" t="s">
        <v>111</v>
      </c>
      <c r="D969" s="66" t="s">
        <v>402</v>
      </c>
      <c r="E969" s="82">
        <v>3</v>
      </c>
      <c r="F969" s="67">
        <v>200501368</v>
      </c>
      <c r="G969" s="66" t="s">
        <v>422</v>
      </c>
      <c r="H969" s="66" t="s">
        <v>423</v>
      </c>
      <c r="I969" s="66" t="s">
        <v>6</v>
      </c>
      <c r="J969" s="82" t="s">
        <v>13</v>
      </c>
      <c r="K969" s="67">
        <v>17000</v>
      </c>
      <c r="L969" s="82">
        <f t="shared" ref="L969:L974" si="64">+N969+R969+T969*10.2+V969*10.2</f>
        <v>0</v>
      </c>
      <c r="M969" s="67">
        <v>3000</v>
      </c>
      <c r="N969" s="82"/>
      <c r="O969" s="82">
        <f t="shared" si="62"/>
        <v>14000</v>
      </c>
      <c r="P969" s="82">
        <f t="shared" si="63"/>
        <v>0</v>
      </c>
      <c r="Q969" s="67">
        <v>14000</v>
      </c>
      <c r="R969" s="82"/>
      <c r="S969" s="67">
        <v>0</v>
      </c>
      <c r="T969" s="82"/>
      <c r="U969" s="67">
        <v>0</v>
      </c>
      <c r="V969" s="82"/>
      <c r="W969" s="82"/>
      <c r="X969" s="82"/>
      <c r="Y969" s="68">
        <v>10</v>
      </c>
      <c r="Z969" s="82"/>
      <c r="AA969" s="69">
        <v>44866</v>
      </c>
      <c r="AB969" s="74"/>
      <c r="AC969" s="75"/>
      <c r="AD969" s="70" t="s">
        <v>7</v>
      </c>
    </row>
    <row r="970" spans="1:30" s="76" customFormat="1" ht="37.5">
      <c r="A970" s="82">
        <f>+SUBTOTAL(3,$B$7:B970)</f>
        <v>964</v>
      </c>
      <c r="B970" s="82" t="s">
        <v>444</v>
      </c>
      <c r="C970" s="82" t="s">
        <v>111</v>
      </c>
      <c r="D970" s="66" t="s">
        <v>402</v>
      </c>
      <c r="E970" s="82">
        <v>3</v>
      </c>
      <c r="F970" s="67">
        <v>497202304</v>
      </c>
      <c r="G970" s="66" t="s">
        <v>424</v>
      </c>
      <c r="H970" s="66" t="s">
        <v>425</v>
      </c>
      <c r="I970" s="66" t="s">
        <v>6</v>
      </c>
      <c r="J970" s="82" t="s">
        <v>13</v>
      </c>
      <c r="K970" s="67">
        <v>1586</v>
      </c>
      <c r="L970" s="82">
        <f t="shared" si="64"/>
        <v>0</v>
      </c>
      <c r="M970" s="67">
        <v>350</v>
      </c>
      <c r="N970" s="82"/>
      <c r="O970" s="82">
        <f t="shared" si="62"/>
        <v>1224</v>
      </c>
      <c r="P970" s="82">
        <f t="shared" si="63"/>
        <v>0</v>
      </c>
      <c r="Q970" s="67">
        <v>0</v>
      </c>
      <c r="R970" s="82"/>
      <c r="S970" s="67">
        <v>120</v>
      </c>
      <c r="T970" s="82"/>
      <c r="U970" s="67">
        <v>0</v>
      </c>
      <c r="V970" s="82"/>
      <c r="W970" s="82"/>
      <c r="X970" s="82"/>
      <c r="Y970" s="68">
        <v>19</v>
      </c>
      <c r="Z970" s="82"/>
      <c r="AA970" s="69">
        <v>44531</v>
      </c>
      <c r="AB970" s="74"/>
      <c r="AC970" s="75"/>
      <c r="AD970" s="70" t="s">
        <v>7</v>
      </c>
    </row>
    <row r="971" spans="1:30" s="76" customFormat="1" ht="37.5">
      <c r="A971" s="82">
        <f>+SUBTOTAL(3,$B$7:B971)</f>
        <v>965</v>
      </c>
      <c r="B971" s="82" t="s">
        <v>444</v>
      </c>
      <c r="C971" s="82" t="s">
        <v>111</v>
      </c>
      <c r="D971" s="66" t="s">
        <v>402</v>
      </c>
      <c r="E971" s="82">
        <v>1</v>
      </c>
      <c r="F971" s="67">
        <v>307367051</v>
      </c>
      <c r="G971" s="66" t="s">
        <v>1754</v>
      </c>
      <c r="H971" s="66" t="s">
        <v>1755</v>
      </c>
      <c r="I971" s="66" t="s">
        <v>10</v>
      </c>
      <c r="J971" s="82" t="s">
        <v>66</v>
      </c>
      <c r="K971" s="67">
        <v>550</v>
      </c>
      <c r="L971" s="82">
        <f t="shared" si="64"/>
        <v>400</v>
      </c>
      <c r="M971" s="67">
        <v>150</v>
      </c>
      <c r="N971" s="82"/>
      <c r="O971" s="82">
        <f t="shared" si="62"/>
        <v>400</v>
      </c>
      <c r="P971" s="82">
        <f t="shared" si="63"/>
        <v>400</v>
      </c>
      <c r="Q971" s="67">
        <v>400</v>
      </c>
      <c r="R971" s="82">
        <v>400</v>
      </c>
      <c r="S971" s="67"/>
      <c r="T971" s="82"/>
      <c r="U971" s="67"/>
      <c r="V971" s="82"/>
      <c r="W971" s="82"/>
      <c r="X971" s="82"/>
      <c r="Y971" s="68">
        <v>12</v>
      </c>
      <c r="Z971" s="82"/>
      <c r="AA971" s="69">
        <v>44317</v>
      </c>
      <c r="AB971" s="74"/>
      <c r="AC971" s="75"/>
      <c r="AD971" s="70" t="s">
        <v>7</v>
      </c>
    </row>
    <row r="972" spans="1:30" s="76" customFormat="1" ht="37.5">
      <c r="A972" s="82">
        <f>+SUBTOTAL(3,$B$7:B972)</f>
        <v>966</v>
      </c>
      <c r="B972" s="82" t="s">
        <v>444</v>
      </c>
      <c r="C972" s="82" t="s">
        <v>111</v>
      </c>
      <c r="D972" s="66" t="s">
        <v>402</v>
      </c>
      <c r="E972" s="82">
        <v>3</v>
      </c>
      <c r="F972" s="67">
        <v>307688530</v>
      </c>
      <c r="G972" s="66" t="s">
        <v>1756</v>
      </c>
      <c r="H972" s="66" t="s">
        <v>1757</v>
      </c>
      <c r="I972" s="66" t="s">
        <v>6</v>
      </c>
      <c r="J972" s="82" t="s">
        <v>49</v>
      </c>
      <c r="K972" s="67">
        <v>13300</v>
      </c>
      <c r="L972" s="82">
        <f t="shared" si="64"/>
        <v>0</v>
      </c>
      <c r="M972" s="67">
        <v>3000</v>
      </c>
      <c r="N972" s="82"/>
      <c r="O972" s="82">
        <f t="shared" si="62"/>
        <v>10200</v>
      </c>
      <c r="P972" s="82">
        <f t="shared" si="63"/>
        <v>0</v>
      </c>
      <c r="Q972" s="67"/>
      <c r="R972" s="82"/>
      <c r="S972" s="67">
        <v>1000</v>
      </c>
      <c r="T972" s="82"/>
      <c r="U972" s="67"/>
      <c r="V972" s="82"/>
      <c r="W972" s="82"/>
      <c r="X972" s="82"/>
      <c r="Y972" s="68">
        <v>50</v>
      </c>
      <c r="Z972" s="82"/>
      <c r="AA972" s="18">
        <v>44317</v>
      </c>
      <c r="AB972" s="74"/>
      <c r="AC972" s="75"/>
      <c r="AD972" s="70" t="s">
        <v>453</v>
      </c>
    </row>
    <row r="973" spans="1:30" s="76" customFormat="1" ht="37.5">
      <c r="A973" s="82">
        <f>+SUBTOTAL(3,$B$7:B973)</f>
        <v>967</v>
      </c>
      <c r="B973" s="95" t="s">
        <v>2100</v>
      </c>
      <c r="C973" s="82" t="s">
        <v>111</v>
      </c>
      <c r="D973" s="66" t="s">
        <v>402</v>
      </c>
      <c r="E973" s="82">
        <v>3</v>
      </c>
      <c r="F973" s="67">
        <v>307535720</v>
      </c>
      <c r="G973" s="66" t="s">
        <v>1758</v>
      </c>
      <c r="H973" s="66" t="s">
        <v>1749</v>
      </c>
      <c r="I973" s="66" t="s">
        <v>6</v>
      </c>
      <c r="J973" s="82" t="s">
        <v>13</v>
      </c>
      <c r="K973" s="67">
        <v>20480</v>
      </c>
      <c r="L973" s="82">
        <f t="shared" si="64"/>
        <v>0</v>
      </c>
      <c r="M973" s="67">
        <v>4000</v>
      </c>
      <c r="N973" s="82"/>
      <c r="O973" s="82">
        <f t="shared" si="62"/>
        <v>6120</v>
      </c>
      <c r="P973" s="82">
        <f t="shared" si="63"/>
        <v>0</v>
      </c>
      <c r="Q973" s="67"/>
      <c r="R973" s="82"/>
      <c r="S973" s="67">
        <v>600</v>
      </c>
      <c r="T973" s="82"/>
      <c r="U973" s="67">
        <v>1000</v>
      </c>
      <c r="V973" s="82"/>
      <c r="W973" s="82"/>
      <c r="X973" s="82"/>
      <c r="Y973" s="68">
        <v>80</v>
      </c>
      <c r="Z973" s="82"/>
      <c r="AA973" s="69">
        <v>44743</v>
      </c>
      <c r="AB973" s="74"/>
      <c r="AC973" s="75"/>
      <c r="AD973" s="70" t="s">
        <v>7</v>
      </c>
    </row>
    <row r="974" spans="1:30" s="76" customFormat="1" ht="37.5">
      <c r="A974" s="82">
        <f>+SUBTOTAL(3,$B$7:B974)</f>
        <v>968</v>
      </c>
      <c r="B974" s="82" t="s">
        <v>444</v>
      </c>
      <c r="C974" s="82" t="s">
        <v>111</v>
      </c>
      <c r="D974" s="66" t="s">
        <v>402</v>
      </c>
      <c r="E974" s="82">
        <v>4</v>
      </c>
      <c r="F974" s="67">
        <v>306911340</v>
      </c>
      <c r="G974" s="66" t="s">
        <v>1759</v>
      </c>
      <c r="H974" s="66" t="s">
        <v>1760</v>
      </c>
      <c r="I974" s="66" t="s">
        <v>10</v>
      </c>
      <c r="J974" s="82" t="s">
        <v>50</v>
      </c>
      <c r="K974" s="67">
        <v>2000</v>
      </c>
      <c r="L974" s="82">
        <f t="shared" si="64"/>
        <v>2000</v>
      </c>
      <c r="M974" s="67">
        <v>600</v>
      </c>
      <c r="N974" s="82">
        <v>600</v>
      </c>
      <c r="O974" s="82">
        <f t="shared" si="62"/>
        <v>1400</v>
      </c>
      <c r="P974" s="82">
        <f t="shared" si="63"/>
        <v>1400</v>
      </c>
      <c r="Q974" s="67">
        <v>1400</v>
      </c>
      <c r="R974" s="82">
        <v>1400</v>
      </c>
      <c r="S974" s="67"/>
      <c r="T974" s="82"/>
      <c r="U974" s="67"/>
      <c r="V974" s="82"/>
      <c r="W974" s="82"/>
      <c r="X974" s="82"/>
      <c r="Y974" s="68">
        <v>10</v>
      </c>
      <c r="Z974" s="82">
        <v>10</v>
      </c>
      <c r="AA974" s="69">
        <v>44166</v>
      </c>
      <c r="AB974" s="74">
        <v>44103</v>
      </c>
      <c r="AC974" s="75" t="s">
        <v>1950</v>
      </c>
      <c r="AD974" s="70" t="s">
        <v>7</v>
      </c>
    </row>
  </sheetData>
  <sheetProtection autoFilter="0"/>
  <protectedRanges>
    <protectedRange sqref="H467" name="Диапазон2_2_2_1_37_1_1_1_1_2_1_1"/>
    <protectedRange sqref="H492" name="Диапазон2_2_3_1_1_2_2_1_1"/>
    <protectedRange sqref="H505" name="Диапазон2_2_2_1_5_1_1_2_1_2_1_1"/>
    <protectedRange sqref="H508" name="Диапазон2_2_2_1_7_1_2_1_2_1_1"/>
    <protectedRange sqref="H509" name="Диапазон2_2_2_1_38_1_1_2_1_1"/>
    <protectedRange sqref="H557" name="Диапазон2_2_2_1_25_1_1_2_1_1"/>
    <protectedRange sqref="H663:H673" name="Диапазон2_2_2_1_1_1_2_2_2_1_1"/>
    <protectedRange sqref="H697" name="Диапазон2_2_2_1_17_1_1_1_1_2_1_1"/>
    <protectedRange sqref="H71" name="Диапазон2_2_2_1_37_1_1_1_1_1_1_1_1"/>
    <protectedRange sqref="H99" name="Диапазон2_2_2_1_25_1_1_1_1_1_1"/>
    <protectedRange sqref="H163" name="Диапазон2_2_2_1_37_1_3_1_1_1_1_1"/>
    <protectedRange sqref="H184:H188" name="Диапазон2_2_2_1_1_1_2_2_1_1_1_1"/>
    <protectedRange sqref="H207" name="Диапазон2_2_2_1_17_1_1_1_1_1_1_1_1"/>
    <protectedRange sqref="H331" name="Диапазон2_2_2_1_10_1_1_1_1_1_1"/>
    <protectedRange sqref="H334" name="Диапазон2_2_2_1_42_2_1_1_1_1"/>
    <protectedRange sqref="H9" name="Диапазон2_2_2_1_37_1_1_1_1_1_2_1_1"/>
    <protectedRange sqref="H593 H595" name="Диапазон2_2_2_1_1_1_1_2_1_1_1_2_1_1_1"/>
  </protectedRanges>
  <autoFilter ref="A6:AD6"/>
  <sortState ref="A3:AA565">
    <sortCondition ref="D3:D565"/>
    <sortCondition ref="H3:H565"/>
  </sortState>
  <mergeCells count="25">
    <mergeCell ref="AD2:AD5"/>
    <mergeCell ref="Y2:Z4"/>
    <mergeCell ref="A1:AD1"/>
    <mergeCell ref="AA2:AB4"/>
    <mergeCell ref="AC2:AC5"/>
    <mergeCell ref="U3:V4"/>
    <mergeCell ref="C2:C5"/>
    <mergeCell ref="G2:G5"/>
    <mergeCell ref="A2:A5"/>
    <mergeCell ref="D2:D5"/>
    <mergeCell ref="F2:F5"/>
    <mergeCell ref="E2:E5"/>
    <mergeCell ref="O3:P4"/>
    <mergeCell ref="K2:L4"/>
    <mergeCell ref="W3:W5"/>
    <mergeCell ref="X3:X5"/>
    <mergeCell ref="W2:X2"/>
    <mergeCell ref="M3:N4"/>
    <mergeCell ref="B2:B5"/>
    <mergeCell ref="J2:J5"/>
    <mergeCell ref="M2:V2"/>
    <mergeCell ref="Q3:R4"/>
    <mergeCell ref="S3:T4"/>
    <mergeCell ref="H2:H5"/>
    <mergeCell ref="I2:I5"/>
  </mergeCells>
  <dataValidations disablePrompts="1" count="1">
    <dataValidation allowBlank="1" showInputMessage="1" showErrorMessage="1" errorTitle="Мавжуд ёки мавжуд эмас" error="Фақатгина мавжуд ёки мавжуд эмаслигини киритса бўлади " promptTitle="Мавжуд ёки мавжуд эмас" sqref="Y791"/>
  </dataValidations>
  <printOptions horizontalCentered="1"/>
  <pageMargins left="0.19685039370078741" right="0.19685039370078741" top="0.74803149606299213" bottom="0.74803149606299213" header="0.31496062992125984" footer="0.31496062992125984"/>
  <pageSetup paperSize="9" scale="24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BL28"/>
  <sheetViews>
    <sheetView showZeros="0" view="pageBreakPreview" topLeftCell="A10" zoomScale="70" zoomScaleNormal="55" zoomScaleSheetLayoutView="70" workbookViewId="0">
      <selection activeCell="AE12" sqref="AE12"/>
    </sheetView>
  </sheetViews>
  <sheetFormatPr defaultColWidth="9.140625" defaultRowHeight="15" outlineLevelCol="1"/>
  <cols>
    <col min="1" max="1" width="5.140625" style="1" customWidth="1"/>
    <col min="2" max="2" width="31.140625" style="4" customWidth="1"/>
    <col min="3" max="3" width="8.5703125" style="1" customWidth="1"/>
    <col min="4" max="4" width="15.42578125" style="1" customWidth="1"/>
    <col min="5" max="6" width="13.140625" style="1" hidden="1" customWidth="1" outlineLevel="1"/>
    <col min="7" max="8" width="15.140625" style="1" hidden="1" customWidth="1" outlineLevel="1"/>
    <col min="9" max="9" width="11.85546875" style="1" customWidth="1" collapsed="1"/>
    <col min="10" max="10" width="8.42578125" style="1" customWidth="1"/>
    <col min="11" max="11" width="15.42578125" style="1" customWidth="1"/>
    <col min="12" max="13" width="13.140625" style="1" hidden="1" customWidth="1" outlineLevel="1"/>
    <col min="14" max="15" width="15.140625" style="1" hidden="1" customWidth="1" outlineLevel="1"/>
    <col min="16" max="16" width="8.5703125" style="1" customWidth="1" collapsed="1"/>
    <col min="17" max="17" width="15.42578125" style="1" customWidth="1"/>
    <col min="18" max="19" width="13.140625" style="1" hidden="1" customWidth="1" outlineLevel="1"/>
    <col min="20" max="21" width="15.140625" style="1" hidden="1" customWidth="1" outlineLevel="1"/>
    <col min="22" max="22" width="11.85546875" style="1" customWidth="1" collapsed="1"/>
    <col min="23" max="23" width="8.5703125" style="1" customWidth="1"/>
    <col min="24" max="24" width="15.42578125" style="1" customWidth="1"/>
    <col min="25" max="26" width="13.140625" style="1" hidden="1" customWidth="1" outlineLevel="1"/>
    <col min="27" max="28" width="15.140625" style="1" hidden="1" customWidth="1" outlineLevel="1"/>
    <col min="29" max="29" width="11.85546875" style="1" customWidth="1" collapsed="1"/>
    <col min="30" max="30" width="8.5703125" style="1" customWidth="1"/>
    <col min="31" max="31" width="15.42578125" style="1" customWidth="1"/>
    <col min="32" max="33" width="13.140625" style="1" hidden="1" customWidth="1" outlineLevel="1"/>
    <col min="34" max="35" width="15.140625" style="1" hidden="1" customWidth="1" outlineLevel="1"/>
    <col min="36" max="36" width="11.85546875" style="1" customWidth="1" collapsed="1"/>
    <col min="37" max="37" width="8.5703125" style="1" customWidth="1"/>
    <col min="38" max="38" width="15.42578125" style="1" customWidth="1"/>
    <col min="39" max="40" width="13.140625" style="1" hidden="1" customWidth="1" outlineLevel="1"/>
    <col min="41" max="42" width="15.140625" style="1" hidden="1" customWidth="1" outlineLevel="1"/>
    <col min="43" max="43" width="11.85546875" style="1" customWidth="1" collapsed="1"/>
    <col min="44" max="44" width="8.5703125" style="1" customWidth="1"/>
    <col min="45" max="45" width="15.42578125" style="1" customWidth="1"/>
    <col min="46" max="47" width="13.140625" style="1" hidden="1" customWidth="1" outlineLevel="1"/>
    <col min="48" max="49" width="15.140625" style="1" hidden="1" customWidth="1" outlineLevel="1"/>
    <col min="50" max="50" width="11.85546875" style="1" customWidth="1" collapsed="1"/>
    <col min="51" max="51" width="8.5703125" style="1" customWidth="1"/>
    <col min="52" max="52" width="15.42578125" style="1" customWidth="1"/>
    <col min="53" max="54" width="13.140625" style="1" hidden="1" customWidth="1" outlineLevel="1"/>
    <col min="55" max="56" width="15.140625" style="1" hidden="1" customWidth="1" outlineLevel="1"/>
    <col min="57" max="57" width="11.85546875" style="1" customWidth="1" collapsed="1"/>
    <col min="58" max="58" width="8.5703125" style="1" customWidth="1"/>
    <col min="59" max="59" width="15.42578125" style="1" customWidth="1"/>
    <col min="60" max="61" width="13.140625" style="1" hidden="1" customWidth="1" outlineLevel="1"/>
    <col min="62" max="63" width="15.140625" style="1" hidden="1" customWidth="1" outlineLevel="1"/>
    <col min="64" max="64" width="11.85546875" style="1" customWidth="1" collapsed="1"/>
    <col min="65" max="16384" width="9.140625" style="1"/>
  </cols>
  <sheetData>
    <row r="1" spans="1:64" ht="74.25" customHeight="1" thickBot="1">
      <c r="A1" s="140" t="s">
        <v>2019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</row>
    <row r="2" spans="1:64" s="5" customFormat="1" ht="26.25" customHeight="1" thickBot="1">
      <c r="A2" s="127" t="s">
        <v>72</v>
      </c>
      <c r="B2" s="127" t="s">
        <v>443</v>
      </c>
      <c r="C2" s="127" t="s">
        <v>79</v>
      </c>
      <c r="D2" s="127"/>
      <c r="E2" s="127"/>
      <c r="F2" s="127"/>
      <c r="G2" s="127"/>
      <c r="H2" s="127"/>
      <c r="I2" s="127"/>
      <c r="J2" s="127" t="s">
        <v>80</v>
      </c>
      <c r="K2" s="127"/>
      <c r="L2" s="127"/>
      <c r="M2" s="127"/>
      <c r="N2" s="127"/>
      <c r="O2" s="127"/>
      <c r="P2" s="127" t="s">
        <v>1769</v>
      </c>
      <c r="Q2" s="127"/>
      <c r="R2" s="127"/>
      <c r="S2" s="127"/>
      <c r="T2" s="127"/>
      <c r="U2" s="127"/>
      <c r="V2" s="127"/>
      <c r="W2" s="128" t="s">
        <v>2041</v>
      </c>
      <c r="X2" s="129"/>
      <c r="Y2" s="129"/>
      <c r="Z2" s="129"/>
      <c r="AA2" s="129"/>
      <c r="AB2" s="129"/>
      <c r="AC2" s="130"/>
      <c r="AD2" s="137" t="s">
        <v>1770</v>
      </c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9"/>
      <c r="AR2" s="141" t="s">
        <v>2111</v>
      </c>
      <c r="AS2" s="142"/>
      <c r="AT2" s="142"/>
      <c r="AU2" s="142"/>
      <c r="AV2" s="142"/>
      <c r="AW2" s="142"/>
      <c r="AX2" s="143"/>
      <c r="AY2" s="127" t="s">
        <v>73</v>
      </c>
      <c r="AZ2" s="127"/>
      <c r="BA2" s="127"/>
      <c r="BB2" s="127"/>
      <c r="BC2" s="127"/>
      <c r="BD2" s="127"/>
      <c r="BE2" s="127"/>
      <c r="BF2" s="127" t="s">
        <v>1780</v>
      </c>
      <c r="BG2" s="127"/>
      <c r="BH2" s="127"/>
      <c r="BI2" s="127"/>
      <c r="BJ2" s="127"/>
      <c r="BK2" s="127"/>
      <c r="BL2" s="127"/>
    </row>
    <row r="3" spans="1:64" s="5" customFormat="1" ht="50.25" customHeight="1" thickBot="1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31"/>
      <c r="X3" s="132"/>
      <c r="Y3" s="132"/>
      <c r="Z3" s="132"/>
      <c r="AA3" s="132"/>
      <c r="AB3" s="132"/>
      <c r="AC3" s="133"/>
      <c r="AD3" s="127" t="s">
        <v>2043</v>
      </c>
      <c r="AE3" s="127"/>
      <c r="AF3" s="127"/>
      <c r="AG3" s="127"/>
      <c r="AH3" s="127"/>
      <c r="AI3" s="127"/>
      <c r="AJ3" s="127"/>
      <c r="AK3" s="127" t="s">
        <v>2042</v>
      </c>
      <c r="AL3" s="127"/>
      <c r="AM3" s="127"/>
      <c r="AN3" s="127"/>
      <c r="AO3" s="127"/>
      <c r="AP3" s="127"/>
      <c r="AQ3" s="127"/>
      <c r="AR3" s="134" t="s">
        <v>74</v>
      </c>
      <c r="AS3" s="134"/>
      <c r="AT3" s="134"/>
      <c r="AU3" s="134"/>
      <c r="AV3" s="134"/>
      <c r="AW3" s="134"/>
      <c r="AX3" s="134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</row>
    <row r="4" spans="1:64" s="5" customFormat="1" ht="15" customHeight="1" thickBot="1">
      <c r="A4" s="127"/>
      <c r="B4" s="127"/>
      <c r="C4" s="127" t="s">
        <v>75</v>
      </c>
      <c r="D4" s="127" t="s">
        <v>1765</v>
      </c>
      <c r="E4" s="127" t="s">
        <v>82</v>
      </c>
      <c r="F4" s="127"/>
      <c r="G4" s="127"/>
      <c r="H4" s="127"/>
      <c r="I4" s="127" t="s">
        <v>81</v>
      </c>
      <c r="J4" s="127" t="s">
        <v>75</v>
      </c>
      <c r="K4" s="127" t="s">
        <v>1765</v>
      </c>
      <c r="L4" s="127" t="s">
        <v>82</v>
      </c>
      <c r="M4" s="127"/>
      <c r="N4" s="127"/>
      <c r="O4" s="127"/>
      <c r="P4" s="122" t="s">
        <v>75</v>
      </c>
      <c r="Q4" s="122" t="s">
        <v>1765</v>
      </c>
      <c r="R4" s="137" t="s">
        <v>82</v>
      </c>
      <c r="S4" s="138"/>
      <c r="T4" s="138"/>
      <c r="U4" s="139"/>
      <c r="V4" s="122" t="s">
        <v>76</v>
      </c>
      <c r="W4" s="122" t="s">
        <v>75</v>
      </c>
      <c r="X4" s="122" t="s">
        <v>1765</v>
      </c>
      <c r="Y4" s="127" t="s">
        <v>82</v>
      </c>
      <c r="Z4" s="127"/>
      <c r="AA4" s="127"/>
      <c r="AB4" s="127"/>
      <c r="AC4" s="127" t="s">
        <v>81</v>
      </c>
      <c r="AD4" s="127" t="s">
        <v>75</v>
      </c>
      <c r="AE4" s="127" t="s">
        <v>1765</v>
      </c>
      <c r="AF4" s="127" t="s">
        <v>82</v>
      </c>
      <c r="AG4" s="127"/>
      <c r="AH4" s="127"/>
      <c r="AI4" s="127"/>
      <c r="AJ4" s="127" t="s">
        <v>81</v>
      </c>
      <c r="AK4" s="127" t="s">
        <v>75</v>
      </c>
      <c r="AL4" s="127" t="s">
        <v>1765</v>
      </c>
      <c r="AM4" s="127" t="s">
        <v>82</v>
      </c>
      <c r="AN4" s="127"/>
      <c r="AO4" s="127"/>
      <c r="AP4" s="127"/>
      <c r="AQ4" s="127" t="s">
        <v>81</v>
      </c>
      <c r="AR4" s="127" t="s">
        <v>75</v>
      </c>
      <c r="AS4" s="127" t="s">
        <v>1765</v>
      </c>
      <c r="AT4" s="127" t="s">
        <v>82</v>
      </c>
      <c r="AU4" s="127"/>
      <c r="AV4" s="127"/>
      <c r="AW4" s="127"/>
      <c r="AX4" s="127" t="s">
        <v>81</v>
      </c>
      <c r="AY4" s="127" t="s">
        <v>75</v>
      </c>
      <c r="AZ4" s="127" t="s">
        <v>1765</v>
      </c>
      <c r="BA4" s="127" t="s">
        <v>82</v>
      </c>
      <c r="BB4" s="127"/>
      <c r="BC4" s="127"/>
      <c r="BD4" s="127"/>
      <c r="BE4" s="127" t="s">
        <v>81</v>
      </c>
      <c r="BF4" s="127" t="s">
        <v>75</v>
      </c>
      <c r="BG4" s="127" t="s">
        <v>1765</v>
      </c>
      <c r="BH4" s="127" t="s">
        <v>82</v>
      </c>
      <c r="BI4" s="127"/>
      <c r="BJ4" s="127"/>
      <c r="BK4" s="127"/>
      <c r="BL4" s="127" t="s">
        <v>76</v>
      </c>
    </row>
    <row r="5" spans="1:64" s="5" customFormat="1" ht="51.75" customHeight="1" thickBot="1">
      <c r="A5" s="127"/>
      <c r="B5" s="127"/>
      <c r="C5" s="127"/>
      <c r="D5" s="127"/>
      <c r="E5" s="61" t="s">
        <v>1766</v>
      </c>
      <c r="F5" s="61" t="s">
        <v>83</v>
      </c>
      <c r="G5" s="61" t="s">
        <v>1767</v>
      </c>
      <c r="H5" s="61" t="s">
        <v>1768</v>
      </c>
      <c r="I5" s="127"/>
      <c r="J5" s="127"/>
      <c r="K5" s="127"/>
      <c r="L5" s="61" t="s">
        <v>1766</v>
      </c>
      <c r="M5" s="61" t="s">
        <v>83</v>
      </c>
      <c r="N5" s="61" t="s">
        <v>1767</v>
      </c>
      <c r="O5" s="61" t="s">
        <v>1768</v>
      </c>
      <c r="P5" s="123"/>
      <c r="Q5" s="123"/>
      <c r="R5" s="61" t="s">
        <v>1766</v>
      </c>
      <c r="S5" s="61" t="s">
        <v>83</v>
      </c>
      <c r="T5" s="61" t="s">
        <v>1767</v>
      </c>
      <c r="U5" s="61" t="s">
        <v>1768</v>
      </c>
      <c r="V5" s="123"/>
      <c r="W5" s="123"/>
      <c r="X5" s="123"/>
      <c r="Y5" s="61" t="s">
        <v>1766</v>
      </c>
      <c r="Z5" s="61" t="s">
        <v>83</v>
      </c>
      <c r="AA5" s="61" t="s">
        <v>1767</v>
      </c>
      <c r="AB5" s="61" t="s">
        <v>1768</v>
      </c>
      <c r="AC5" s="127"/>
      <c r="AD5" s="127"/>
      <c r="AE5" s="127"/>
      <c r="AF5" s="61" t="s">
        <v>1766</v>
      </c>
      <c r="AG5" s="61" t="s">
        <v>83</v>
      </c>
      <c r="AH5" s="61" t="s">
        <v>1767</v>
      </c>
      <c r="AI5" s="61" t="s">
        <v>1768</v>
      </c>
      <c r="AJ5" s="127"/>
      <c r="AK5" s="127"/>
      <c r="AL5" s="127"/>
      <c r="AM5" s="61" t="s">
        <v>1766</v>
      </c>
      <c r="AN5" s="61" t="s">
        <v>83</v>
      </c>
      <c r="AO5" s="61" t="s">
        <v>1767</v>
      </c>
      <c r="AP5" s="61" t="s">
        <v>1768</v>
      </c>
      <c r="AQ5" s="127"/>
      <c r="AR5" s="127"/>
      <c r="AS5" s="127"/>
      <c r="AT5" s="61" t="s">
        <v>1766</v>
      </c>
      <c r="AU5" s="61" t="s">
        <v>83</v>
      </c>
      <c r="AV5" s="61" t="s">
        <v>1767</v>
      </c>
      <c r="AW5" s="61" t="s">
        <v>1768</v>
      </c>
      <c r="AX5" s="127"/>
      <c r="AY5" s="127"/>
      <c r="AZ5" s="127"/>
      <c r="BA5" s="61" t="s">
        <v>1766</v>
      </c>
      <c r="BB5" s="61" t="s">
        <v>83</v>
      </c>
      <c r="BC5" s="61" t="s">
        <v>1767</v>
      </c>
      <c r="BD5" s="61" t="s">
        <v>1768</v>
      </c>
      <c r="BE5" s="127"/>
      <c r="BF5" s="127"/>
      <c r="BG5" s="127"/>
      <c r="BH5" s="61" t="s">
        <v>1766</v>
      </c>
      <c r="BI5" s="61" t="s">
        <v>83</v>
      </c>
      <c r="BJ5" s="61" t="s">
        <v>1767</v>
      </c>
      <c r="BK5" s="61" t="s">
        <v>1768</v>
      </c>
      <c r="BL5" s="127"/>
    </row>
    <row r="6" spans="1:64" s="44" customFormat="1" ht="45.75" customHeight="1" thickBot="1">
      <c r="A6" s="135" t="s">
        <v>77</v>
      </c>
      <c r="B6" s="136"/>
      <c r="C6" s="42">
        <f t="shared" ref="C6:AP6" si="0">+SUM(C7:C21)</f>
        <v>968</v>
      </c>
      <c r="D6" s="43">
        <f t="shared" si="0"/>
        <v>8565835.251694737</v>
      </c>
      <c r="E6" s="43">
        <f t="shared" si="0"/>
        <v>3294405.9390347367</v>
      </c>
      <c r="F6" s="43">
        <f t="shared" si="0"/>
        <v>1631107.51266</v>
      </c>
      <c r="G6" s="43">
        <f t="shared" si="0"/>
        <v>214321</v>
      </c>
      <c r="H6" s="43">
        <f t="shared" si="0"/>
        <v>139395</v>
      </c>
      <c r="I6" s="43">
        <f t="shared" si="0"/>
        <v>20232</v>
      </c>
      <c r="J6" s="57">
        <f t="shared" si="0"/>
        <v>590</v>
      </c>
      <c r="K6" s="57">
        <f t="shared" si="0"/>
        <v>1528094.2799999998</v>
      </c>
      <c r="L6" s="57">
        <f t="shared" si="0"/>
        <v>309283.20000000001</v>
      </c>
      <c r="M6" s="57">
        <f t="shared" si="0"/>
        <v>573966</v>
      </c>
      <c r="N6" s="57">
        <f t="shared" si="0"/>
        <v>63244.399999999994</v>
      </c>
      <c r="O6" s="57">
        <f t="shared" si="0"/>
        <v>0</v>
      </c>
      <c r="P6" s="43">
        <f t="shared" si="0"/>
        <v>699</v>
      </c>
      <c r="Q6" s="43">
        <f t="shared" si="0"/>
        <v>6587027.9516947363</v>
      </c>
      <c r="R6" s="43">
        <f t="shared" si="0"/>
        <v>2629395.9390347367</v>
      </c>
      <c r="S6" s="43">
        <f t="shared" si="0"/>
        <v>1061254.51266</v>
      </c>
      <c r="T6" s="43">
        <f t="shared" si="0"/>
        <v>163990</v>
      </c>
      <c r="U6" s="43">
        <f t="shared" si="0"/>
        <v>117995</v>
      </c>
      <c r="V6" s="43">
        <f t="shared" si="0"/>
        <v>14954</v>
      </c>
      <c r="W6" s="43">
        <f t="shared" si="0"/>
        <v>39</v>
      </c>
      <c r="X6" s="43">
        <f t="shared" si="0"/>
        <v>74169.5</v>
      </c>
      <c r="Y6" s="43">
        <f t="shared" si="0"/>
        <v>45461</v>
      </c>
      <c r="Z6" s="43">
        <f t="shared" si="0"/>
        <v>27174</v>
      </c>
      <c r="AA6" s="43">
        <f t="shared" si="0"/>
        <v>149</v>
      </c>
      <c r="AB6" s="43">
        <f t="shared" si="0"/>
        <v>0</v>
      </c>
      <c r="AC6" s="43">
        <f t="shared" ref="AC6" si="1">+SUM(AC7:AC21)</f>
        <v>257</v>
      </c>
      <c r="AD6" s="43">
        <f t="shared" ref="AD6:AI6" si="2">+SUM(AD7:AD21)</f>
        <v>39</v>
      </c>
      <c r="AE6" s="43">
        <f t="shared" si="2"/>
        <v>74169.5</v>
      </c>
      <c r="AF6" s="43">
        <f t="shared" si="2"/>
        <v>45461</v>
      </c>
      <c r="AG6" s="43">
        <f t="shared" si="2"/>
        <v>27174</v>
      </c>
      <c r="AH6" s="43">
        <f t="shared" si="2"/>
        <v>149</v>
      </c>
      <c r="AI6" s="43">
        <f t="shared" si="2"/>
        <v>0</v>
      </c>
      <c r="AJ6" s="43">
        <f t="shared" ref="AJ6" si="3">+SUM(AJ7:AJ21)</f>
        <v>257</v>
      </c>
      <c r="AK6" s="43">
        <f t="shared" si="0"/>
        <v>0</v>
      </c>
      <c r="AL6" s="43">
        <f t="shared" si="0"/>
        <v>0</v>
      </c>
      <c r="AM6" s="43">
        <f t="shared" si="0"/>
        <v>0</v>
      </c>
      <c r="AN6" s="43">
        <f t="shared" si="0"/>
        <v>0</v>
      </c>
      <c r="AO6" s="43">
        <f t="shared" si="0"/>
        <v>0</v>
      </c>
      <c r="AP6" s="43">
        <f t="shared" si="0"/>
        <v>0</v>
      </c>
      <c r="AQ6" s="43">
        <f t="shared" ref="AQ6:BL6" si="4">+SUM(AQ7:AQ21)</f>
        <v>0</v>
      </c>
      <c r="AR6" s="43">
        <f t="shared" si="4"/>
        <v>0</v>
      </c>
      <c r="AS6" s="43">
        <f t="shared" si="4"/>
        <v>0</v>
      </c>
      <c r="AT6" s="43">
        <f t="shared" si="4"/>
        <v>0</v>
      </c>
      <c r="AU6" s="43">
        <f t="shared" si="4"/>
        <v>0</v>
      </c>
      <c r="AV6" s="43">
        <f t="shared" si="4"/>
        <v>0</v>
      </c>
      <c r="AW6" s="43">
        <f t="shared" si="4"/>
        <v>0</v>
      </c>
      <c r="AX6" s="43">
        <f t="shared" si="4"/>
        <v>0</v>
      </c>
      <c r="AY6" s="43">
        <f t="shared" si="4"/>
        <v>605</v>
      </c>
      <c r="AZ6" s="43">
        <f t="shared" si="4"/>
        <v>6292001.1616947362</v>
      </c>
      <c r="BA6" s="43">
        <f t="shared" si="4"/>
        <v>2442104.6490347367</v>
      </c>
      <c r="BB6" s="43">
        <f t="shared" si="4"/>
        <v>960919.81266000005</v>
      </c>
      <c r="BC6" s="43">
        <f t="shared" si="4"/>
        <v>163354</v>
      </c>
      <c r="BD6" s="43">
        <f t="shared" si="4"/>
        <v>117995</v>
      </c>
      <c r="BE6" s="43">
        <f t="shared" si="4"/>
        <v>14117</v>
      </c>
      <c r="BF6" s="43">
        <f t="shared" si="4"/>
        <v>131</v>
      </c>
      <c r="BG6" s="43">
        <f t="shared" si="4"/>
        <v>1770195.8</v>
      </c>
      <c r="BH6" s="43">
        <f t="shared" si="4"/>
        <v>567027</v>
      </c>
      <c r="BI6" s="43">
        <f t="shared" si="4"/>
        <v>474900</v>
      </c>
      <c r="BJ6" s="43">
        <f t="shared" si="4"/>
        <v>49946</v>
      </c>
      <c r="BK6" s="43">
        <f t="shared" si="4"/>
        <v>21400</v>
      </c>
      <c r="BL6" s="43">
        <f t="shared" si="4"/>
        <v>4488</v>
      </c>
    </row>
    <row r="7" spans="1:64" s="3" customFormat="1" ht="35.25" customHeight="1">
      <c r="A7" s="20">
        <v>1</v>
      </c>
      <c r="B7" s="21" t="s">
        <v>167</v>
      </c>
      <c r="C7" s="22">
        <f>+COUNTIFS(манзилли!$D:$D,'свод (худуд)'!$B7)</f>
        <v>57</v>
      </c>
      <c r="D7" s="23">
        <f>(+SUMIFS(манзилли!$K:$K,манзилли!$D:$D,'свод (худуд)'!$B7))</f>
        <v>702735</v>
      </c>
      <c r="E7" s="23">
        <f>(+SUMIFS(манзилли!$M:$M,манзилли!$D:$D,'свод (худуд)'!$B7))</f>
        <v>334334</v>
      </c>
      <c r="F7" s="23">
        <f>(+SUMIFS(манзилли!$Q:$Q,манзилли!$D:$D,'свод (худуд)'!$B7))</f>
        <v>163431</v>
      </c>
      <c r="G7" s="23">
        <f>(+SUMIFS(манзилли!$S:$S,манзилли!$D:$D,'свод (худуд)'!$B7))</f>
        <v>16900</v>
      </c>
      <c r="H7" s="23">
        <f>(+SUMIFS(манзилли!$U:$U,манзилли!$D:$D,'свод (худуд)'!$B7))</f>
        <v>3000</v>
      </c>
      <c r="I7" s="24">
        <f>+SUMIFS(манзилли!$Y:$Y,манзилли!$D:$D,'свод (худуд)'!$B7)</f>
        <v>1318</v>
      </c>
      <c r="J7" s="22">
        <f>+(COUNTIFS(манзилли!$L:$L,"&gt;0",манзилли!$D:$D,'свод (худуд)'!$B7)+COUNTIFS('Қўшимча ишга тушган'!$T:$T,"&gt;0",'Қўшимча ишга тушган'!$D:$D,'свод (худуд)'!$B7))</f>
        <v>40</v>
      </c>
      <c r="K7" s="23">
        <f>(+SUMIFS(манзилли!$L:$L,манзилли!$D:$D,'свод (худуд)'!$B7)+SUMIFS('Қўшимча ишга тушган'!$T:$T,'Қўшимча ишга тушган'!$D:$D,'свод (худуд)'!$B7))</f>
        <v>141469</v>
      </c>
      <c r="L7" s="23">
        <f>+(SUMIFS(манзилли!$N:$N,манзилли!$D:$D,'свод (худуд)'!$B7)+SUMIFS('Қўшимча ишга тушган'!$V:$V,'Қўшимча ишга тушган'!$D:$D,'свод (худуд)'!$B7))</f>
        <v>21610.3</v>
      </c>
      <c r="M7" s="23">
        <f>(+SUMIFS(манзилли!$R:$R,манзилли!$D:$D,'свод (худуд)'!$B7)+SUMIFS('Қўшимча ишга тушган'!$Z:$Z,'Қўшимча ишга тушган'!$D:$D,'свод (худуд)'!$B7))</f>
        <v>104558.7</v>
      </c>
      <c r="N7" s="23">
        <f>(+SUMIFS(манзилли!$T:$T,манзилли!$D:$D,'свод (худуд)'!$B7)+SUMIFS('Қўшимча ишга тушган'!$AB:$AB,'Қўшимча ишга тушган'!$D:$D,'свод (худуд)'!$B7))</f>
        <v>1500</v>
      </c>
      <c r="O7" s="24">
        <f>(+SUMIFS(манзилли!$V:$V,манзилли!$D:$D,'свод (худуд)'!$B7)+SUMIFS('Қўшимча ишга тушган'!$AD:$AD,'Қўшимча ишга тушган'!$D:$D,'свод (худуд)'!$B7))</f>
        <v>0</v>
      </c>
      <c r="P7" s="25">
        <f>+COUNTIFS(манзилли!$D:$D,'свод (худуд)'!$B7,манзилли!$AA:$AA,"&gt;31.12.2020",манзилли!$AA:$AA,"&lt;01.01.2022")</f>
        <v>28</v>
      </c>
      <c r="Q7" s="23">
        <f>(+SUMIFS(манзилли!$K:$K,манзилли!$D:$D,'свод (худуд)'!$B7,манзилли!$AA:$AA,"&gt;31.12.2020",манзилли!$AA:$AA,"&lt;01.01.2022"))</f>
        <v>487424</v>
      </c>
      <c r="R7" s="23">
        <f>(+SUMIFS(манзилли!$M:$M,манзилли!$D:$D,'свод (худуд)'!$B7,манзилли!$AA:$AA,"&gt;31.12.2020",манзилли!$AA:$AA,"&lt;01.01.2022"))</f>
        <v>257024</v>
      </c>
      <c r="S7" s="23">
        <f>(+SUMIFS(манзилли!$Q:$Q,манзилли!$D:$D,'свод (худуд)'!$B7,манзилли!$AA:$AA,"&gt;31.12.2020",манзилли!$AA:$AA,"&lt;01.01.2022"))</f>
        <v>137700</v>
      </c>
      <c r="T7" s="23">
        <f>(+SUMIFS(манзилли!$S:$S,манзилли!$D:$D,'свод (худуд)'!$B7,манзилли!$AA:$AA,"&gt;31.12.2020",манзилли!$AA:$AA,"&lt;01.01.2022"))</f>
        <v>7500</v>
      </c>
      <c r="U7" s="23">
        <f>(+SUMIFS(манзилли!$U:$U,манзилли!$D:$D,'свод (худуд)'!$B7,манзилли!$AA:$AA,"&gt;31.12.2020",манзилли!$AA:$AA,"&lt;01.01.2022"))</f>
        <v>1500</v>
      </c>
      <c r="V7" s="23">
        <f>+SUMIFS(манзилли!$Y:$Y,манзилли!$D:$D,'свод (худуд)'!$B7,манзилли!$AA:$AA,"&gt;31.12.2020",манзилли!$AA:$AA,"&lt;01.01.2022")</f>
        <v>945</v>
      </c>
      <c r="W7" s="22">
        <f>+AD7+AK7</f>
        <v>0</v>
      </c>
      <c r="X7" s="23">
        <f t="shared" ref="X7:X21" si="5">+AE7+AL7</f>
        <v>0</v>
      </c>
      <c r="Y7" s="23">
        <f t="shared" ref="Y7:Y21" si="6">+AF7+AM7</f>
        <v>0</v>
      </c>
      <c r="Z7" s="23">
        <f t="shared" ref="Z7:Z21" si="7">+AG7+AN7</f>
        <v>0</v>
      </c>
      <c r="AA7" s="23">
        <f t="shared" ref="AA7:AA21" si="8">+AH7+AO7</f>
        <v>0</v>
      </c>
      <c r="AB7" s="23">
        <f t="shared" ref="AB7:AB21" si="9">+AI7+AP7</f>
        <v>0</v>
      </c>
      <c r="AC7" s="23">
        <f t="shared" ref="AC7:AC21" si="10">+AJ7+AQ7</f>
        <v>0</v>
      </c>
      <c r="AD7" s="22">
        <f>+COUNTIFS(манзилли!$D:$D,'свод (худуд)'!$B7,манзилли!$AB:$AB,"&gt;31.12.2020",манзилли!$AA:$AA,"&gt;31.12.2020",манзилли!$AA:$AA,"&lt;01.01.2023")</f>
        <v>0</v>
      </c>
      <c r="AE7" s="23">
        <f>(+SUMIFS(манзилли!$L:$L,манзилли!$D:$D,'свод (худуд)'!$B7,манзилли!$AB:$AB,"&gt;31.12.2020",манзилли!$AA:$AA,"&gt;31.12.2020",манзилли!$AA:$AA,"&lt;01.01.2023"))</f>
        <v>0</v>
      </c>
      <c r="AF7" s="23">
        <f>(+SUMIFS(манзилли!$N:$N,манзилли!$D:$D,'свод (худуд)'!$B7,манзилли!$AB:$AB,"&gt;31.12.2020",манзилли!$AA:$AA,"&gt;31.12.2020",манзилли!$AA:$AA,"&lt;01.01.2023"))</f>
        <v>0</v>
      </c>
      <c r="AG7" s="23">
        <f>(+SUMIFS(манзилли!$R:$R,манзилли!$D:$D,'свод (худуд)'!$B7,манзилли!$AB:$AB,"&gt;31.12.2020",манзилли!$AA:$AA,"&gt;31.12.2020",манзилли!$AA:$AA,"&lt;01.01.2023"))</f>
        <v>0</v>
      </c>
      <c r="AH7" s="23">
        <f>(+SUMIFS(манзилли!$T:$T,манзилли!$D:$D,'свод (худуд)'!$B7,манзилли!$AB:$AB,"&gt;31.12.2020",манзилли!$AA:$AA,"&gt;31.12.2020",манзилли!$AA:$AA,"&lt;01.01.2023"))</f>
        <v>0</v>
      </c>
      <c r="AI7" s="23">
        <f>(+SUMIFS(манзилли!$V:$V,манзилли!$D:$D,'свод (худуд)'!$B7,манзилли!$AB:$AB,"&gt;31.12.2020",манзилли!$AA:$AA,"&gt;31.12.2020",манзилли!$AA:$AA,"&lt;01.01.2023"))</f>
        <v>0</v>
      </c>
      <c r="AJ7" s="23">
        <f>+SUMIFS(манзилли!$Z:$Z,манзилли!$D:$D,'свод (худуд)'!$B7,манзилли!$AB:$AB,"&gt;31.12.2020",манзилли!$AA:$AA,"&gt;31.12.2020",манзилли!$AA:$AA,"&lt;01.01.2023")</f>
        <v>0</v>
      </c>
      <c r="AK7" s="22">
        <f>+COUNTIFS('Қўшимча ишга тушган'!$D:$D,'свод (худуд)'!B7,'Қўшимча ишга тушган'!$AO:$AO,"&lt;01.10.2023")</f>
        <v>0</v>
      </c>
      <c r="AL7" s="23">
        <f>(+SUMIFS('Қўшимча ишга тушган'!$T:$T,'Қўшимча ишга тушган'!$D:$D,'свод (худуд)'!$B7,'Қўшимча ишга тушган'!$AO:$AO,"&lt;01.10.2023"))</f>
        <v>0</v>
      </c>
      <c r="AM7" s="23">
        <f>(+SUMIFS('Қўшимча ишга тушган'!$V:$V,'Қўшимча ишга тушган'!$D:$D,'свод (худуд)'!$B7,'Қўшимча ишга тушган'!$AO:$AO,"&lt;01.10.2023"))</f>
        <v>0</v>
      </c>
      <c r="AN7" s="23">
        <f>(+SUMIFS('Қўшимча ишга тушган'!$Z:$Z,'Қўшимча ишга тушган'!$D:$D,'свод (худуд)'!$B7,'Қўшимча ишга тушган'!$AO:$AO,"&lt;01.10.2023"))</f>
        <v>0</v>
      </c>
      <c r="AO7" s="23">
        <f>(+SUMIFS('Қўшимча ишга тушган'!$AB:$AB,'Қўшимча ишга тушган'!$D:$D,'свод (худуд)'!$B7,'Қўшимча ишга тушган'!$AO:$AO,"&lt;01.10.2023"))</f>
        <v>0</v>
      </c>
      <c r="AP7" s="23">
        <f>(+SUMIFS('Қўшимча ишга тушган'!$AD:$AD,'Қўшимча ишга тушган'!$D:$D,'свод (худуд)'!$B7,'Қўшимча ишга тушган'!$AO:$AO,"&lt;01.10.2023"))</f>
        <v>0</v>
      </c>
      <c r="AQ7" s="23">
        <f>+SUMIFS('Қўшимча ишга тушган'!$AM:$AM,'Қўшимча ишга тушган'!$D:$D,'свод (худуд)'!$B7,'Қўшимча ишга тушган'!$AO:$AO,"&lt;01.10.2023")</f>
        <v>0</v>
      </c>
      <c r="AR7" s="22">
        <f>+COUNTIFS(манзилли!$D:$D,'свод (худуд)'!$B7,манзилли!$AA:$AA,"&lt;01.02.2021",манзилли!$AB:$AB,"")</f>
        <v>0</v>
      </c>
      <c r="AS7" s="23">
        <f>(+SUMIFS(манзилли!$K:$K,манзилли!$D:$D,'свод (худуд)'!$B7,манзилли!$AA:$AA,"&lt;01.02.2021",манзилли!$AB:$AB,""))</f>
        <v>0</v>
      </c>
      <c r="AT7" s="23">
        <f>(+SUMIFS(манзилли!$M:$M,манзилли!$D:$D,'свод (худуд)'!$B7,манзилли!$AA:$AA,"&lt;01.02.2021",манзилли!$AB:$AB,""))</f>
        <v>0</v>
      </c>
      <c r="AU7" s="23">
        <f>(+SUMIFS(манзилли!$Q:$Q,манзилли!$D:$D,'свод (худуд)'!$B7,манзилли!$AA:$AA,"&lt;01.02.2021",манзилли!$AB:$AB,""))</f>
        <v>0</v>
      </c>
      <c r="AV7" s="23">
        <f>(+SUMIFS(манзилли!$S:$S,манзилли!$D:$D,'свод (худуд)'!$B7,манзилли!$AA:$AA,"&lt;01.02.2021",манзилли!$AB:$AB,""))</f>
        <v>0</v>
      </c>
      <c r="AW7" s="23">
        <f>(+SUMIFS(манзилли!$U:$U,манзилли!$D:$D,'свод (худуд)'!$B7,манзилли!$AA:$AA,"&lt;01.02.2021",манзилли!$AB:$AB,""))</f>
        <v>0</v>
      </c>
      <c r="AX7" s="23">
        <f>+SUMIFS(манзилли!$Y:$Y,манзилли!$D:$D,'свод (худуд)'!$B7,манзилли!$AA:$AA,"&lt;01.02.2021",манзилли!$AB:$AB,"")</f>
        <v>0</v>
      </c>
      <c r="AY7" s="22">
        <f>+COUNTIFS(манзилли!$D:$D,'свод (худуд)'!$B7,манзилли!$AA:$AA,"&lt;01.01.2022",манзилли!$AB:$AB,"")</f>
        <v>24</v>
      </c>
      <c r="AZ7" s="23">
        <f>(+SUMIFS(манзилли!$K:$K,манзилли!$D:$D,'свод (худуд)'!$B7,манзилли!$AA:$AA,"&lt;01.01.2022",манзилли!$AB:$AB,""))</f>
        <v>483484</v>
      </c>
      <c r="BA7" s="23">
        <f>(+SUMIFS(манзилли!$M:$M,манзилли!$D:$D,'свод (худуд)'!$B7,манзилли!$AA:$AA,"&lt;01.01.2022",манзилли!$AB:$AB,""))</f>
        <v>255784</v>
      </c>
      <c r="BB7" s="23">
        <f>(+SUMIFS(манзилли!$Q:$Q,манзилли!$D:$D,'свод (худуд)'!$B7,манзилли!$AA:$AA,"&lt;01.01.2022",манзилли!$AB:$AB,""))</f>
        <v>135000</v>
      </c>
      <c r="BC7" s="23">
        <f>(+SUMIFS(манзилли!$S:$S,манзилли!$D:$D,'свод (худуд)'!$B7,манзилли!$AA:$AA,"&lt;01.01.2022",манзилли!$AB:$AB,""))</f>
        <v>7500</v>
      </c>
      <c r="BD7" s="23">
        <f>(+SUMIFS(манзилли!$U:$U,манзилли!$D:$D,'свод (худуд)'!$B7,манзилли!$AA:$AA,"&lt;01.01.2022",манзилли!$AB:$AB,""))</f>
        <v>1500</v>
      </c>
      <c r="BE7" s="24">
        <f>+SUMIFS(манзилли!$Y:$Y,манзилли!$D:$D,'свод (худуд)'!$B7,манзилли!$AA:$AA,"&lt;01.01.2022",манзилли!$AB:$AB,"")</f>
        <v>922</v>
      </c>
      <c r="BF7" s="22">
        <f>+COUNTIFS(манзилли!$D:$D,'свод (худуд)'!$B7,манзилли!$AA:$AA,"&lt;01.01.2023",манзилли!$AA:$AA,"&gt;=01.01.2022")</f>
        <v>5</v>
      </c>
      <c r="BG7" s="23">
        <f>(+SUMIFS(манзилли!$K:$K,манзилли!$D:$D,'свод (худуд)'!$B7,манзилли!$AA:$AA,"&lt;01.01.2023",манзилли!$AA:$AA,"&gt;=01.01.2022"))</f>
        <v>181110</v>
      </c>
      <c r="BH7" s="23">
        <f>(+SUMIFS(манзилли!$M:$M,манзилли!$D:$D,'свод (худуд)'!$B7,манзилли!$AA:$AA,"&lt;01.01.2023",манзилли!$AA:$AA,"&gt;=01.01.2022"))</f>
        <v>59090</v>
      </c>
      <c r="BI7" s="23">
        <f>(+SUMIFS(манзилли!$Q:$Q,манзилли!$D:$D,'свод (худуд)'!$B7,манзилли!$AA:$AA,"&lt;01.01.2023",манзилли!$AA:$AA,"&gt;=01.01.2022"))</f>
        <v>9750</v>
      </c>
      <c r="BJ7" s="23">
        <f>(+SUMIFS(манзилли!$S:$S,манзилли!$D:$D,'свод (худуд)'!$B7,манзилли!$AA:$AA,"&lt;01.01.2023",манзилли!$AA:$AA,"&gt;=01.01.2022"))</f>
        <v>9400</v>
      </c>
      <c r="BK7" s="23">
        <f>(+SUMIFS(манзилли!$U:$U,манзилли!$D:$D,'свод (худуд)'!$B7,манзилли!$AA:$AA,"&lt;01.01.2023",манзилли!$AA:$AA,"&gt;=01.01.2022"))</f>
        <v>1500</v>
      </c>
      <c r="BL7" s="24">
        <f>+SUMIFS(манзилли!$Y:$Y,манзилли!$D:$D,'свод (худуд)'!$B7,манзилли!$AA:$AA,"&lt;01.01.2023",манзилли!$AA:$AA,"&gt;=01.01.2022")</f>
        <v>261</v>
      </c>
    </row>
    <row r="8" spans="1:64" s="3" customFormat="1" ht="35.25" customHeight="1">
      <c r="A8" s="26">
        <f>+A7+1</f>
        <v>2</v>
      </c>
      <c r="B8" s="27" t="s">
        <v>183</v>
      </c>
      <c r="C8" s="28">
        <f>+COUNTIFS(манзилли!$D:$D,'свод (худуд)'!$B8)</f>
        <v>66</v>
      </c>
      <c r="D8" s="29">
        <f>(+SUMIFS(манзилли!$K:$K,манзилли!$D:$D,'свод (худуд)'!$B8))</f>
        <v>229473.3</v>
      </c>
      <c r="E8" s="29">
        <f>(+SUMIFS(манзилли!$M:$M,манзилли!$D:$D,'свод (худуд)'!$B8))</f>
        <v>83944</v>
      </c>
      <c r="F8" s="29">
        <f>(+SUMIFS(манзилли!$Q:$Q,манзилли!$D:$D,'свод (худуд)'!$B8))</f>
        <v>45595</v>
      </c>
      <c r="G8" s="29">
        <f>(+SUMIFS(манзилли!$S:$S,манзилли!$D:$D,'свод (худуд)'!$B8))</f>
        <v>8771</v>
      </c>
      <c r="H8" s="29">
        <f>(+SUMIFS(манзилли!$U:$U,манзилли!$D:$D,'свод (худуд)'!$B8))</f>
        <v>0</v>
      </c>
      <c r="I8" s="30">
        <f>+SUMIFS(манзилли!$Y:$Y,манзилли!$D:$D,'свод (худуд)'!$B8)</f>
        <v>1172</v>
      </c>
      <c r="J8" s="28">
        <f>+(COUNTIFS(манзилли!$L:$L,"&gt;0",манзилли!$D:$D,'свод (худуд)'!$B8)+COUNTIFS('Қўшимча ишга тушган'!$T:$T,"&gt;0",'Қўшимча ишга тушган'!$D:$D,'свод (худуд)'!$B8))</f>
        <v>42</v>
      </c>
      <c r="K8" s="29">
        <f>(+SUMIFS(манзилли!$L:$L,манзилли!$D:$D,'свод (худуд)'!$B8)+SUMIFS('Қўшимча ишга тушган'!$T:$T,'Қўшимча ишга тушган'!$D:$D,'свод (худуд)'!$B8))</f>
        <v>54731.6</v>
      </c>
      <c r="L8" s="29">
        <f>+(SUMIFS(манзилли!$N:$N,манзилли!$D:$D,'свод (худуд)'!$B8)+SUMIFS('Қўшимча ишга тушган'!$V:$V,'Қўшимча ишга тушган'!$D:$D,'свод (худуд)'!$B8))</f>
        <v>13132.1</v>
      </c>
      <c r="M8" s="29">
        <f>(+SUMIFS(манзилли!$R:$R,манзилли!$D:$D,'свод (худуд)'!$B8)+SUMIFS('Қўшимча ишга тушган'!$Z:$Z,'Қўшимча ишга тушган'!$D:$D,'свод (худуд)'!$B8))</f>
        <v>18795.5</v>
      </c>
      <c r="N8" s="29">
        <f>(+SUMIFS(манзилли!$T:$T,манзилли!$D:$D,'свод (худуд)'!$B8)+SUMIFS('Қўшимча ишга тушган'!$AB:$AB,'Қўшимча ишга тушган'!$D:$D,'свод (худуд)'!$B8))</f>
        <v>2229.5</v>
      </c>
      <c r="O8" s="30">
        <f>(+SUMIFS(манзилли!$V:$V,манзилли!$D:$D,'свод (худуд)'!$B8)+SUMIFS('Қўшимча ишга тушган'!$AD:$AD,'Қўшимча ишга тушган'!$D:$D,'свод (худуд)'!$B8))</f>
        <v>0</v>
      </c>
      <c r="P8" s="31">
        <f>+COUNTIFS(манзилли!$D:$D,'свод (худуд)'!$B8,манзилли!$AA:$AA,"&gt;31.12.2020",манзилли!$AA:$AA,"&lt;01.01.2022")</f>
        <v>47</v>
      </c>
      <c r="Q8" s="29">
        <f>(+SUMIFS(манзилли!$K:$K,манзилли!$D:$D,'свод (худуд)'!$B8,манзилли!$AA:$AA,"&gt;31.12.2020",манзилли!$AA:$AA,"&lt;01.01.2022"))</f>
        <v>84451.5</v>
      </c>
      <c r="R8" s="29">
        <f>(+SUMIFS(манзилли!$M:$M,манзилли!$D:$D,'свод (худуд)'!$B8,манзилли!$AA:$AA,"&gt;31.12.2020",манзилли!$AA:$AA,"&lt;01.01.2022"))</f>
        <v>34007</v>
      </c>
      <c r="S8" s="29">
        <f>(+SUMIFS(манзилли!$Q:$Q,манзилли!$D:$D,'свод (худуд)'!$B8,манзилли!$AA:$AA,"&gt;31.12.2020",манзилли!$AA:$AA,"&lt;01.01.2022"))</f>
        <v>33295</v>
      </c>
      <c r="T8" s="29">
        <f>(+SUMIFS(манзилли!$S:$S,манзилли!$D:$D,'свод (худуд)'!$B8,манзилли!$AA:$AA,"&gt;31.12.2020",манзилли!$AA:$AA,"&lt;01.01.2022"))</f>
        <v>1665</v>
      </c>
      <c r="U8" s="29">
        <f>(+SUMIFS(манзилли!$U:$U,манзилли!$D:$D,'свод (худуд)'!$B8,манзилли!$AA:$AA,"&gt;31.12.2020",манзилли!$AA:$AA,"&lt;01.01.2022"))</f>
        <v>0</v>
      </c>
      <c r="V8" s="30">
        <f>+SUMIFS(манзилли!$Y:$Y,манзилли!$D:$D,'свод (худуд)'!$B8,манзилли!$AA:$AA,"&gt;31.12.2020",манзилли!$AA:$AA,"&lt;01.01.2022")</f>
        <v>343</v>
      </c>
      <c r="W8" s="28">
        <f t="shared" ref="W8:W21" si="11">+AD8+AK8</f>
        <v>5</v>
      </c>
      <c r="X8" s="29">
        <f t="shared" si="5"/>
        <v>2762</v>
      </c>
      <c r="Y8" s="29">
        <f t="shared" si="6"/>
        <v>900</v>
      </c>
      <c r="Z8" s="29">
        <f t="shared" si="7"/>
        <v>1862</v>
      </c>
      <c r="AA8" s="29">
        <f t="shared" si="8"/>
        <v>0</v>
      </c>
      <c r="AB8" s="29">
        <f t="shared" si="9"/>
        <v>0</v>
      </c>
      <c r="AC8" s="30">
        <f t="shared" si="10"/>
        <v>33</v>
      </c>
      <c r="AD8" s="28">
        <f>+COUNTIFS(манзилли!$D:$D,'свод (худуд)'!$B8,манзилли!$AB:$AB,"&gt;31.12.2020",манзилли!$AA:$AA,"&gt;31.12.2020",манзилли!$AA:$AA,"&lt;01.01.2023")</f>
        <v>5</v>
      </c>
      <c r="AE8" s="29">
        <f>(+SUMIFS(манзилли!$L:$L,манзилли!$D:$D,'свод (худуд)'!$B8,манзилли!$AB:$AB,"&gt;31.12.2020",манзилли!$AA:$AA,"&gt;31.12.2020",манзилли!$AA:$AA,"&lt;01.01.2023"))</f>
        <v>2762</v>
      </c>
      <c r="AF8" s="29">
        <f>(+SUMIFS(манзилли!$N:$N,манзилли!$D:$D,'свод (худуд)'!$B8,манзилли!$AB:$AB,"&gt;31.12.2020",манзилли!$AA:$AA,"&gt;31.12.2020",манзилли!$AA:$AA,"&lt;01.01.2023"))</f>
        <v>900</v>
      </c>
      <c r="AG8" s="29">
        <f>(+SUMIFS(манзилли!$R:$R,манзилли!$D:$D,'свод (худуд)'!$B8,манзилли!$AB:$AB,"&gt;31.12.2020",манзилли!$AA:$AA,"&gt;31.12.2020",манзилли!$AA:$AA,"&lt;01.01.2023"))</f>
        <v>1862</v>
      </c>
      <c r="AH8" s="29">
        <f>(+SUMIFS(манзилли!$T:$T,манзилли!$D:$D,'свод (худуд)'!$B8,манзилли!$AB:$AB,"&gt;31.12.2020",манзилли!$AA:$AA,"&gt;31.12.2020",манзилли!$AA:$AA,"&lt;01.01.2023"))</f>
        <v>0</v>
      </c>
      <c r="AI8" s="29">
        <f>(+SUMIFS(манзилли!$V:$V,манзилли!$D:$D,'свод (худуд)'!$B8,манзилли!$AB:$AB,"&gt;31.12.2020",манзилли!$AA:$AA,"&gt;31.12.2020",манзилли!$AA:$AA,"&lt;01.01.2023"))</f>
        <v>0</v>
      </c>
      <c r="AJ8" s="30">
        <f>+SUMIFS(манзилли!$Z:$Z,манзилли!$D:$D,'свод (худуд)'!$B8,манзилли!$AB:$AB,"&gt;31.12.2020",манзилли!$AA:$AA,"&gt;31.12.2020",манзилли!$AA:$AA,"&lt;01.01.2023")</f>
        <v>33</v>
      </c>
      <c r="AK8" s="28">
        <f>+COUNTIFS('Қўшимча ишга тушган'!$D:$D,'свод (худуд)'!B8,'Қўшимча ишга тушган'!$AO:$AO,"&lt;01.10.2023")</f>
        <v>0</v>
      </c>
      <c r="AL8" s="29">
        <f>(+SUMIFS('Қўшимча ишга тушган'!$T:$T,'Қўшимча ишга тушган'!$D:$D,'свод (худуд)'!$B8,'Қўшимча ишга тушган'!$AO:$AO,"&lt;01.10.2023"))</f>
        <v>0</v>
      </c>
      <c r="AM8" s="29">
        <f>(+SUMIFS('Қўшимча ишга тушган'!$V:$V,'Қўшимча ишга тушган'!$D:$D,'свод (худуд)'!$B8,'Қўшимча ишга тушган'!$AO:$AO,"&lt;01.10.2023"))</f>
        <v>0</v>
      </c>
      <c r="AN8" s="29">
        <f>(+SUMIFS('Қўшимча ишга тушган'!$Z:$Z,'Қўшимча ишга тушган'!$D:$D,'свод (худуд)'!$B8,'Қўшимча ишга тушган'!$AO:$AO,"&lt;01.10.2023"))</f>
        <v>0</v>
      </c>
      <c r="AO8" s="29">
        <f>(+SUMIFS('Қўшимча ишга тушган'!$AB:$AB,'Қўшимча ишга тушган'!$D:$D,'свод (худуд)'!$B8,'Қўшимча ишга тушган'!$AO:$AO,"&lt;01.10.2023"))</f>
        <v>0</v>
      </c>
      <c r="AP8" s="29">
        <f>(+SUMIFS('Қўшимча ишга тушган'!$AD:$AD,'Қўшимча ишга тушган'!$D:$D,'свод (худуд)'!$B8,'Қўшимча ишга тушган'!$AO:$AO,"&lt;01.10.2023"))</f>
        <v>0</v>
      </c>
      <c r="AQ8" s="30">
        <f>+SUMIFS('Қўшимча ишга тушган'!$AM:$AM,'Қўшимча ишга тушган'!$D:$D,'свод (худуд)'!$B8,'Қўшимча ишга тушган'!$AO:$AO,"&lt;01.10.2023")</f>
        <v>0</v>
      </c>
      <c r="AR8" s="28">
        <f>+COUNTIFS(манзилли!$D:$D,'свод (худуд)'!$B8,манзилли!$AA:$AA,"&lt;01.02.2021",манзилли!$AB:$AB,"")</f>
        <v>0</v>
      </c>
      <c r="AS8" s="29">
        <f>(+SUMIFS(манзилли!$K:$K,манзилли!$D:$D,'свод (худуд)'!$B8,манзилли!$AA:$AA,"&lt;01.02.2021",манзилли!$AB:$AB,""))</f>
        <v>0</v>
      </c>
      <c r="AT8" s="29">
        <f>(+SUMIFS(манзилли!$M:$M,манзилли!$D:$D,'свод (худуд)'!$B8,манзилли!$AA:$AA,"&lt;01.02.2021",манзилли!$AB:$AB,""))</f>
        <v>0</v>
      </c>
      <c r="AU8" s="29">
        <f>(+SUMIFS(манзилли!$Q:$Q,манзилли!$D:$D,'свод (худуд)'!$B8,манзилли!$AA:$AA,"&lt;01.02.2021",манзилли!$AB:$AB,""))</f>
        <v>0</v>
      </c>
      <c r="AV8" s="29">
        <f>(+SUMIFS(манзилли!$S:$S,манзилли!$D:$D,'свод (худуд)'!$B8,манзилли!$AA:$AA,"&lt;01.02.2021",манзилли!$AB:$AB,""))</f>
        <v>0</v>
      </c>
      <c r="AW8" s="29">
        <f>(+SUMIFS(манзилли!$U:$U,манзилли!$D:$D,'свод (худуд)'!$B8,манзилли!$AA:$AA,"&lt;01.02.2021",манзилли!$AB:$AB,""))</f>
        <v>0</v>
      </c>
      <c r="AX8" s="30">
        <f>+SUMIFS(манзилли!$Y:$Y,манзилли!$D:$D,'свод (худуд)'!$B8,манзилли!$AA:$AA,"&lt;01.02.2021",манзилли!$AB:$AB,"")</f>
        <v>0</v>
      </c>
      <c r="AY8" s="28">
        <f>+COUNTIFS(манзилли!$D:$D,'свод (худуд)'!$B8,манзилли!$AA:$AA,"&lt;01.01.2022",манзилли!$AB:$AB,"")</f>
        <v>39</v>
      </c>
      <c r="AZ8" s="29">
        <f>(+SUMIFS(манзилли!$K:$K,манзилли!$D:$D,'свод (худуд)'!$B8,манзилли!$AA:$AA,"&lt;01.01.2022",манзилли!$AB:$AB,""))</f>
        <v>75051.5</v>
      </c>
      <c r="BA8" s="29">
        <f>(+SUMIFS(манзилли!$M:$M,манзилли!$D:$D,'свод (худуд)'!$B8,манзилли!$AA:$AA,"&lt;01.01.2022",манзилли!$AB:$AB,""))</f>
        <v>29707</v>
      </c>
      <c r="BB8" s="29">
        <f>(+SUMIFS(манзилли!$Q:$Q,манзилли!$D:$D,'свод (худуд)'!$B8,манзилли!$AA:$AA,"&lt;01.01.2022",манзилли!$AB:$AB,""))</f>
        <v>28195</v>
      </c>
      <c r="BC8" s="29">
        <f>(+SUMIFS(манзилли!$S:$S,манзилли!$D:$D,'свод (худуд)'!$B8,манзилли!$AA:$AA,"&lt;01.01.2022",манзилли!$AB:$AB,""))</f>
        <v>1665</v>
      </c>
      <c r="BD8" s="29">
        <f>(+SUMIFS(манзилли!$U:$U,манзилли!$D:$D,'свод (худуд)'!$B8,манзилли!$AA:$AA,"&lt;01.01.2022",манзилли!$AB:$AB,""))</f>
        <v>0</v>
      </c>
      <c r="BE8" s="30">
        <f>+SUMIFS(манзилли!$Y:$Y,манзилли!$D:$D,'свод (худуд)'!$B8,манзилли!$AA:$AA,"&lt;01.01.2022",манзилли!$AB:$AB,"")</f>
        <v>284</v>
      </c>
      <c r="BF8" s="28">
        <f>+COUNTIFS(манзилли!$D:$D,'свод (худуд)'!$B8,манзилли!$AA:$AA,"&lt;01.01.2023",манзилли!$AA:$AA,"&gt;=01.01.2022")</f>
        <v>10</v>
      </c>
      <c r="BG8" s="29">
        <f>(+SUMIFS(манзилли!$K:$K,манзилли!$D:$D,'свод (худуд)'!$B8,манзилли!$AA:$AA,"&lt;01.01.2023",манзилли!$AA:$AA,"&gt;=01.01.2022"))</f>
        <v>127291.8</v>
      </c>
      <c r="BH8" s="29">
        <f>(+SUMIFS(манзилли!$M:$M,манзилли!$D:$D,'свод (худуд)'!$B8,манзилли!$AA:$AA,"&lt;01.01.2023",манзилли!$AA:$AA,"&gt;=01.01.2022"))</f>
        <v>46727</v>
      </c>
      <c r="BI8" s="29">
        <f>(+SUMIFS(манзилли!$Q:$Q,манзилли!$D:$D,'свод (худуд)'!$B8,манзилли!$AA:$AA,"&lt;01.01.2023",манзилли!$AA:$AA,"&gt;=01.01.2022"))</f>
        <v>7500</v>
      </c>
      <c r="BJ8" s="29">
        <f>(+SUMIFS(манзилли!$S:$S,манзилли!$D:$D,'свод (худуд)'!$B8,манзилли!$AA:$AA,"&lt;01.01.2023",манзилли!$AA:$AA,"&gt;=01.01.2022"))</f>
        <v>7106</v>
      </c>
      <c r="BK8" s="29">
        <f>(+SUMIFS(манзилли!$U:$U,манзилли!$D:$D,'свод (худуд)'!$B8,манзилли!$AA:$AA,"&lt;01.01.2023",манзилли!$AA:$AA,"&gt;=01.01.2022"))</f>
        <v>0</v>
      </c>
      <c r="BL8" s="30">
        <f>+SUMIFS(манзилли!$Y:$Y,манзилли!$D:$D,'свод (худуд)'!$B8,манзилли!$AA:$AA,"&lt;01.01.2023",манзилли!$AA:$AA,"&gt;=01.01.2022")</f>
        <v>760</v>
      </c>
    </row>
    <row r="9" spans="1:64" s="3" customFormat="1" ht="35.25" customHeight="1">
      <c r="A9" s="26">
        <f t="shared" ref="A9:A21" si="12">+A8+1</f>
        <v>3</v>
      </c>
      <c r="B9" s="27" t="s">
        <v>187</v>
      </c>
      <c r="C9" s="28">
        <f>+COUNTIFS(манзилли!$D:$D,'свод (худуд)'!$B9)</f>
        <v>43</v>
      </c>
      <c r="D9" s="29">
        <f>(+SUMIFS(манзилли!$K:$K,манзилли!$D:$D,'свод (худуд)'!$B9))</f>
        <v>311794.22011578945</v>
      </c>
      <c r="E9" s="29">
        <f>(+SUMIFS(манзилли!$M:$M,манзилли!$D:$D,'свод (худуд)'!$B9))</f>
        <v>53173.50745578947</v>
      </c>
      <c r="F9" s="29">
        <f>(+SUMIFS(манзилли!$Q:$Q,манзилли!$D:$D,'свод (худуд)'!$B9))</f>
        <v>37634.212659999997</v>
      </c>
      <c r="G9" s="29">
        <f>(+SUMIFS(манзилли!$S:$S,манзилли!$D:$D,'свод (худуд)'!$B9))</f>
        <v>7455</v>
      </c>
      <c r="H9" s="29">
        <f>(+SUMIFS(манзилли!$U:$U,манзилли!$D:$D,'свод (худуд)'!$B9))</f>
        <v>14000</v>
      </c>
      <c r="I9" s="30">
        <f>+SUMIFS(манзилли!$Y:$Y,манзилли!$D:$D,'свод (худуд)'!$B9)</f>
        <v>714</v>
      </c>
      <c r="J9" s="28">
        <f>+(COUNTIFS(манзилли!$L:$L,"&gt;0",манзилли!$D:$D,'свод (худуд)'!$B9)+COUNTIFS('Қўшимча ишга тушган'!$T:$T,"&gt;0",'Қўшимча ишга тушган'!$D:$D,'свод (худуд)'!$B9))</f>
        <v>31</v>
      </c>
      <c r="K9" s="29">
        <f>(+SUMIFS(манзилли!$L:$L,манзилли!$D:$D,'свод (худуд)'!$B9)+SUMIFS('Қўшимча ишга тушган'!$T:$T,'Қўшимча ишга тушган'!$D:$D,'свод (худуд)'!$B9))</f>
        <v>66515</v>
      </c>
      <c r="L9" s="29">
        <f>+(SUMIFS(манзилли!$N:$N,манзилли!$D:$D,'свод (худуд)'!$B9)+SUMIFS('Қўшимча ишга тушган'!$V:$V,'Қўшимча ишга тушган'!$D:$D,'свод (худуд)'!$B9))</f>
        <v>5521</v>
      </c>
      <c r="M9" s="29">
        <f>(+SUMIFS(манзилли!$R:$R,манзилли!$D:$D,'свод (худуд)'!$B9)+SUMIFS('Қўшимча ишга тушган'!$Z:$Z,'Қўшимча ишга тушган'!$D:$D,'свод (худуд)'!$B9))</f>
        <v>19684</v>
      </c>
      <c r="N9" s="29">
        <f>(+SUMIFS(манзилли!$T:$T,манзилли!$D:$D,'свод (худуд)'!$B9)+SUMIFS('Қўшимча ишга тушган'!$AB:$AB,'Қўшимча ишга тушган'!$D:$D,'свод (худуд)'!$B9))</f>
        <v>4050</v>
      </c>
      <c r="O9" s="30">
        <f>(+SUMIFS(манзилли!$V:$V,манзилли!$D:$D,'свод (худуд)'!$B9)+SUMIFS('Қўшимча ишга тушган'!$AD:$AD,'Қўшимча ишга тушган'!$D:$D,'свод (худуд)'!$B9))</f>
        <v>0</v>
      </c>
      <c r="P9" s="31">
        <f>+COUNTIFS(манзилли!$D:$D,'свод (худуд)'!$B9,манзилли!$AA:$AA,"&gt;31.12.2020",манзилли!$AA:$AA,"&lt;01.01.2022")</f>
        <v>39</v>
      </c>
      <c r="Q9" s="29">
        <f>(+SUMIFS(манзилли!$K:$K,манзилли!$D:$D,'свод (худуд)'!$B9,манзилли!$AA:$AA,"&gt;31.12.2020",манзилли!$AA:$AA,"&lt;01.01.2022"))</f>
        <v>302738.22011578945</v>
      </c>
      <c r="R9" s="29">
        <f>(+SUMIFS(манзилли!$M:$M,манзилли!$D:$D,'свод (худуд)'!$B9,манзилли!$AA:$AA,"&gt;31.12.2020",манзилли!$AA:$AA,"&lt;01.01.2022"))</f>
        <v>48993.50745578947</v>
      </c>
      <c r="S9" s="29">
        <f>(+SUMIFS(манзилли!$Q:$Q,манзилли!$D:$D,'свод (худуд)'!$B9,манзилли!$AA:$AA,"&gt;31.12.2020",манзилли!$AA:$AA,"&lt;01.01.2022"))</f>
        <v>37084.212659999997</v>
      </c>
      <c r="T9" s="29">
        <f>(+SUMIFS(манзилли!$S:$S,манзилли!$D:$D,'свод (худуд)'!$B9,манзилли!$AA:$AA,"&gt;31.12.2020",манзилли!$AA:$AA,"&lt;01.01.2022"))</f>
        <v>7035</v>
      </c>
      <c r="U9" s="29">
        <f>(+SUMIFS(манзилли!$U:$U,манзилли!$D:$D,'свод (худуд)'!$B9,манзилли!$AA:$AA,"&gt;31.12.2020",манзилли!$AA:$AA,"&lt;01.01.2022"))</f>
        <v>14000</v>
      </c>
      <c r="V9" s="30">
        <f>+SUMIFS(манзилли!$Y:$Y,манзилли!$D:$D,'свод (худуд)'!$B9,манзилли!$AA:$AA,"&gt;31.12.2020",манзилли!$AA:$AA,"&lt;01.01.2022")</f>
        <v>687</v>
      </c>
      <c r="W9" s="28">
        <f t="shared" si="11"/>
        <v>3</v>
      </c>
      <c r="X9" s="29">
        <f t="shared" si="5"/>
        <v>5698</v>
      </c>
      <c r="Y9" s="29">
        <f t="shared" si="6"/>
        <v>3341</v>
      </c>
      <c r="Z9" s="29">
        <f t="shared" si="7"/>
        <v>2357</v>
      </c>
      <c r="AA9" s="29">
        <f t="shared" si="8"/>
        <v>0</v>
      </c>
      <c r="AB9" s="29">
        <f t="shared" si="9"/>
        <v>0</v>
      </c>
      <c r="AC9" s="30">
        <f t="shared" si="10"/>
        <v>12</v>
      </c>
      <c r="AD9" s="28">
        <f>+COUNTIFS(манзилли!$D:$D,'свод (худуд)'!$B9,манзилли!$AB:$AB,"&gt;31.12.2020",манзилли!$AA:$AA,"&gt;31.12.2020",манзилли!$AA:$AA,"&lt;01.01.2023")</f>
        <v>3</v>
      </c>
      <c r="AE9" s="29">
        <f>(+SUMIFS(манзилли!$L:$L,манзилли!$D:$D,'свод (худуд)'!$B9,манзилли!$AB:$AB,"&gt;31.12.2020",манзилли!$AA:$AA,"&gt;31.12.2020",манзилли!$AA:$AA,"&lt;01.01.2023"))</f>
        <v>5698</v>
      </c>
      <c r="AF9" s="29">
        <f>(+SUMIFS(манзилли!$N:$N,манзилли!$D:$D,'свод (худуд)'!$B9,манзилли!$AB:$AB,"&gt;31.12.2020",манзилли!$AA:$AA,"&gt;31.12.2020",манзилли!$AA:$AA,"&lt;01.01.2023"))</f>
        <v>3341</v>
      </c>
      <c r="AG9" s="29">
        <f>(+SUMIFS(манзилли!$R:$R,манзилли!$D:$D,'свод (худуд)'!$B9,манзилли!$AB:$AB,"&gt;31.12.2020",манзилли!$AA:$AA,"&gt;31.12.2020",манзилли!$AA:$AA,"&lt;01.01.2023"))</f>
        <v>2357</v>
      </c>
      <c r="AH9" s="29">
        <f>(+SUMIFS(манзилли!$T:$T,манзилли!$D:$D,'свод (худуд)'!$B9,манзилли!$AB:$AB,"&gt;31.12.2020",манзилли!$AA:$AA,"&gt;31.12.2020",манзилли!$AA:$AA,"&lt;01.01.2023"))</f>
        <v>0</v>
      </c>
      <c r="AI9" s="29">
        <f>(+SUMIFS(манзилли!$V:$V,манзилли!$D:$D,'свод (худуд)'!$B9,манзилли!$AB:$AB,"&gt;31.12.2020",манзилли!$AA:$AA,"&gt;31.12.2020",манзилли!$AA:$AA,"&lt;01.01.2023"))</f>
        <v>0</v>
      </c>
      <c r="AJ9" s="30">
        <f>+SUMIFS(манзилли!$Z:$Z,манзилли!$D:$D,'свод (худуд)'!$B9,манзилли!$AB:$AB,"&gt;31.12.2020",манзилли!$AA:$AA,"&gt;31.12.2020",манзилли!$AA:$AA,"&lt;01.01.2023")</f>
        <v>12</v>
      </c>
      <c r="AK9" s="28">
        <f>+COUNTIFS('Қўшимча ишга тушган'!$D:$D,'свод (худуд)'!B9,'Қўшимча ишга тушган'!$AO:$AO,"&lt;01.10.2023")</f>
        <v>0</v>
      </c>
      <c r="AL9" s="29">
        <f>(+SUMIFS('Қўшимча ишга тушган'!$T:$T,'Қўшимча ишга тушган'!$D:$D,'свод (худуд)'!$B9,'Қўшимча ишга тушган'!$AO:$AO,"&lt;01.10.2023"))</f>
        <v>0</v>
      </c>
      <c r="AM9" s="29">
        <f>(+SUMIFS('Қўшимча ишга тушган'!$V:$V,'Қўшимча ишга тушган'!$D:$D,'свод (худуд)'!$B9,'Қўшимча ишга тушган'!$AO:$AO,"&lt;01.10.2023"))</f>
        <v>0</v>
      </c>
      <c r="AN9" s="29">
        <f>(+SUMIFS('Қўшимча ишга тушган'!$Z:$Z,'Қўшимча ишга тушган'!$D:$D,'свод (худуд)'!$B9,'Қўшимча ишга тушган'!$AO:$AO,"&lt;01.10.2023"))</f>
        <v>0</v>
      </c>
      <c r="AO9" s="29">
        <f>(+SUMIFS('Қўшимча ишга тушган'!$AB:$AB,'Қўшимча ишга тушган'!$D:$D,'свод (худуд)'!$B9,'Қўшимча ишга тушган'!$AO:$AO,"&lt;01.10.2023"))</f>
        <v>0</v>
      </c>
      <c r="AP9" s="29">
        <f>(+SUMIFS('Қўшимча ишга тушган'!$AD:$AD,'Қўшимча ишга тушган'!$D:$D,'свод (худуд)'!$B9,'Қўшимча ишга тушган'!$AO:$AO,"&lt;01.10.2023"))</f>
        <v>0</v>
      </c>
      <c r="AQ9" s="30">
        <f>+SUMIFS('Қўшимча ишга тушган'!$AM:$AM,'Қўшимча ишга тушган'!$D:$D,'свод (худуд)'!$B9,'Қўшимча ишга тушган'!$AO:$AO,"&lt;01.10.2023")</f>
        <v>0</v>
      </c>
      <c r="AR9" s="28">
        <f>+COUNTIFS(манзилли!$D:$D,'свод (худуд)'!$B9,манзилли!$AA:$AA,"&lt;01.02.2021",манзилли!$AB:$AB,"")</f>
        <v>0</v>
      </c>
      <c r="AS9" s="29">
        <f>(+SUMIFS(манзилли!$K:$K,манзилли!$D:$D,'свод (худуд)'!$B9,манзилли!$AA:$AA,"&lt;01.02.2021",манзилли!$AB:$AB,""))</f>
        <v>0</v>
      </c>
      <c r="AT9" s="29">
        <f>(+SUMIFS(манзилли!$M:$M,манзилли!$D:$D,'свод (худуд)'!$B9,манзилли!$AA:$AA,"&lt;01.02.2021",манзилли!$AB:$AB,""))</f>
        <v>0</v>
      </c>
      <c r="AU9" s="29">
        <f>(+SUMIFS(манзилли!$Q:$Q,манзилли!$D:$D,'свод (худуд)'!$B9,манзилли!$AA:$AA,"&lt;01.02.2021",манзилли!$AB:$AB,""))</f>
        <v>0</v>
      </c>
      <c r="AV9" s="29">
        <f>(+SUMIFS(манзилли!$S:$S,манзилли!$D:$D,'свод (худуд)'!$B9,манзилли!$AA:$AA,"&lt;01.02.2021",манзилли!$AB:$AB,""))</f>
        <v>0</v>
      </c>
      <c r="AW9" s="29">
        <f>(+SUMIFS(манзилли!$U:$U,манзилли!$D:$D,'свод (худуд)'!$B9,манзилли!$AA:$AA,"&lt;01.02.2021",манзилли!$AB:$AB,""))</f>
        <v>0</v>
      </c>
      <c r="AX9" s="30">
        <f>+SUMIFS(манзилли!$Y:$Y,манзилли!$D:$D,'свод (худуд)'!$B9,манзилли!$AA:$AA,"&lt;01.02.2021",манзилли!$AB:$AB,"")</f>
        <v>0</v>
      </c>
      <c r="AY9" s="28">
        <f>+COUNTIFS(манзилли!$D:$D,'свод (худуд)'!$B9,манзилли!$AA:$AA,"&lt;01.01.2022",манзилли!$AB:$AB,"")</f>
        <v>36</v>
      </c>
      <c r="AZ9" s="29">
        <f>(+SUMIFS(манзилли!$K:$K,манзилли!$D:$D,'свод (худуд)'!$B9,манзилли!$AA:$AA,"&lt;01.01.2022",манзилли!$AB:$AB,""))</f>
        <v>299024.33011578943</v>
      </c>
      <c r="BA9" s="29">
        <f>(+SUMIFS(манзилли!$M:$M,манзилли!$D:$D,'свод (худуд)'!$B9,манзилли!$AA:$AA,"&lt;01.01.2022",манзилли!$AB:$AB,""))</f>
        <v>47637.017455789472</v>
      </c>
      <c r="BB9" s="29">
        <f>(+SUMIFS(манзилли!$Q:$Q,манзилли!$D:$D,'свод (худуд)'!$B9,манзилли!$AA:$AA,"&lt;01.01.2022",манзилли!$AB:$AB,""))</f>
        <v>34726.812659999996</v>
      </c>
      <c r="BC9" s="29">
        <f>(+SUMIFS(манзилли!$S:$S,манзилли!$D:$D,'свод (худуд)'!$B9,манзилли!$AA:$AA,"&lt;01.01.2022",манзилли!$AB:$AB,""))</f>
        <v>7035</v>
      </c>
      <c r="BD9" s="29">
        <f>(+SUMIFS(манзилли!$U:$U,манзилли!$D:$D,'свод (худуд)'!$B9,манзилли!$AA:$AA,"&lt;01.01.2022",манзилли!$AB:$AB,""))</f>
        <v>14000</v>
      </c>
      <c r="BE9" s="30">
        <f>+SUMIFS(манзилли!$Y:$Y,манзилли!$D:$D,'свод (худуд)'!$B9,манзилли!$AA:$AA,"&lt;01.01.2022",манзилли!$AB:$AB,"")</f>
        <v>661</v>
      </c>
      <c r="BF9" s="28">
        <f>+COUNTIFS(манзилли!$D:$D,'свод (худуд)'!$B9,манзилли!$AA:$AA,"&lt;01.01.2023",манзилли!$AA:$AA,"&gt;=01.01.2022")</f>
        <v>1</v>
      </c>
      <c r="BG9" s="29">
        <f>(+SUMIFS(манзилли!$K:$K,манзилли!$D:$D,'свод (худуд)'!$B9,манзилли!$AA:$AA,"&lt;01.01.2023",манзилли!$AA:$AA,"&gt;=01.01.2022"))</f>
        <v>6326</v>
      </c>
      <c r="BH9" s="29">
        <f>(+SUMIFS(манзилли!$M:$M,манзилли!$D:$D,'свод (худуд)'!$B9,манзилли!$AA:$AA,"&lt;01.01.2023",манзилли!$AA:$AA,"&gt;=01.01.2022"))</f>
        <v>2000</v>
      </c>
      <c r="BI9" s="29">
        <f>(+SUMIFS(манзилли!$Q:$Q,манзилли!$D:$D,'свод (худуд)'!$B9,манзилли!$AA:$AA,"&lt;01.01.2023",манзилли!$AA:$AA,"&gt;=01.01.2022"))</f>
        <v>0</v>
      </c>
      <c r="BJ9" s="29">
        <f>(+SUMIFS(манзилли!$S:$S,манзилли!$D:$D,'свод (худуд)'!$B9,манзилли!$AA:$AA,"&lt;01.01.2023",манзилли!$AA:$AA,"&gt;=01.01.2022"))</f>
        <v>420</v>
      </c>
      <c r="BK9" s="29">
        <f>(+SUMIFS(манзилли!$U:$U,манзилли!$D:$D,'свод (худуд)'!$B9,манзилли!$AA:$AA,"&lt;01.01.2023",манзилли!$AA:$AA,"&gt;=01.01.2022"))</f>
        <v>0</v>
      </c>
      <c r="BL9" s="30">
        <f>+SUMIFS(манзилли!$Y:$Y,манзилли!$D:$D,'свод (худуд)'!$B9,манзилли!$AA:$AA,"&lt;01.01.2023",манзилли!$AA:$AA,"&gt;=01.01.2022")</f>
        <v>5</v>
      </c>
    </row>
    <row r="10" spans="1:64" s="3" customFormat="1" ht="35.25" customHeight="1">
      <c r="A10" s="26">
        <f t="shared" si="12"/>
        <v>4</v>
      </c>
      <c r="B10" s="27" t="s">
        <v>210</v>
      </c>
      <c r="C10" s="28">
        <f>+COUNTIFS(манзилли!$D:$D,'свод (худуд)'!$B10)</f>
        <v>210</v>
      </c>
      <c r="D10" s="29">
        <f>(+SUMIFS(манзилли!$K:$K,манзилли!$D:$D,'свод (худуд)'!$B10))</f>
        <v>1860707.3</v>
      </c>
      <c r="E10" s="29">
        <f>(+SUMIFS(манзилли!$M:$M,манзилли!$D:$D,'свод (худуд)'!$B10))</f>
        <v>694827</v>
      </c>
      <c r="F10" s="29">
        <f>(+SUMIFS(манзилли!$Q:$Q,манзилли!$D:$D,'свод (худуд)'!$B10))</f>
        <v>573390</v>
      </c>
      <c r="G10" s="29">
        <f>(+SUMIFS(манзилли!$S:$S,манзилли!$D:$D,'свод (худуд)'!$B10))</f>
        <v>49281</v>
      </c>
      <c r="H10" s="29">
        <f>(+SUMIFS(манзилли!$U:$U,манзилли!$D:$D,'свод (худуд)'!$B10))</f>
        <v>12110</v>
      </c>
      <c r="I10" s="30">
        <f>+SUMIFS(манзилли!$Y:$Y,манзилли!$D:$D,'свод (худуд)'!$B10)</f>
        <v>4769</v>
      </c>
      <c r="J10" s="28">
        <f>+(COUNTIFS(манзилли!$L:$L,"&gt;0",манзилли!$D:$D,'свод (худуд)'!$B10)+COUNTIFS('Қўшимча ишга тушган'!$T:$T,"&gt;0",'Қўшимча ишга тушган'!$D:$D,'свод (худуд)'!$B10))</f>
        <v>95</v>
      </c>
      <c r="K10" s="29">
        <f>(+SUMIFS(манзилли!$L:$L,манзилли!$D:$D,'свод (худуд)'!$B10)+SUMIFS('Қўшимча ишга тушган'!$T:$T,'Қўшимча ишга тушган'!$D:$D,'свод (худуд)'!$B10))</f>
        <v>215949.17999999996</v>
      </c>
      <c r="L10" s="29">
        <f>+(SUMIFS(манзилли!$N:$N,манзилли!$D:$D,'свод (худуд)'!$B10)+SUMIFS('Қўшимча ишга тушган'!$V:$V,'Қўшимча ишга тушган'!$D:$D,'свод (худуд)'!$B10))</f>
        <v>8220</v>
      </c>
      <c r="M10" s="29">
        <f>(+SUMIFS(манзилли!$R:$R,манзилли!$D:$D,'свод (худуд)'!$B10)+SUMIFS('Қўшимча ишга тушган'!$Z:$Z,'Қўшимча ишга тушган'!$D:$D,'свод (худуд)'!$B10))</f>
        <v>53011</v>
      </c>
      <c r="N10" s="29">
        <f>(+SUMIFS(манзилли!$T:$T,манзилли!$D:$D,'свод (худуд)'!$B10)+SUMIFS('Қўшимча ишга тушган'!$AB:$AB,'Қўшимча ишга тушган'!$D:$D,'свод (худуд)'!$B10))</f>
        <v>15166.9</v>
      </c>
      <c r="O10" s="30">
        <f>(+SUMIFS(манзилли!$V:$V,манзилли!$D:$D,'свод (худуд)'!$B10)+SUMIFS('Қўшимча ишга тушган'!$AD:$AD,'Қўшимча ишга тушган'!$D:$D,'свод (худуд)'!$B10))</f>
        <v>0</v>
      </c>
      <c r="P10" s="31">
        <f>+COUNTIFS(манзилли!$D:$D,'свод (худуд)'!$B10,манзилли!$AA:$AA,"&gt;31.12.2020",манзилли!$AA:$AA,"&lt;01.01.2022")</f>
        <v>149</v>
      </c>
      <c r="Q10" s="29">
        <f>(+SUMIFS(манзилли!$K:$K,манзилли!$D:$D,'свод (худуд)'!$B10,манзилли!$AA:$AA,"&gt;31.12.2020",манзилли!$AA:$AA,"&lt;01.01.2022"))</f>
        <v>1238187.3</v>
      </c>
      <c r="R10" s="29">
        <f>(+SUMIFS(манзилли!$M:$M,манзилли!$D:$D,'свод (худуд)'!$B10,манзилли!$AA:$AA,"&gt;31.12.2020",манзилли!$AA:$AA,"&lt;01.01.2022"))</f>
        <v>463087</v>
      </c>
      <c r="S10" s="29">
        <f>(+SUMIFS(манзилли!$Q:$Q,манзилли!$D:$D,'свод (худуд)'!$B10,манзилли!$AA:$AA,"&gt;31.12.2020",манзилли!$AA:$AA,"&lt;01.01.2022"))</f>
        <v>274740</v>
      </c>
      <c r="T10" s="29">
        <f>(+SUMIFS(манзилли!$S:$S,манзилли!$D:$D,'свод (худуд)'!$B10,манзилли!$AA:$AA,"&gt;31.12.2020",манзилли!$AA:$AA,"&lt;01.01.2022"))</f>
        <v>42101</v>
      </c>
      <c r="U10" s="29">
        <f>(+SUMIFS(манзилли!$U:$U,манзилли!$D:$D,'свод (худуд)'!$B10,манзилли!$AA:$AA,"&gt;31.12.2020",манзилли!$AA:$AA,"&lt;01.01.2022"))</f>
        <v>9710</v>
      </c>
      <c r="V10" s="30">
        <f>+SUMIFS(манзилли!$Y:$Y,манзилли!$D:$D,'свод (худуд)'!$B10,манзилли!$AA:$AA,"&gt;31.12.2020",манзилли!$AA:$AA,"&lt;01.01.2022")</f>
        <v>3162</v>
      </c>
      <c r="W10" s="28">
        <f t="shared" si="11"/>
        <v>7</v>
      </c>
      <c r="X10" s="29">
        <f t="shared" si="5"/>
        <v>5185</v>
      </c>
      <c r="Y10" s="29">
        <f t="shared" si="6"/>
        <v>4370</v>
      </c>
      <c r="Z10" s="29">
        <f t="shared" si="7"/>
        <v>815</v>
      </c>
      <c r="AA10" s="29">
        <f t="shared" si="8"/>
        <v>0</v>
      </c>
      <c r="AB10" s="29">
        <f t="shared" si="9"/>
        <v>0</v>
      </c>
      <c r="AC10" s="30">
        <f t="shared" si="10"/>
        <v>26</v>
      </c>
      <c r="AD10" s="28">
        <f>+COUNTIFS(манзилли!$D:$D,'свод (худуд)'!$B10,манзилли!$AB:$AB,"&gt;31.12.2020",манзилли!$AA:$AA,"&gt;31.12.2020",манзилли!$AA:$AA,"&lt;01.01.2023")</f>
        <v>7</v>
      </c>
      <c r="AE10" s="29">
        <f>(+SUMIFS(манзилли!$L:$L,манзилли!$D:$D,'свод (худуд)'!$B10,манзилли!$AB:$AB,"&gt;31.12.2020",манзилли!$AA:$AA,"&gt;31.12.2020",манзилли!$AA:$AA,"&lt;01.01.2023"))</f>
        <v>5185</v>
      </c>
      <c r="AF10" s="29">
        <f>(+SUMIFS(манзилли!$N:$N,манзилли!$D:$D,'свод (худуд)'!$B10,манзилли!$AB:$AB,"&gt;31.12.2020",манзилли!$AA:$AA,"&gt;31.12.2020",манзилли!$AA:$AA,"&lt;01.01.2023"))</f>
        <v>4370</v>
      </c>
      <c r="AG10" s="29">
        <f>(+SUMIFS(манзилли!$R:$R,манзилли!$D:$D,'свод (худуд)'!$B10,манзилли!$AB:$AB,"&gt;31.12.2020",манзилли!$AA:$AA,"&gt;31.12.2020",манзилли!$AA:$AA,"&lt;01.01.2023"))</f>
        <v>815</v>
      </c>
      <c r="AH10" s="29">
        <f>(+SUMIFS(манзилли!$T:$T,манзилли!$D:$D,'свод (худуд)'!$B10,манзилли!$AB:$AB,"&gt;31.12.2020",манзилли!$AA:$AA,"&gt;31.12.2020",манзилли!$AA:$AA,"&lt;01.01.2023"))</f>
        <v>0</v>
      </c>
      <c r="AI10" s="29">
        <f>(+SUMIFS(манзилли!$V:$V,манзилли!$D:$D,'свод (худуд)'!$B10,манзилли!$AB:$AB,"&gt;31.12.2020",манзилли!$AA:$AA,"&gt;31.12.2020",манзилли!$AA:$AA,"&lt;01.01.2023"))</f>
        <v>0</v>
      </c>
      <c r="AJ10" s="30">
        <f>+SUMIFS(манзилли!$Z:$Z,манзилли!$D:$D,'свод (худуд)'!$B10,манзилли!$AB:$AB,"&gt;31.12.2020",манзилли!$AA:$AA,"&gt;31.12.2020",манзилли!$AA:$AA,"&lt;01.01.2023")</f>
        <v>26</v>
      </c>
      <c r="AK10" s="28">
        <f>+COUNTIFS('Қўшимча ишга тушган'!$D:$D,'свод (худуд)'!B10,'Қўшимча ишга тушган'!$AO:$AO,"&lt;01.10.2023")</f>
        <v>0</v>
      </c>
      <c r="AL10" s="29">
        <f>(+SUMIFS('Қўшимча ишга тушган'!$T:$T,'Қўшимча ишга тушган'!$D:$D,'свод (худуд)'!$B10,'Қўшимча ишга тушган'!$AO:$AO,"&lt;01.10.2023"))</f>
        <v>0</v>
      </c>
      <c r="AM10" s="29">
        <f>(+SUMIFS('Қўшимча ишга тушган'!$V:$V,'Қўшимча ишга тушган'!$D:$D,'свод (худуд)'!$B10,'Қўшимча ишга тушган'!$AO:$AO,"&lt;01.10.2023"))</f>
        <v>0</v>
      </c>
      <c r="AN10" s="29">
        <f>(+SUMIFS('Қўшимча ишга тушган'!$Z:$Z,'Қўшимча ишга тушган'!$D:$D,'свод (худуд)'!$B10,'Қўшимча ишга тушган'!$AO:$AO,"&lt;01.10.2023"))</f>
        <v>0</v>
      </c>
      <c r="AO10" s="29">
        <f>(+SUMIFS('Қўшимча ишга тушган'!$AB:$AB,'Қўшимча ишга тушган'!$D:$D,'свод (худуд)'!$B10,'Қўшимча ишга тушган'!$AO:$AO,"&lt;01.10.2023"))</f>
        <v>0</v>
      </c>
      <c r="AP10" s="29">
        <f>(+SUMIFS('Қўшимча ишга тушган'!$AD:$AD,'Қўшимча ишга тушган'!$D:$D,'свод (худуд)'!$B10,'Қўшимча ишга тушган'!$AO:$AO,"&lt;01.10.2023"))</f>
        <v>0</v>
      </c>
      <c r="AQ10" s="30">
        <f>+SUMIFS('Қўшимча ишга тушган'!$AM:$AM,'Қўшимча ишга тушган'!$D:$D,'свод (худуд)'!$B10,'Қўшимча ишга тушган'!$AO:$AO,"&lt;01.10.2023")</f>
        <v>0</v>
      </c>
      <c r="AR10" s="28">
        <f>+COUNTIFS(манзилли!$D:$D,'свод (худуд)'!$B10,манзилли!$AA:$AA,"&lt;01.02.2021",манзилли!$AB:$AB,"")</f>
        <v>0</v>
      </c>
      <c r="AS10" s="29">
        <f>(+SUMIFS(манзилли!$K:$K,манзилли!$D:$D,'свод (худуд)'!$B10,манзилли!$AA:$AA,"&lt;01.02.2021",манзилли!$AB:$AB,""))</f>
        <v>0</v>
      </c>
      <c r="AT10" s="29">
        <f>(+SUMIFS(манзилли!$M:$M,манзилли!$D:$D,'свод (худуд)'!$B10,манзилли!$AA:$AA,"&lt;01.02.2021",манзилли!$AB:$AB,""))</f>
        <v>0</v>
      </c>
      <c r="AU10" s="29">
        <f>(+SUMIFS(манзилли!$Q:$Q,манзилли!$D:$D,'свод (худуд)'!$B10,манзилли!$AA:$AA,"&lt;01.02.2021",манзилли!$AB:$AB,""))</f>
        <v>0</v>
      </c>
      <c r="AV10" s="29">
        <f>(+SUMIFS(манзилли!$S:$S,манзилли!$D:$D,'свод (худуд)'!$B10,манзилли!$AA:$AA,"&lt;01.02.2021",манзилли!$AB:$AB,""))</f>
        <v>0</v>
      </c>
      <c r="AW10" s="29">
        <f>(+SUMIFS(манзилли!$U:$U,манзилли!$D:$D,'свод (худуд)'!$B10,манзилли!$AA:$AA,"&lt;01.02.2021",манзилли!$AB:$AB,""))</f>
        <v>0</v>
      </c>
      <c r="AX10" s="30">
        <f>+SUMIFS(манзилли!$Y:$Y,манзилли!$D:$D,'свод (худуд)'!$B10,манзилли!$AA:$AA,"&lt;01.02.2021",манзилли!$AB:$AB,"")</f>
        <v>0</v>
      </c>
      <c r="AY10" s="28">
        <f>+COUNTIFS(манзилли!$D:$D,'свод (худуд)'!$B10,манзилли!$AA:$AA,"&lt;01.01.2022",манзилли!$AB:$AB,"")</f>
        <v>141</v>
      </c>
      <c r="AZ10" s="29">
        <f>(+SUMIFS(манзилли!$K:$K,манзилли!$D:$D,'свод (худуд)'!$B10,манзилли!$AA:$AA,"&lt;01.01.2022",манзилли!$AB:$AB,""))</f>
        <v>1228387.3</v>
      </c>
      <c r="BA10" s="29">
        <f>(+SUMIFS(манзилли!$M:$M,манзилли!$D:$D,'свод (худуд)'!$B10,манзилли!$AA:$AA,"&lt;01.01.2022",манзилли!$AB:$AB,""))</f>
        <v>456687</v>
      </c>
      <c r="BB10" s="29">
        <f>(+SUMIFS(манзилли!$Q:$Q,манзилли!$D:$D,'свод (худуд)'!$B10,манзилли!$AA:$AA,"&lt;01.01.2022",манзилли!$AB:$AB,""))</f>
        <v>271340</v>
      </c>
      <c r="BC10" s="29">
        <f>(+SUMIFS(манзилли!$S:$S,манзилли!$D:$D,'свод (худуд)'!$B10,манзилли!$AA:$AA,"&lt;01.01.2022",манзилли!$AB:$AB,""))</f>
        <v>42101</v>
      </c>
      <c r="BD10" s="29">
        <f>(+SUMIFS(манзилли!$U:$U,манзилли!$D:$D,'свод (худуд)'!$B10,манзилли!$AA:$AA,"&lt;01.01.2022",манзилли!$AB:$AB,""))</f>
        <v>9710</v>
      </c>
      <c r="BE10" s="30">
        <f>+SUMIFS(манзилли!$Y:$Y,манзилли!$D:$D,'свод (худуд)'!$B10,манзилли!$AA:$AA,"&lt;01.01.2022",манзилли!$AB:$AB,"")</f>
        <v>3125</v>
      </c>
      <c r="BF10" s="28">
        <f>+COUNTIFS(манзилли!$D:$D,'свод (худуд)'!$B10,манзилли!$AA:$AA,"&lt;01.01.2023",манзилли!$AA:$AA,"&gt;=01.01.2022")</f>
        <v>55</v>
      </c>
      <c r="BG10" s="29">
        <f>(+SUMIFS(манзилли!$K:$K,манзилли!$D:$D,'свод (худуд)'!$B10,манзилли!$AA:$AA,"&lt;01.01.2023",манзилли!$AA:$AA,"&gt;=01.01.2022"))</f>
        <v>605570</v>
      </c>
      <c r="BH10" s="29">
        <f>(+SUMIFS(манзилли!$M:$M,манзилли!$D:$D,'свод (худуд)'!$B10,манзилли!$AA:$AA,"&lt;01.01.2023",манзилли!$AA:$AA,"&gt;=01.01.2022"))</f>
        <v>223290</v>
      </c>
      <c r="BI10" s="29">
        <f>(+SUMIFS(манзилли!$Q:$Q,манзилли!$D:$D,'свод (худуд)'!$B10,манзилли!$AA:$AA,"&lt;01.01.2023",манзилли!$AA:$AA,"&gt;=01.01.2022"))</f>
        <v>290150</v>
      </c>
      <c r="BJ10" s="29">
        <f>(+SUMIFS(манзилли!$S:$S,манзилли!$D:$D,'свод (худуд)'!$B10,манзилли!$AA:$AA,"&lt;01.01.2023",манзилли!$AA:$AA,"&gt;=01.01.2022"))</f>
        <v>7180</v>
      </c>
      <c r="BK10" s="29">
        <f>(+SUMIFS(манзилли!$U:$U,манзилли!$D:$D,'свод (худуд)'!$B10,манзилли!$AA:$AA,"&lt;01.01.2023",манзилли!$AA:$AA,"&gt;=01.01.2022"))</f>
        <v>2400</v>
      </c>
      <c r="BL10" s="30">
        <f>+SUMIFS(манзилли!$Y:$Y,манзилли!$D:$D,'свод (худуд)'!$B10,манзилли!$AA:$AA,"&lt;01.01.2023",манзилли!$AA:$AA,"&gt;=01.01.2022")</f>
        <v>1541</v>
      </c>
    </row>
    <row r="11" spans="1:64" s="3" customFormat="1" ht="35.25" customHeight="1">
      <c r="A11" s="26">
        <f t="shared" si="12"/>
        <v>5</v>
      </c>
      <c r="B11" s="27" t="s">
        <v>212</v>
      </c>
      <c r="C11" s="28">
        <f>+COUNTIFS(манзилли!$D:$D,'свод (худуд)'!$B11)</f>
        <v>52</v>
      </c>
      <c r="D11" s="29">
        <f>(+SUMIFS(манзилли!$K:$K,манзилли!$D:$D,'свод (худуд)'!$B11))</f>
        <v>245577.5</v>
      </c>
      <c r="E11" s="29">
        <f>(+SUMIFS(манзилли!$M:$M,манзилли!$D:$D,'свод (худуд)'!$B11))</f>
        <v>67534</v>
      </c>
      <c r="F11" s="29">
        <f>(+SUMIFS(манзилли!$Q:$Q,манзилли!$D:$D,'свод (худуд)'!$B11))</f>
        <v>59644</v>
      </c>
      <c r="G11" s="29">
        <f>(+SUMIFS(манзилли!$S:$S,манзилли!$D:$D,'свод (худуд)'!$B11))</f>
        <v>8365</v>
      </c>
      <c r="H11" s="29">
        <f>(+SUMIFS(манзилли!$U:$U,манзилли!$D:$D,'свод (худуд)'!$B11))</f>
        <v>500</v>
      </c>
      <c r="I11" s="30">
        <f>+SUMIFS(манзилли!$Y:$Y,манзилли!$D:$D,'свод (худуд)'!$B11)</f>
        <v>400</v>
      </c>
      <c r="J11" s="28">
        <f>+(COUNTIFS(манзилли!$L:$L,"&gt;0",манзилли!$D:$D,'свод (худуд)'!$B11)+COUNTIFS('Қўшимча ишга тушган'!$T:$T,"&gt;0",'Қўшимча ишга тушган'!$D:$D,'свод (худуд)'!$B11))</f>
        <v>40</v>
      </c>
      <c r="K11" s="29">
        <f>(+SUMIFS(манзилли!$L:$L,манзилли!$D:$D,'свод (худуд)'!$B11)+SUMIFS('Қўшимча ишга тушган'!$T:$T,'Қўшимча ишга тушган'!$D:$D,'свод (худуд)'!$B11))</f>
        <v>75847.7</v>
      </c>
      <c r="L11" s="29">
        <f>+(SUMIFS(манзилли!$N:$N,манзилли!$D:$D,'свод (худуд)'!$B11)+SUMIFS('Қўшимча ишга тушган'!$V:$V,'Қўшимча ишга тушган'!$D:$D,'свод (худуд)'!$B11))</f>
        <v>20467</v>
      </c>
      <c r="M11" s="29">
        <f>(+SUMIFS(манзилли!$R:$R,манзилли!$D:$D,'свод (худуд)'!$B11)+SUMIFS('Қўшимча ишга тушган'!$Z:$Z,'Қўшимча ишга тушган'!$D:$D,'свод (худуд)'!$B11))</f>
        <v>34695.5</v>
      </c>
      <c r="N11" s="29">
        <f>(+SUMIFS(манзилли!$T:$T,манзилли!$D:$D,'свод (худуд)'!$B11)+SUMIFS('Қўшимча ишга тушган'!$AB:$AB,'Қўшимча ишга тушган'!$D:$D,'свод (худуд)'!$B11))</f>
        <v>2021</v>
      </c>
      <c r="O11" s="30">
        <f>(+SUMIFS(манзилли!$V:$V,манзилли!$D:$D,'свод (худуд)'!$B11)+SUMIFS('Қўшимча ишга тушган'!$AD:$AD,'Қўшимча ишга тушган'!$D:$D,'свод (худуд)'!$B11))</f>
        <v>0</v>
      </c>
      <c r="P11" s="31">
        <f>+COUNTIFS(манзилли!$D:$D,'свод (худуд)'!$B11,манзилли!$AA:$AA,"&gt;31.12.2020",манзилли!$AA:$AA,"&lt;01.01.2022")</f>
        <v>45</v>
      </c>
      <c r="Q11" s="29">
        <f>(+SUMIFS(манзилли!$K:$K,манзилли!$D:$D,'свод (худуд)'!$B11,манзилли!$AA:$AA,"&gt;31.12.2020",манзилли!$AA:$AA,"&lt;01.01.2022"))</f>
        <v>190108</v>
      </c>
      <c r="R11" s="29">
        <f>(+SUMIFS(манзилли!$M:$M,манзилли!$D:$D,'свод (худуд)'!$B11,манзилли!$AA:$AA,"&gt;31.12.2020",манзилли!$AA:$AA,"&lt;01.01.2022"))</f>
        <v>53834</v>
      </c>
      <c r="S11" s="29">
        <f>(+SUMIFS(манзилли!$Q:$Q,манзилли!$D:$D,'свод (худуд)'!$B11,манзилли!$AA:$AA,"&gt;31.12.2020",манзилли!$AA:$AA,"&lt;01.01.2022"))</f>
        <v>58644</v>
      </c>
      <c r="T11" s="29">
        <f>(+SUMIFS(манзилли!$S:$S,манзилли!$D:$D,'свод (худуд)'!$B11,манзилли!$AA:$AA,"&gt;31.12.2020",манзилли!$AA:$AA,"&lt;01.01.2022"))</f>
        <v>5100</v>
      </c>
      <c r="U11" s="29">
        <f>(+SUMIFS(манзилли!$U:$U,манзилли!$D:$D,'свод (худуд)'!$B11,манзилли!$AA:$AA,"&gt;31.12.2020",манзилли!$AA:$AA,"&lt;01.01.2022"))</f>
        <v>0</v>
      </c>
      <c r="V11" s="30">
        <f>+SUMIFS(манзилли!$Y:$Y,манзилли!$D:$D,'свод (худуд)'!$B11,манзилли!$AA:$AA,"&gt;31.12.2020",манзилли!$AA:$AA,"&lt;01.01.2022")</f>
        <v>280</v>
      </c>
      <c r="W11" s="28">
        <f t="shared" si="11"/>
        <v>3</v>
      </c>
      <c r="X11" s="29">
        <f t="shared" si="5"/>
        <v>21350</v>
      </c>
      <c r="Y11" s="29">
        <f t="shared" si="6"/>
        <v>16400</v>
      </c>
      <c r="Z11" s="29">
        <f t="shared" si="7"/>
        <v>4950</v>
      </c>
      <c r="AA11" s="29">
        <f t="shared" si="8"/>
        <v>0</v>
      </c>
      <c r="AB11" s="29">
        <f t="shared" si="9"/>
        <v>0</v>
      </c>
      <c r="AC11" s="30">
        <f t="shared" si="10"/>
        <v>42</v>
      </c>
      <c r="AD11" s="28">
        <f>+COUNTIFS(манзилли!$D:$D,'свод (худуд)'!$B11,манзилли!$AB:$AB,"&gt;31.12.2020",манзилли!$AA:$AA,"&gt;31.12.2020",манзилли!$AA:$AA,"&lt;01.01.2023")</f>
        <v>3</v>
      </c>
      <c r="AE11" s="29">
        <f>(+SUMIFS(манзилли!$L:$L,манзилли!$D:$D,'свод (худуд)'!$B11,манзилли!$AB:$AB,"&gt;31.12.2020",манзилли!$AA:$AA,"&gt;31.12.2020",манзилли!$AA:$AA,"&lt;01.01.2023"))</f>
        <v>21350</v>
      </c>
      <c r="AF11" s="29">
        <f>(+SUMIFS(манзилли!$N:$N,манзилли!$D:$D,'свод (худуд)'!$B11,манзилли!$AB:$AB,"&gt;31.12.2020",манзилли!$AA:$AA,"&gt;31.12.2020",манзилли!$AA:$AA,"&lt;01.01.2023"))</f>
        <v>16400</v>
      </c>
      <c r="AG11" s="29">
        <f>(+SUMIFS(манзилли!$R:$R,манзилли!$D:$D,'свод (худуд)'!$B11,манзилли!$AB:$AB,"&gt;31.12.2020",манзилли!$AA:$AA,"&gt;31.12.2020",манзилли!$AA:$AA,"&lt;01.01.2023"))</f>
        <v>4950</v>
      </c>
      <c r="AH11" s="29">
        <f>(+SUMIFS(манзилли!$T:$T,манзилли!$D:$D,'свод (худуд)'!$B11,манзилли!$AB:$AB,"&gt;31.12.2020",манзилли!$AA:$AA,"&gt;31.12.2020",манзилли!$AA:$AA,"&lt;01.01.2023"))</f>
        <v>0</v>
      </c>
      <c r="AI11" s="29">
        <f>(+SUMIFS(манзилли!$V:$V,манзилли!$D:$D,'свод (худуд)'!$B11,манзилли!$AB:$AB,"&gt;31.12.2020",манзилли!$AA:$AA,"&gt;31.12.2020",манзилли!$AA:$AA,"&lt;01.01.2023"))</f>
        <v>0</v>
      </c>
      <c r="AJ11" s="30">
        <f>+SUMIFS(манзилли!$Z:$Z,манзилли!$D:$D,'свод (худуд)'!$B11,манзилли!$AB:$AB,"&gt;31.12.2020",манзилли!$AA:$AA,"&gt;31.12.2020",манзилли!$AA:$AA,"&lt;01.01.2023")</f>
        <v>42</v>
      </c>
      <c r="AK11" s="28">
        <f>+COUNTIFS('Қўшимча ишга тушган'!$D:$D,'свод (худуд)'!B11,'Қўшимча ишга тушган'!$AO:$AO,"&lt;01.10.2023")</f>
        <v>0</v>
      </c>
      <c r="AL11" s="29">
        <f>(+SUMIFS('Қўшимча ишга тушган'!$T:$T,'Қўшимча ишга тушган'!$D:$D,'свод (худуд)'!$B11,'Қўшимча ишга тушган'!$AO:$AO,"&lt;01.10.2023"))</f>
        <v>0</v>
      </c>
      <c r="AM11" s="29">
        <f>(+SUMIFS('Қўшимча ишга тушган'!$V:$V,'Қўшимча ишга тушган'!$D:$D,'свод (худуд)'!$B11,'Қўшимча ишга тушган'!$AO:$AO,"&lt;01.10.2023"))</f>
        <v>0</v>
      </c>
      <c r="AN11" s="29">
        <f>(+SUMIFS('Қўшимча ишга тушган'!$Z:$Z,'Қўшимча ишга тушган'!$D:$D,'свод (худуд)'!$B11,'Қўшимча ишга тушган'!$AO:$AO,"&lt;01.10.2023"))</f>
        <v>0</v>
      </c>
      <c r="AO11" s="29">
        <f>(+SUMIFS('Қўшимча ишга тушган'!$AB:$AB,'Қўшимча ишга тушган'!$D:$D,'свод (худуд)'!$B11,'Қўшимча ишга тушган'!$AO:$AO,"&lt;01.10.2023"))</f>
        <v>0</v>
      </c>
      <c r="AP11" s="29">
        <f>(+SUMIFS('Қўшимча ишга тушган'!$AD:$AD,'Қўшимча ишга тушган'!$D:$D,'свод (худуд)'!$B11,'Қўшимча ишга тушган'!$AO:$AO,"&lt;01.10.2023"))</f>
        <v>0</v>
      </c>
      <c r="AQ11" s="30">
        <f>+SUMIFS('Қўшимча ишга тушган'!$AM:$AM,'Қўшимча ишга тушган'!$D:$D,'свод (худуд)'!$B11,'Қўшимча ишга тушган'!$AO:$AO,"&lt;01.10.2023")</f>
        <v>0</v>
      </c>
      <c r="AR11" s="28">
        <f>+COUNTIFS(манзилли!$D:$D,'свод (худуд)'!$B11,манзилли!$AA:$AA,"&lt;01.02.2021",манзилли!$AB:$AB,"")</f>
        <v>0</v>
      </c>
      <c r="AS11" s="29">
        <f>(+SUMIFS(манзилли!$K:$K,манзилли!$D:$D,'свод (худуд)'!$B11,манзилли!$AA:$AA,"&lt;01.02.2021",манзилли!$AB:$AB,""))</f>
        <v>0</v>
      </c>
      <c r="AT11" s="29">
        <f>(+SUMIFS(манзилли!$M:$M,манзилли!$D:$D,'свод (худуд)'!$B11,манзилли!$AA:$AA,"&lt;01.02.2021",манзилли!$AB:$AB,""))</f>
        <v>0</v>
      </c>
      <c r="AU11" s="29">
        <f>(+SUMIFS(манзилли!$Q:$Q,манзилли!$D:$D,'свод (худуд)'!$B11,манзилли!$AA:$AA,"&lt;01.02.2021",манзилли!$AB:$AB,""))</f>
        <v>0</v>
      </c>
      <c r="AV11" s="29">
        <f>(+SUMIFS(манзилли!$S:$S,манзилли!$D:$D,'свод (худуд)'!$B11,манзилли!$AA:$AA,"&lt;01.02.2021",манзилли!$AB:$AB,""))</f>
        <v>0</v>
      </c>
      <c r="AW11" s="29">
        <f>(+SUMIFS(манзилли!$U:$U,манзилли!$D:$D,'свод (худуд)'!$B11,манзилли!$AA:$AA,"&lt;01.02.2021",манзилли!$AB:$AB,""))</f>
        <v>0</v>
      </c>
      <c r="AX11" s="30">
        <f>+SUMIFS(манзилли!$Y:$Y,манзилли!$D:$D,'свод (худуд)'!$B11,манзилли!$AA:$AA,"&lt;01.02.2021",манзилли!$AB:$AB,"")</f>
        <v>0</v>
      </c>
      <c r="AY11" s="28">
        <f>+COUNTIFS(манзилли!$D:$D,'свод (худуд)'!$B11,манзилли!$AA:$AA,"&lt;01.01.2022",манзилли!$AB:$AB,"")</f>
        <v>40</v>
      </c>
      <c r="AZ11" s="29">
        <f>(+SUMIFS(манзилли!$K:$K,манзилли!$D:$D,'свод (худуд)'!$B11,манзилли!$AA:$AA,"&lt;01.01.2022",манзилли!$AB:$AB,""))</f>
        <v>166299</v>
      </c>
      <c r="BA11" s="29">
        <f>(+SUMIFS(манзилли!$M:$M,манзилли!$D:$D,'свод (худуд)'!$B11,манзилли!$AA:$AA,"&lt;01.01.2022",манзилли!$AB:$AB,""))</f>
        <v>43234</v>
      </c>
      <c r="BB11" s="29">
        <f>(+SUMIFS(манзилли!$Q:$Q,манзилли!$D:$D,'свод (худуд)'!$B11,манзилли!$AA:$AA,"&lt;01.01.2022",манзилли!$AB:$AB,""))</f>
        <v>46285</v>
      </c>
      <c r="BC11" s="29">
        <f>(+SUMIFS(манзилли!$S:$S,манзилли!$D:$D,'свод (худуд)'!$B11,манзилли!$AA:$AA,"&lt;01.01.2022",манзилли!$AB:$AB,""))</f>
        <v>5100</v>
      </c>
      <c r="BD11" s="29">
        <f>(+SUMIFS(манзилли!$U:$U,манзилли!$D:$D,'свод (худуд)'!$B11,манзилли!$AA:$AA,"&lt;01.01.2022",манзилли!$AB:$AB,""))</f>
        <v>0</v>
      </c>
      <c r="BE11" s="30">
        <f>+SUMIFS(манзилли!$Y:$Y,манзилли!$D:$D,'свод (худуд)'!$B11,манзилли!$AA:$AA,"&lt;01.01.2022",манзилли!$AB:$AB,"")</f>
        <v>228</v>
      </c>
      <c r="BF11" s="28">
        <f>+COUNTIFS(манзилли!$D:$D,'свод (худуд)'!$B11,манзилли!$AA:$AA,"&lt;01.01.2023",манзилли!$AA:$AA,"&gt;=01.01.2022")</f>
        <v>2</v>
      </c>
      <c r="BG11" s="29">
        <f>(+SUMIFS(манзилли!$K:$K,манзилли!$D:$D,'свод (худуд)'!$B11,манзилли!$AA:$AA,"&lt;01.01.2023",манзилли!$AA:$AA,"&gt;=01.01.2022"))</f>
        <v>51110</v>
      </c>
      <c r="BH11" s="29">
        <f>(+SUMIFS(манзилли!$M:$M,манзилли!$D:$D,'свод (худуд)'!$B11,манзилли!$AA:$AA,"&lt;01.01.2023",манзилли!$AA:$AA,"&gt;=01.01.2022"))</f>
        <v>13000</v>
      </c>
      <c r="BI11" s="29">
        <f>(+SUMIFS(манзилли!$Q:$Q,манзилли!$D:$D,'свод (худуд)'!$B11,манзилли!$AA:$AA,"&lt;01.01.2023",манзилли!$AA:$AA,"&gt;=01.01.2022"))</f>
        <v>0</v>
      </c>
      <c r="BJ11" s="29">
        <f>(+SUMIFS(манзилли!$S:$S,манзилли!$D:$D,'свод (худуд)'!$B11,манзилли!$AA:$AA,"&lt;01.01.2023",манзилли!$AA:$AA,"&gt;=01.01.2022"))</f>
        <v>3200</v>
      </c>
      <c r="BK11" s="29">
        <f>(+SUMIFS(манзилли!$U:$U,манзилли!$D:$D,'свод (худуд)'!$B11,манзилли!$AA:$AA,"&lt;01.01.2023",манзилли!$AA:$AA,"&gt;=01.01.2022"))</f>
        <v>500</v>
      </c>
      <c r="BL11" s="30">
        <f>+SUMIFS(манзилли!$Y:$Y,манзилли!$D:$D,'свод (худуд)'!$B11,манзилли!$AA:$AA,"&lt;01.01.2023",манзилли!$AA:$AA,"&gt;=01.01.2022")</f>
        <v>110</v>
      </c>
    </row>
    <row r="12" spans="1:64" s="3" customFormat="1" ht="35.25" customHeight="1">
      <c r="A12" s="26">
        <f t="shared" si="12"/>
        <v>6</v>
      </c>
      <c r="B12" s="27" t="s">
        <v>227</v>
      </c>
      <c r="C12" s="28">
        <f>+COUNTIFS(манзилли!$D:$D,'свод (худуд)'!$B12)</f>
        <v>44</v>
      </c>
      <c r="D12" s="29">
        <f>(+SUMIFS(манзилли!$K:$K,манзилли!$D:$D,'свод (худуд)'!$B12))</f>
        <v>255310.40000000002</v>
      </c>
      <c r="E12" s="29">
        <f>(+SUMIFS(манзилли!$M:$M,манзилли!$D:$D,'свод (худуд)'!$B12))</f>
        <v>132758</v>
      </c>
      <c r="F12" s="29">
        <f>(+SUMIFS(манзилли!$Q:$Q,манзилли!$D:$D,'свод (худуд)'!$B12))</f>
        <v>59125</v>
      </c>
      <c r="G12" s="29">
        <f>(+SUMIFS(манзилли!$S:$S,манзилли!$D:$D,'свод (худуд)'!$B12))</f>
        <v>6058</v>
      </c>
      <c r="H12" s="29">
        <f>(+SUMIFS(манзилли!$U:$U,манзилли!$D:$D,'свод (худуд)'!$B12))</f>
        <v>100</v>
      </c>
      <c r="I12" s="30">
        <f>+SUMIFS(манзилли!$Y:$Y,манзилли!$D:$D,'свод (худуд)'!$B12)</f>
        <v>968</v>
      </c>
      <c r="J12" s="28">
        <f>+(COUNTIFS(манзилли!$L:$L,"&gt;0",манзилли!$D:$D,'свод (худуд)'!$B12)+COUNTIFS('Қўшимча ишга тушган'!$T:$T,"&gt;0",'Қўшимча ишга тушган'!$D:$D,'свод (худуд)'!$B12))</f>
        <v>27</v>
      </c>
      <c r="K12" s="29">
        <f>(+SUMIFS(манзилли!$L:$L,манзилли!$D:$D,'свод (худуд)'!$B12)+SUMIFS('Қўшимча ишга тушган'!$T:$T,'Қўшимча ишга тушган'!$D:$D,'свод (худуд)'!$B12))</f>
        <v>65007.9</v>
      </c>
      <c r="L12" s="29">
        <f>+(SUMIFS(манзилли!$N:$N,манзилли!$D:$D,'свод (худуд)'!$B12)+SUMIFS('Қўшимча ишга тушган'!$V:$V,'Қўшимча ишга тушган'!$D:$D,'свод (худуд)'!$B12))</f>
        <v>8205</v>
      </c>
      <c r="M12" s="29">
        <f>(+SUMIFS(манзилли!$R:$R,манзилли!$D:$D,'свод (худуд)'!$B12)+SUMIFS('Қўшимча ишга тушган'!$Z:$Z,'Қўшимча ишга тушган'!$D:$D,'свод (худуд)'!$B12))</f>
        <v>11298</v>
      </c>
      <c r="N12" s="29">
        <f>(+SUMIFS(манзилли!$T:$T,манзилли!$D:$D,'свод (худуд)'!$B12)+SUMIFS('Қўшимча ишга тушган'!$AB:$AB,'Қўшимча ишга тушган'!$D:$D,'свод (худуд)'!$B12))</f>
        <v>4483.5</v>
      </c>
      <c r="O12" s="30">
        <f>(+SUMIFS(манзилли!$V:$V,манзилли!$D:$D,'свод (худуд)'!$B12)+SUMIFS('Қўшимча ишга тушган'!$AD:$AD,'Қўшимча ишга тушган'!$D:$D,'свод (худуд)'!$B12))</f>
        <v>0</v>
      </c>
      <c r="P12" s="31">
        <f>+COUNTIFS(манзилли!$D:$D,'свод (худуд)'!$B12,манзилли!$AA:$AA,"&gt;31.12.2020",манзилли!$AA:$AA,"&lt;01.01.2022")</f>
        <v>30</v>
      </c>
      <c r="Q12" s="29">
        <f>(+SUMIFS(манзилли!$K:$K,манзилли!$D:$D,'свод (худуд)'!$B12,манзилли!$AA:$AA,"&gt;31.12.2020",манзилли!$AA:$AA,"&lt;01.01.2022"))</f>
        <v>154936.40000000002</v>
      </c>
      <c r="R12" s="29">
        <f>(+SUMIFS(манзилли!$M:$M,манзилли!$D:$D,'свод (худуд)'!$B12,манзилли!$AA:$AA,"&gt;31.12.2020",манзилли!$AA:$AA,"&lt;01.01.2022"))</f>
        <v>100133</v>
      </c>
      <c r="S12" s="29">
        <f>(+SUMIFS(манзилли!$Q:$Q,манзилли!$D:$D,'свод (худуд)'!$B12,манзилли!$AA:$AA,"&gt;31.12.2020",манзилли!$AA:$AA,"&lt;01.01.2022"))</f>
        <v>33400</v>
      </c>
      <c r="T12" s="29">
        <f>(+SUMIFS(манзилли!$S:$S,манзилли!$D:$D,'свод (худуд)'!$B12,манзилли!$AA:$AA,"&gt;31.12.2020",манзилли!$AA:$AA,"&lt;01.01.2022"))</f>
        <v>1978</v>
      </c>
      <c r="U12" s="29">
        <f>(+SUMIFS(манзилли!$U:$U,манзилли!$D:$D,'свод (худуд)'!$B12,манзилли!$AA:$AA,"&gt;31.12.2020",манзилли!$AA:$AA,"&lt;01.01.2022"))</f>
        <v>100</v>
      </c>
      <c r="V12" s="30">
        <f>+SUMIFS(манзилли!$Y:$Y,манзилли!$D:$D,'свод (худуд)'!$B12,манзилли!$AA:$AA,"&gt;31.12.2020",манзилли!$AA:$AA,"&lt;01.01.2022")</f>
        <v>347</v>
      </c>
      <c r="W12" s="28">
        <f t="shared" si="11"/>
        <v>3</v>
      </c>
      <c r="X12" s="29">
        <f t="shared" si="5"/>
        <v>1580</v>
      </c>
      <c r="Y12" s="29">
        <f t="shared" si="6"/>
        <v>1150</v>
      </c>
      <c r="Z12" s="29">
        <f t="shared" si="7"/>
        <v>430</v>
      </c>
      <c r="AA12" s="29">
        <f t="shared" si="8"/>
        <v>0</v>
      </c>
      <c r="AB12" s="29">
        <f t="shared" si="9"/>
        <v>0</v>
      </c>
      <c r="AC12" s="30">
        <f t="shared" si="10"/>
        <v>7</v>
      </c>
      <c r="AD12" s="28">
        <f>+COUNTIFS(манзилли!$D:$D,'свод (худуд)'!$B12,манзилли!$AB:$AB,"&gt;31.12.2020",манзилли!$AA:$AA,"&gt;31.12.2020",манзилли!$AA:$AA,"&lt;01.01.2023")</f>
        <v>3</v>
      </c>
      <c r="AE12" s="29">
        <f>(+SUMIFS(манзилли!$L:$L,манзилли!$D:$D,'свод (худуд)'!$B12,манзилли!$AB:$AB,"&gt;31.12.2020",манзилли!$AA:$AA,"&gt;31.12.2020",манзилли!$AA:$AA,"&lt;01.01.2023"))</f>
        <v>1580</v>
      </c>
      <c r="AF12" s="29">
        <f>(+SUMIFS(манзилли!$N:$N,манзилли!$D:$D,'свод (худуд)'!$B12,манзилли!$AB:$AB,"&gt;31.12.2020",манзилли!$AA:$AA,"&gt;31.12.2020",манзилли!$AA:$AA,"&lt;01.01.2023"))</f>
        <v>1150</v>
      </c>
      <c r="AG12" s="29">
        <f>(+SUMIFS(манзилли!$R:$R,манзилли!$D:$D,'свод (худуд)'!$B12,манзилли!$AB:$AB,"&gt;31.12.2020",манзилли!$AA:$AA,"&gt;31.12.2020",манзилли!$AA:$AA,"&lt;01.01.2023"))</f>
        <v>430</v>
      </c>
      <c r="AH12" s="29">
        <f>(+SUMIFS(манзилли!$T:$T,манзилли!$D:$D,'свод (худуд)'!$B12,манзилли!$AB:$AB,"&gt;31.12.2020",манзилли!$AA:$AA,"&gt;31.12.2020",манзилли!$AA:$AA,"&lt;01.01.2023"))</f>
        <v>0</v>
      </c>
      <c r="AI12" s="29">
        <f>(+SUMIFS(манзилли!$V:$V,манзилли!$D:$D,'свод (худуд)'!$B12,манзилли!$AB:$AB,"&gt;31.12.2020",манзилли!$AA:$AA,"&gt;31.12.2020",манзилли!$AA:$AA,"&lt;01.01.2023"))</f>
        <v>0</v>
      </c>
      <c r="AJ12" s="30">
        <f>+SUMIFS(манзилли!$Z:$Z,манзилли!$D:$D,'свод (худуд)'!$B12,манзилли!$AB:$AB,"&gt;31.12.2020",манзилли!$AA:$AA,"&gt;31.12.2020",манзилли!$AA:$AA,"&lt;01.01.2023")</f>
        <v>7</v>
      </c>
      <c r="AK12" s="28">
        <f>+COUNTIFS('Қўшимча ишга тушган'!$D:$D,'свод (худуд)'!B12,'Қўшимча ишга тушган'!$AO:$AO,"&lt;01.10.2023")</f>
        <v>0</v>
      </c>
      <c r="AL12" s="29">
        <f>(+SUMIFS('Қўшимча ишга тушган'!$T:$T,'Қўшимча ишга тушган'!$D:$D,'свод (худуд)'!$B12,'Қўшимча ишга тушган'!$AO:$AO,"&lt;01.10.2023"))</f>
        <v>0</v>
      </c>
      <c r="AM12" s="29">
        <f>(+SUMIFS('Қўшимча ишга тушган'!$V:$V,'Қўшимча ишга тушган'!$D:$D,'свод (худуд)'!$B12,'Қўшимча ишга тушган'!$AO:$AO,"&lt;01.10.2023"))</f>
        <v>0</v>
      </c>
      <c r="AN12" s="29">
        <f>(+SUMIFS('Қўшимча ишга тушган'!$Z:$Z,'Қўшимча ишга тушган'!$D:$D,'свод (худуд)'!$B12,'Қўшимча ишга тушган'!$AO:$AO,"&lt;01.10.2023"))</f>
        <v>0</v>
      </c>
      <c r="AO12" s="29">
        <f>(+SUMIFS('Қўшимча ишга тушган'!$AB:$AB,'Қўшимча ишга тушган'!$D:$D,'свод (худуд)'!$B12,'Қўшимча ишга тушган'!$AO:$AO,"&lt;01.10.2023"))</f>
        <v>0</v>
      </c>
      <c r="AP12" s="29">
        <f>(+SUMIFS('Қўшимча ишга тушган'!$AD:$AD,'Қўшимча ишга тушган'!$D:$D,'свод (худуд)'!$B12,'Қўшимча ишга тушган'!$AO:$AO,"&lt;01.10.2023"))</f>
        <v>0</v>
      </c>
      <c r="AQ12" s="30">
        <f>+SUMIFS('Қўшимча ишга тушган'!$AM:$AM,'Қўшимча ишга тушган'!$D:$D,'свод (худуд)'!$B12,'Қўшимча ишга тушган'!$AO:$AO,"&lt;01.10.2023")</f>
        <v>0</v>
      </c>
      <c r="AR12" s="28">
        <f>+COUNTIFS(манзилли!$D:$D,'свод (худуд)'!$B12,манзилли!$AA:$AA,"&lt;01.02.2021",манзилли!$AB:$AB,"")</f>
        <v>0</v>
      </c>
      <c r="AS12" s="29">
        <f>(+SUMIFS(манзилли!$K:$K,манзилли!$D:$D,'свод (худуд)'!$B12,манзилли!$AA:$AA,"&lt;01.02.2021",манзилли!$AB:$AB,""))</f>
        <v>0</v>
      </c>
      <c r="AT12" s="29">
        <f>(+SUMIFS(манзилли!$M:$M,манзилли!$D:$D,'свод (худуд)'!$B12,манзилли!$AA:$AA,"&lt;01.02.2021",манзилли!$AB:$AB,""))</f>
        <v>0</v>
      </c>
      <c r="AU12" s="29">
        <f>(+SUMIFS(манзилли!$Q:$Q,манзилли!$D:$D,'свод (худуд)'!$B12,манзилли!$AA:$AA,"&lt;01.02.2021",манзилли!$AB:$AB,""))</f>
        <v>0</v>
      </c>
      <c r="AV12" s="29">
        <f>(+SUMIFS(манзилли!$S:$S,манзилли!$D:$D,'свод (худуд)'!$B12,манзилли!$AA:$AA,"&lt;01.02.2021",манзилли!$AB:$AB,""))</f>
        <v>0</v>
      </c>
      <c r="AW12" s="29">
        <f>(+SUMIFS(манзилли!$U:$U,манзилли!$D:$D,'свод (худуд)'!$B12,манзилли!$AA:$AA,"&lt;01.02.2021",манзилли!$AB:$AB,""))</f>
        <v>0</v>
      </c>
      <c r="AX12" s="30">
        <f>+SUMIFS(манзилли!$Y:$Y,манзилли!$D:$D,'свод (худуд)'!$B12,манзилли!$AA:$AA,"&lt;01.02.2021",манзилли!$AB:$AB,"")</f>
        <v>0</v>
      </c>
      <c r="AY12" s="28">
        <f>+COUNTIFS(манзилли!$D:$D,'свод (худуд)'!$B12,манзилли!$AA:$AA,"&lt;01.01.2022",манзилли!$AB:$AB,"")</f>
        <v>21</v>
      </c>
      <c r="AZ12" s="29">
        <f>(+SUMIFS(манзилли!$K:$K,манзилли!$D:$D,'свод (худуд)'!$B12,манзилли!$AA:$AA,"&lt;01.01.2022",манзилли!$AB:$AB,""))</f>
        <v>143027.6</v>
      </c>
      <c r="BA12" s="29">
        <f>(+SUMIFS(манзилли!$M:$M,манзилли!$D:$D,'свод (худуд)'!$B12,манзилли!$AA:$AA,"&lt;01.01.2022",манзилли!$AB:$AB,""))</f>
        <v>95233</v>
      </c>
      <c r="BB12" s="29">
        <f>(+SUMIFS(манзилли!$Q:$Q,манзилли!$D:$D,'свод (худуд)'!$B12,манзилли!$AA:$AA,"&lt;01.01.2022",манзилли!$AB:$AB,""))</f>
        <v>30470</v>
      </c>
      <c r="BC12" s="29">
        <f>(+SUMIFS(манзилли!$S:$S,манзилли!$D:$D,'свод (худуд)'!$B12,манзилли!$AA:$AA,"&lt;01.01.2022",манзилли!$AB:$AB,""))</f>
        <v>1582</v>
      </c>
      <c r="BD12" s="29">
        <f>(+SUMIFS(манзилли!$U:$U,манзилли!$D:$D,'свод (худуд)'!$B12,манзилли!$AA:$AA,"&lt;01.01.2022",манзилли!$AB:$AB,""))</f>
        <v>100</v>
      </c>
      <c r="BE12" s="30">
        <f>+SUMIFS(манзилли!$Y:$Y,манзилли!$D:$D,'свод (худуд)'!$B12,манзилли!$AA:$AA,"&lt;01.01.2022",манзилли!$AB:$AB,"")</f>
        <v>306</v>
      </c>
      <c r="BF12" s="28">
        <f>+COUNTIFS(манзилли!$D:$D,'свод (худуд)'!$B12,манзилли!$AA:$AA,"&lt;01.01.2023",манзилли!$AA:$AA,"&gt;=01.01.2022")</f>
        <v>5</v>
      </c>
      <c r="BG12" s="29">
        <f>(+SUMIFS(манзилли!$K:$K,манзилли!$D:$D,'свод (худуд)'!$B12,манзилли!$AA:$AA,"&lt;01.01.2023",манзилли!$AA:$AA,"&gt;=01.01.2022"))</f>
        <v>91060</v>
      </c>
      <c r="BH12" s="29">
        <f>(+SUMIFS(манзилли!$M:$M,манзилли!$D:$D,'свод (худуд)'!$B12,манзилли!$AA:$AA,"&lt;01.01.2023",манзилли!$AA:$AA,"&gt;=01.01.2022"))</f>
        <v>28860</v>
      </c>
      <c r="BI12" s="29">
        <f>(+SUMIFS(манзилли!$Q:$Q,манзилли!$D:$D,'свод (худуд)'!$B12,манзилли!$AA:$AA,"&lt;01.01.2023",манзилли!$AA:$AA,"&gt;=01.01.2022"))</f>
        <v>21000</v>
      </c>
      <c r="BJ12" s="29">
        <f>(+SUMIFS(манзилли!$S:$S,манзилли!$D:$D,'свод (худуд)'!$B12,манзилли!$AA:$AA,"&lt;01.01.2023",манзилли!$AA:$AA,"&gt;=01.01.2022"))</f>
        <v>4000</v>
      </c>
      <c r="BK12" s="29">
        <f>(+SUMIFS(манзилли!$U:$U,манзилли!$D:$D,'свод (худуд)'!$B12,манзилли!$AA:$AA,"&lt;01.01.2023",манзилли!$AA:$AA,"&gt;=01.01.2022"))</f>
        <v>0</v>
      </c>
      <c r="BL12" s="30">
        <f>+SUMIFS(манзилли!$Y:$Y,манзилли!$D:$D,'свод (худуд)'!$B12,манзилли!$AA:$AA,"&lt;01.01.2023",манзилли!$AA:$AA,"&gt;=01.01.2022")</f>
        <v>570</v>
      </c>
    </row>
    <row r="13" spans="1:64" s="3" customFormat="1" ht="35.25" customHeight="1">
      <c r="A13" s="26">
        <f t="shared" si="12"/>
        <v>7</v>
      </c>
      <c r="B13" s="27" t="s">
        <v>243</v>
      </c>
      <c r="C13" s="28">
        <f>+COUNTIFS(манзилли!$D:$D,'свод (худуд)'!$B13)</f>
        <v>87</v>
      </c>
      <c r="D13" s="29">
        <f>(+SUMIFS(манзилли!$K:$K,манзилли!$D:$D,'свод (худуд)'!$B13))</f>
        <v>1096004.1000000001</v>
      </c>
      <c r="E13" s="29">
        <f>(+SUMIFS(манзилли!$M:$M,манзилли!$D:$D,'свод (худуд)'!$B13))</f>
        <v>483180</v>
      </c>
      <c r="F13" s="29">
        <f>(+SUMIFS(манзилли!$Q:$Q,манзилли!$D:$D,'свод (худуд)'!$B13))</f>
        <v>130305</v>
      </c>
      <c r="G13" s="29">
        <f>(+SUMIFS(манзилли!$S:$S,манзилли!$D:$D,'свод (худуд)'!$B13))</f>
        <v>9242</v>
      </c>
      <c r="H13" s="29">
        <f>(+SUMIFS(манзилли!$U:$U,манзилли!$D:$D,'свод (худуд)'!$B13))</f>
        <v>37585</v>
      </c>
      <c r="I13" s="30">
        <f>+SUMIFS(манзилли!$Y:$Y,манзилли!$D:$D,'свод (худуд)'!$B13)</f>
        <v>1449</v>
      </c>
      <c r="J13" s="28">
        <f>+(COUNTIFS(манзилли!$L:$L,"&gt;0",манзилли!$D:$D,'свод (худуд)'!$B13)+COUNTIFS('Қўшимча ишга тушган'!$T:$T,"&gt;0",'Қўшимча ишга тушган'!$D:$D,'свод (худуд)'!$B13))</f>
        <v>65</v>
      </c>
      <c r="K13" s="29">
        <f>(+SUMIFS(манзилли!$L:$L,манзилли!$D:$D,'свод (худуд)'!$B13)+SUMIFS('Қўшимча ишга тушган'!$T:$T,'Қўшимча ишга тушган'!$D:$D,'свод (худуд)'!$B13))</f>
        <v>76249.819999999992</v>
      </c>
      <c r="L13" s="29">
        <f>+(SUMIFS(манзилли!$N:$N,манзилли!$D:$D,'свод (худуд)'!$B13)+SUMIFS('Қўшимча ишга тушган'!$V:$V,'Қўшимча ишга тушган'!$D:$D,'свод (худуд)'!$B13))</f>
        <v>10980</v>
      </c>
      <c r="M13" s="29">
        <f>(+SUMIFS(манзилли!$R:$R,манзилли!$D:$D,'свод (худуд)'!$B13)+SUMIFS('Қўшимча ишга тушган'!$Z:$Z,'Қўшимча ишга тушган'!$D:$D,'свод (худуд)'!$B13))</f>
        <v>27509</v>
      </c>
      <c r="N13" s="29">
        <f>(+SUMIFS(манзилли!$T:$T,манзилли!$D:$D,'свод (худуд)'!$B13)+SUMIFS('Қўшимча ишга тушган'!$AB:$AB,'Қўшимча ишга тушган'!$D:$D,'свод (худуд)'!$B13))</f>
        <v>3700.6</v>
      </c>
      <c r="O13" s="30">
        <f>(+SUMIFS(манзилли!$V:$V,манзилли!$D:$D,'свод (худуд)'!$B13)+SUMIFS('Қўшимча ишга тушган'!$AD:$AD,'Қўшимча ишга тушган'!$D:$D,'свод (худуд)'!$B13))</f>
        <v>0</v>
      </c>
      <c r="P13" s="31">
        <f>+COUNTIFS(манзилли!$D:$D,'свод (худуд)'!$B13,манзилли!$AA:$AA,"&gt;31.12.2020",манзилли!$AA:$AA,"&lt;01.01.2022")</f>
        <v>75</v>
      </c>
      <c r="Q13" s="29">
        <f>(+SUMIFS(манзилли!$K:$K,манзилли!$D:$D,'свод (худуд)'!$B13,манзилли!$AA:$AA,"&gt;31.12.2020",манзилли!$AA:$AA,"&lt;01.01.2022"))</f>
        <v>966818.1</v>
      </c>
      <c r="R13" s="29">
        <f>(+SUMIFS(манзилли!$M:$M,манзилли!$D:$D,'свод (худуд)'!$B13,манзилли!$AA:$AA,"&gt;31.12.2020",манзилли!$AA:$AA,"&lt;01.01.2022"))</f>
        <v>442850</v>
      </c>
      <c r="S13" s="29">
        <f>(+SUMIFS(манзилли!$Q:$Q,манзилли!$D:$D,'свод (худуд)'!$B13,манзилли!$AA:$AA,"&gt;31.12.2020",манзилли!$AA:$AA,"&lt;01.01.2022"))</f>
        <v>86845</v>
      </c>
      <c r="T13" s="29">
        <f>(+SUMIFS(манзилли!$S:$S,манзилли!$D:$D,'свод (худуд)'!$B13,манзилли!$AA:$AA,"&gt;31.12.2020",манзилли!$AA:$AA,"&lt;01.01.2022"))</f>
        <v>7342</v>
      </c>
      <c r="U13" s="29">
        <f>(+SUMIFS(манзилли!$U:$U,манзилли!$D:$D,'свод (худуд)'!$B13,манзилли!$AA:$AA,"&gt;31.12.2020",манзилли!$AA:$AA,"&lt;01.01.2022"))</f>
        <v>35085</v>
      </c>
      <c r="V13" s="30">
        <f>+SUMIFS(манзилли!$Y:$Y,манзилли!$D:$D,'свод (худуд)'!$B13,манзилли!$AA:$AA,"&gt;31.12.2020",манзилли!$AA:$AA,"&lt;01.01.2022")</f>
        <v>1237</v>
      </c>
      <c r="W13" s="28">
        <f t="shared" si="11"/>
        <v>11</v>
      </c>
      <c r="X13" s="29">
        <f t="shared" si="5"/>
        <v>12284.5</v>
      </c>
      <c r="Y13" s="29">
        <f t="shared" si="6"/>
        <v>7100</v>
      </c>
      <c r="Z13" s="29">
        <f t="shared" si="7"/>
        <v>3650</v>
      </c>
      <c r="AA13" s="29">
        <f t="shared" si="8"/>
        <v>149</v>
      </c>
      <c r="AB13" s="29">
        <f t="shared" si="9"/>
        <v>0</v>
      </c>
      <c r="AC13" s="30">
        <f t="shared" si="10"/>
        <v>62</v>
      </c>
      <c r="AD13" s="28">
        <f>+COUNTIFS(манзилли!$D:$D,'свод (худуд)'!$B13,манзилли!$AB:$AB,"&gt;31.12.2020",манзилли!$AA:$AA,"&gt;31.12.2020",манзилли!$AA:$AA,"&lt;01.01.2023")</f>
        <v>11</v>
      </c>
      <c r="AE13" s="29">
        <f>(+SUMIFS(манзилли!$L:$L,манзилли!$D:$D,'свод (худуд)'!$B13,манзилли!$AB:$AB,"&gt;31.12.2020",манзилли!$AA:$AA,"&gt;31.12.2020",манзилли!$AA:$AA,"&lt;01.01.2023"))</f>
        <v>12284.5</v>
      </c>
      <c r="AF13" s="29">
        <f>(+SUMIFS(манзилли!$N:$N,манзилли!$D:$D,'свод (худуд)'!$B13,манзилли!$AB:$AB,"&gt;31.12.2020",манзилли!$AA:$AA,"&gt;31.12.2020",манзилли!$AA:$AA,"&lt;01.01.2023"))</f>
        <v>7100</v>
      </c>
      <c r="AG13" s="29">
        <f>(+SUMIFS(манзилли!$R:$R,манзилли!$D:$D,'свод (худуд)'!$B13,манзилли!$AB:$AB,"&gt;31.12.2020",манзилли!$AA:$AA,"&gt;31.12.2020",манзилли!$AA:$AA,"&lt;01.01.2023"))</f>
        <v>3650</v>
      </c>
      <c r="AH13" s="29">
        <f>(+SUMIFS(манзилли!$T:$T,манзилли!$D:$D,'свод (худуд)'!$B13,манзилли!$AB:$AB,"&gt;31.12.2020",манзилли!$AA:$AA,"&gt;31.12.2020",манзилли!$AA:$AA,"&lt;01.01.2023"))</f>
        <v>149</v>
      </c>
      <c r="AI13" s="29">
        <f>(+SUMIFS(манзилли!$V:$V,манзилли!$D:$D,'свод (худуд)'!$B13,манзилли!$AB:$AB,"&gt;31.12.2020",манзилли!$AA:$AA,"&gt;31.12.2020",манзилли!$AA:$AA,"&lt;01.01.2023"))</f>
        <v>0</v>
      </c>
      <c r="AJ13" s="30">
        <f>+SUMIFS(манзилли!$Z:$Z,манзилли!$D:$D,'свод (худуд)'!$B13,манзилли!$AB:$AB,"&gt;31.12.2020",манзилли!$AA:$AA,"&gt;31.12.2020",манзилли!$AA:$AA,"&lt;01.01.2023")</f>
        <v>62</v>
      </c>
      <c r="AK13" s="28">
        <f>+COUNTIFS('Қўшимча ишга тушган'!$D:$D,'свод (худуд)'!B13,'Қўшимча ишга тушган'!$AO:$AO,"&lt;01.10.2023")</f>
        <v>0</v>
      </c>
      <c r="AL13" s="29">
        <f>(+SUMIFS('Қўшимча ишга тушган'!$T:$T,'Қўшимча ишга тушган'!$D:$D,'свод (худуд)'!$B13,'Қўшимча ишга тушган'!$AO:$AO,"&lt;01.10.2023"))</f>
        <v>0</v>
      </c>
      <c r="AM13" s="29">
        <f>(+SUMIFS('Қўшимча ишга тушган'!$V:$V,'Қўшимча ишга тушган'!$D:$D,'свод (худуд)'!$B13,'Қўшимча ишга тушган'!$AO:$AO,"&lt;01.10.2023"))</f>
        <v>0</v>
      </c>
      <c r="AN13" s="29">
        <f>(+SUMIFS('Қўшимча ишга тушган'!$Z:$Z,'Қўшимча ишга тушган'!$D:$D,'свод (худуд)'!$B13,'Қўшимча ишга тушган'!$AO:$AO,"&lt;01.10.2023"))</f>
        <v>0</v>
      </c>
      <c r="AO13" s="29">
        <f>(+SUMIFS('Қўшимча ишга тушган'!$AB:$AB,'Қўшимча ишга тушган'!$D:$D,'свод (худуд)'!$B13,'Қўшимча ишга тушган'!$AO:$AO,"&lt;01.10.2023"))</f>
        <v>0</v>
      </c>
      <c r="AP13" s="29">
        <f>(+SUMIFS('Қўшимча ишга тушган'!$AD:$AD,'Қўшимча ишга тушган'!$D:$D,'свод (худуд)'!$B13,'Қўшимча ишга тушган'!$AO:$AO,"&lt;01.10.2023"))</f>
        <v>0</v>
      </c>
      <c r="AQ13" s="30">
        <f>+SUMIFS('Қўшимча ишга тушган'!$AM:$AM,'Қўшимча ишга тушган'!$D:$D,'свод (худуд)'!$B13,'Қўшимча ишга тушган'!$AO:$AO,"&lt;01.10.2023")</f>
        <v>0</v>
      </c>
      <c r="AR13" s="28">
        <f>+COUNTIFS(манзилли!$D:$D,'свод (худуд)'!$B13,манзилли!$AA:$AA,"&lt;01.02.2021",манзилли!$AB:$AB,"")</f>
        <v>0</v>
      </c>
      <c r="AS13" s="29">
        <f>(+SUMIFS(манзилли!$K:$K,манзилли!$D:$D,'свод (худуд)'!$B13,манзилли!$AA:$AA,"&lt;01.02.2021",манзилли!$AB:$AB,""))</f>
        <v>0</v>
      </c>
      <c r="AT13" s="29">
        <f>(+SUMIFS(манзилли!$M:$M,манзилли!$D:$D,'свод (худуд)'!$B13,манзилли!$AA:$AA,"&lt;01.02.2021",манзилли!$AB:$AB,""))</f>
        <v>0</v>
      </c>
      <c r="AU13" s="29">
        <f>(+SUMIFS(манзилли!$Q:$Q,манзилли!$D:$D,'свод (худуд)'!$B13,манзилли!$AA:$AA,"&lt;01.02.2021",манзилли!$AB:$AB,""))</f>
        <v>0</v>
      </c>
      <c r="AV13" s="29">
        <f>(+SUMIFS(манзилли!$S:$S,манзилли!$D:$D,'свод (худуд)'!$B13,манзилли!$AA:$AA,"&lt;01.02.2021",манзилли!$AB:$AB,""))</f>
        <v>0</v>
      </c>
      <c r="AW13" s="29">
        <f>(+SUMIFS(манзилли!$U:$U,манзилли!$D:$D,'свод (худуд)'!$B13,манзилли!$AA:$AA,"&lt;01.02.2021",манзилли!$AB:$AB,""))</f>
        <v>0</v>
      </c>
      <c r="AX13" s="30">
        <f>+SUMIFS(манзилли!$Y:$Y,манзилли!$D:$D,'свод (худуд)'!$B13,манзилли!$AA:$AA,"&lt;01.02.2021",манзилли!$AB:$AB,"")</f>
        <v>0</v>
      </c>
      <c r="AY13" s="28">
        <f>+COUNTIFS(манзилли!$D:$D,'свод (худуд)'!$B13,манзилли!$AA:$AA,"&lt;01.01.2022",манзилли!$AB:$AB,"")</f>
        <v>58</v>
      </c>
      <c r="AZ13" s="29">
        <f>(+SUMIFS(манзилли!$K:$K,манзилли!$D:$D,'свод (худуд)'!$B13,манзилли!$AA:$AA,"&lt;01.01.2022",манзилли!$AB:$AB,""))</f>
        <v>948131.1</v>
      </c>
      <c r="BA13" s="29">
        <f>(+SUMIFS(манзилли!$M:$M,манзилли!$D:$D,'свод (худуд)'!$B13,манзилли!$AA:$AA,"&lt;01.01.2022",манзилли!$AB:$AB,""))</f>
        <v>436150</v>
      </c>
      <c r="BB13" s="29">
        <f>(+SUMIFS(манзилли!$Q:$Q,манзилли!$D:$D,'свод (худуд)'!$B13,манзилли!$AA:$AA,"&lt;01.01.2022",манзилли!$AB:$AB,""))</f>
        <v>77330</v>
      </c>
      <c r="BC13" s="29">
        <f>(+SUMIFS(манзилли!$S:$S,манзилли!$D:$D,'свод (худуд)'!$B13,манзилли!$AA:$AA,"&lt;01.01.2022",манзилли!$AB:$AB,""))</f>
        <v>7102</v>
      </c>
      <c r="BD13" s="29">
        <f>(+SUMIFS(манзилли!$U:$U,манзилли!$D:$D,'свод (худуд)'!$B13,манзилли!$AA:$AA,"&lt;01.01.2022",манзилли!$AB:$AB,""))</f>
        <v>35085</v>
      </c>
      <c r="BE13" s="30">
        <f>+SUMIFS(манзилли!$Y:$Y,манзилли!$D:$D,'свод (худуд)'!$B13,манзилли!$AA:$AA,"&lt;01.01.2022",манзилли!$AB:$AB,"")</f>
        <v>1122</v>
      </c>
      <c r="BF13" s="28">
        <f>+COUNTIFS(манзилли!$D:$D,'свод (худуд)'!$B13,манзилли!$AA:$AA,"&lt;01.01.2023",манзилли!$AA:$AA,"&gt;=01.01.2022")</f>
        <v>8</v>
      </c>
      <c r="BG13" s="29">
        <f>(+SUMIFS(манзилли!$K:$K,манзилли!$D:$D,'свод (худуд)'!$B13,манзилли!$AA:$AA,"&lt;01.01.2023",манзилли!$AA:$AA,"&gt;=01.01.2022"))</f>
        <v>125896</v>
      </c>
      <c r="BH13" s="29">
        <f>(+SUMIFS(манзилли!$M:$M,манзилли!$D:$D,'свод (худуд)'!$B13,манзилли!$AA:$AA,"&lt;01.01.2023",манзилли!$AA:$AA,"&gt;=01.01.2022"))</f>
        <v>39000</v>
      </c>
      <c r="BI13" s="29">
        <f>(+SUMIFS(манзилли!$Q:$Q,манзилли!$D:$D,'свод (худуд)'!$B13,манзилли!$AA:$AA,"&lt;01.01.2023",манзилли!$AA:$AA,"&gt;=01.01.2022"))</f>
        <v>41500</v>
      </c>
      <c r="BJ13" s="29">
        <f>(+SUMIFS(манзилли!$S:$S,манзилли!$D:$D,'свод (худуд)'!$B13,манзилли!$AA:$AA,"&lt;01.01.2023",манзилли!$AA:$AA,"&gt;=01.01.2022"))</f>
        <v>1900</v>
      </c>
      <c r="BK13" s="29">
        <f>(+SUMIFS(манзилли!$U:$U,манзилли!$D:$D,'свод (худуд)'!$B13,манзилли!$AA:$AA,"&lt;01.01.2023",манзилли!$AA:$AA,"&gt;=01.01.2022"))</f>
        <v>2500</v>
      </c>
      <c r="BL13" s="30">
        <f>+SUMIFS(манзилли!$Y:$Y,манзилли!$D:$D,'свод (худуд)'!$B13,манзилли!$AA:$AA,"&lt;01.01.2023",манзилли!$AA:$AA,"&gt;=01.01.2022")</f>
        <v>191</v>
      </c>
    </row>
    <row r="14" spans="1:64" s="3" customFormat="1" ht="35.25" customHeight="1">
      <c r="A14" s="26">
        <f t="shared" si="12"/>
        <v>8</v>
      </c>
      <c r="B14" s="27" t="s">
        <v>281</v>
      </c>
      <c r="C14" s="28">
        <f>+COUNTIFS(манзилли!$D:$D,'свод (худуд)'!$B14)</f>
        <v>46</v>
      </c>
      <c r="D14" s="29">
        <f>(+SUMIFS(манзилли!$K:$K,манзилли!$D:$D,'свод (худуд)'!$B14))</f>
        <v>787695.2</v>
      </c>
      <c r="E14" s="29">
        <f>(+SUMIFS(манзилли!$M:$M,манзилли!$D:$D,'свод (худуд)'!$B14))</f>
        <v>313292.3</v>
      </c>
      <c r="F14" s="29">
        <f>(+SUMIFS(манзилли!$Q:$Q,манзилли!$D:$D,'свод (худуд)'!$B14))</f>
        <v>36323.300000000003</v>
      </c>
      <c r="G14" s="29">
        <f>(+SUMIFS(манзилли!$S:$S,манзилли!$D:$D,'свод (худуд)'!$B14))</f>
        <v>17532</v>
      </c>
      <c r="H14" s="29">
        <f>(+SUMIFS(манзилли!$U:$U,манзилли!$D:$D,'свод (худуд)'!$B14))</f>
        <v>25000</v>
      </c>
      <c r="I14" s="30">
        <f>+SUMIFS(манзилли!$Y:$Y,манзилли!$D:$D,'свод (худуд)'!$B14)</f>
        <v>1314</v>
      </c>
      <c r="J14" s="28">
        <f>+(COUNTIFS(манзилли!$L:$L,"&gt;0",манзилли!$D:$D,'свод (худуд)'!$B14)+COUNTIFS('Қўшимча ишга тушган'!$T:$T,"&gt;0",'Қўшимча ишга тушган'!$D:$D,'свод (худуд)'!$B14))</f>
        <v>38</v>
      </c>
      <c r="K14" s="29">
        <f>(+SUMIFS(манзилли!$L:$L,манзилли!$D:$D,'свод (худуд)'!$B14)+SUMIFS('Қўшимча ишга тушган'!$T:$T,'Қўшимча ишга тушган'!$D:$D,'свод (худуд)'!$B14))</f>
        <v>122984.5</v>
      </c>
      <c r="L14" s="29">
        <f>+(SUMIFS(манзилли!$N:$N,манзилли!$D:$D,'свод (худуд)'!$B14)+SUMIFS('Қўшимча ишга тушган'!$V:$V,'Қўшимча ишга тушган'!$D:$D,'свод (худуд)'!$B14))</f>
        <v>12547.8</v>
      </c>
      <c r="M14" s="29">
        <f>(+SUMIFS(манзилли!$R:$R,манзилли!$D:$D,'свод (худуд)'!$B14)+SUMIFS('Қўшимча ишга тушган'!$Z:$Z,'Қўшимча ишга тушган'!$D:$D,'свод (худуд)'!$B14))</f>
        <v>23563.3</v>
      </c>
      <c r="N14" s="29">
        <f>(+SUMIFS(манзилли!$T:$T,манзилли!$D:$D,'свод (худуд)'!$B14)+SUMIFS('Қўшимча ишга тушган'!$AB:$AB,'Қўшимча ишга тушган'!$D:$D,'свод (худуд)'!$B14))</f>
        <v>8517</v>
      </c>
      <c r="O14" s="30">
        <f>(+SUMIFS(манзилли!$V:$V,манзилли!$D:$D,'свод (худуд)'!$B14)+SUMIFS('Қўшимча ишга тушган'!$AD:$AD,'Қўшимча ишга тушган'!$D:$D,'свод (худуд)'!$B14))</f>
        <v>0</v>
      </c>
      <c r="P14" s="31">
        <f>+COUNTIFS(манзилли!$D:$D,'свод (худуд)'!$B14,манзилли!$AA:$AA,"&gt;31.12.2020",манзилли!$AA:$AA,"&lt;01.01.2022")</f>
        <v>17</v>
      </c>
      <c r="Q14" s="29">
        <f>(+SUMIFS(манзилли!$K:$K,манзилли!$D:$D,'свод (худуд)'!$B14,манзилли!$AA:$AA,"&gt;31.12.2020",манзилли!$AA:$AA,"&lt;01.01.2022"))</f>
        <v>764608.2</v>
      </c>
      <c r="R14" s="29">
        <f>(+SUMIFS(манзилли!$M:$M,манзилли!$D:$D,'свод (худуд)'!$B14,манзилли!$AA:$AA,"&gt;31.12.2020",манзилли!$AA:$AA,"&lt;01.01.2022"))</f>
        <v>306532.3</v>
      </c>
      <c r="S14" s="29">
        <f>(+SUMIFS(манзилли!$Q:$Q,манзилли!$D:$D,'свод (худуд)'!$B14,манзилли!$AA:$AA,"&gt;31.12.2020",манзилли!$AA:$AA,"&lt;01.01.2022"))</f>
        <v>21953.3</v>
      </c>
      <c r="T14" s="29">
        <f>(+SUMIFS(манзилли!$S:$S,манзилли!$D:$D,'свод (худуд)'!$B14,манзилли!$AA:$AA,"&gt;31.12.2020",манзилли!$AA:$AA,"&lt;01.01.2022"))</f>
        <v>17342</v>
      </c>
      <c r="U14" s="29">
        <f>(+SUMIFS(манзилли!$U:$U,манзилли!$D:$D,'свод (худуд)'!$B14,манзилли!$AA:$AA,"&gt;31.12.2020",манзилли!$AA:$AA,"&lt;01.01.2022"))</f>
        <v>25000</v>
      </c>
      <c r="V14" s="30">
        <f>+SUMIFS(манзилли!$Y:$Y,манзилли!$D:$D,'свод (худуд)'!$B14,манзилли!$AA:$AA,"&gt;31.12.2020",манзилли!$AA:$AA,"&lt;01.01.2022")</f>
        <v>1171</v>
      </c>
      <c r="W14" s="28">
        <f t="shared" si="11"/>
        <v>1</v>
      </c>
      <c r="X14" s="29">
        <f t="shared" si="5"/>
        <v>4500</v>
      </c>
      <c r="Y14" s="29">
        <f t="shared" si="6"/>
        <v>1500</v>
      </c>
      <c r="Z14" s="29">
        <f t="shared" si="7"/>
        <v>3000</v>
      </c>
      <c r="AA14" s="29">
        <f t="shared" si="8"/>
        <v>0</v>
      </c>
      <c r="AB14" s="29">
        <f t="shared" si="9"/>
        <v>0</v>
      </c>
      <c r="AC14" s="30">
        <f t="shared" si="10"/>
        <v>10</v>
      </c>
      <c r="AD14" s="28">
        <f>+COUNTIFS(манзилли!$D:$D,'свод (худуд)'!$B14,манзилли!$AB:$AB,"&gt;31.12.2020",манзилли!$AA:$AA,"&gt;31.12.2020",манзилли!$AA:$AA,"&lt;01.01.2023")</f>
        <v>1</v>
      </c>
      <c r="AE14" s="29">
        <f>(+SUMIFS(манзилли!$L:$L,манзилли!$D:$D,'свод (худуд)'!$B14,манзилли!$AB:$AB,"&gt;31.12.2020",манзилли!$AA:$AA,"&gt;31.12.2020",манзилли!$AA:$AA,"&lt;01.01.2023"))</f>
        <v>4500</v>
      </c>
      <c r="AF14" s="29">
        <f>(+SUMIFS(манзилли!$N:$N,манзилли!$D:$D,'свод (худуд)'!$B14,манзилли!$AB:$AB,"&gt;31.12.2020",манзилли!$AA:$AA,"&gt;31.12.2020",манзилли!$AA:$AA,"&lt;01.01.2023"))</f>
        <v>1500</v>
      </c>
      <c r="AG14" s="29">
        <f>(+SUMIFS(манзилли!$R:$R,манзилли!$D:$D,'свод (худуд)'!$B14,манзилли!$AB:$AB,"&gt;31.12.2020",манзилли!$AA:$AA,"&gt;31.12.2020",манзилли!$AA:$AA,"&lt;01.01.2023"))</f>
        <v>3000</v>
      </c>
      <c r="AH14" s="29">
        <f>(+SUMIFS(манзилли!$T:$T,манзилли!$D:$D,'свод (худуд)'!$B14,манзилли!$AB:$AB,"&gt;31.12.2020",манзилли!$AA:$AA,"&gt;31.12.2020",манзилли!$AA:$AA,"&lt;01.01.2023"))</f>
        <v>0</v>
      </c>
      <c r="AI14" s="29">
        <f>(+SUMIFS(манзилли!$V:$V,манзилли!$D:$D,'свод (худуд)'!$B14,манзилли!$AB:$AB,"&gt;31.12.2020",манзилли!$AA:$AA,"&gt;31.12.2020",манзилли!$AA:$AA,"&lt;01.01.2023"))</f>
        <v>0</v>
      </c>
      <c r="AJ14" s="30">
        <f>+SUMIFS(манзилли!$Z:$Z,манзилли!$D:$D,'свод (худуд)'!$B14,манзилли!$AB:$AB,"&gt;31.12.2020",манзилли!$AA:$AA,"&gt;31.12.2020",манзилли!$AA:$AA,"&lt;01.01.2023")</f>
        <v>10</v>
      </c>
      <c r="AK14" s="28">
        <f>+COUNTIFS('Қўшимча ишга тушган'!$D:$D,'свод (худуд)'!B14,'Қўшимча ишга тушган'!$AO:$AO,"&lt;01.10.2023")</f>
        <v>0</v>
      </c>
      <c r="AL14" s="29">
        <f>(+SUMIFS('Қўшимча ишга тушган'!$T:$T,'Қўшимча ишга тушган'!$D:$D,'свод (худуд)'!$B14,'Қўшимча ишга тушган'!$AO:$AO,"&lt;01.10.2023"))</f>
        <v>0</v>
      </c>
      <c r="AM14" s="29">
        <f>(+SUMIFS('Қўшимча ишга тушган'!$V:$V,'Қўшимча ишга тушган'!$D:$D,'свод (худуд)'!$B14,'Қўшимча ишга тушган'!$AO:$AO,"&lt;01.10.2023"))</f>
        <v>0</v>
      </c>
      <c r="AN14" s="29">
        <f>(+SUMIFS('Қўшимча ишга тушган'!$Z:$Z,'Қўшимча ишга тушган'!$D:$D,'свод (худуд)'!$B14,'Қўшимча ишга тушган'!$AO:$AO,"&lt;01.10.2023"))</f>
        <v>0</v>
      </c>
      <c r="AO14" s="29">
        <f>(+SUMIFS('Қўшимча ишга тушган'!$AB:$AB,'Қўшимча ишга тушган'!$D:$D,'свод (худуд)'!$B14,'Қўшимча ишга тушган'!$AO:$AO,"&lt;01.10.2023"))</f>
        <v>0</v>
      </c>
      <c r="AP14" s="29">
        <f>(+SUMIFS('Қўшимча ишга тушган'!$AD:$AD,'Қўшимча ишга тушган'!$D:$D,'свод (худуд)'!$B14,'Қўшимча ишга тушган'!$AO:$AO,"&lt;01.10.2023"))</f>
        <v>0</v>
      </c>
      <c r="AQ14" s="30">
        <f>+SUMIFS('Қўшимча ишга тушган'!$AM:$AM,'Қўшимча ишга тушган'!$D:$D,'свод (худуд)'!$B14,'Қўшимча ишга тушган'!$AO:$AO,"&lt;01.10.2023")</f>
        <v>0</v>
      </c>
      <c r="AR14" s="28">
        <f>+COUNTIFS(манзилли!$D:$D,'свод (худуд)'!$B14,манзилли!$AA:$AA,"&lt;01.02.2021",манзилли!$AB:$AB,"")</f>
        <v>0</v>
      </c>
      <c r="AS14" s="29">
        <f>(+SUMIFS(манзилли!$K:$K,манзилли!$D:$D,'свод (худуд)'!$B14,манзилли!$AA:$AA,"&lt;01.02.2021",манзилли!$AB:$AB,""))</f>
        <v>0</v>
      </c>
      <c r="AT14" s="29">
        <f>(+SUMIFS(манзилли!$M:$M,манзилли!$D:$D,'свод (худуд)'!$B14,манзилли!$AA:$AA,"&lt;01.02.2021",манзилли!$AB:$AB,""))</f>
        <v>0</v>
      </c>
      <c r="AU14" s="29">
        <f>(+SUMIFS(манзилли!$Q:$Q,манзилли!$D:$D,'свод (худуд)'!$B14,манзилли!$AA:$AA,"&lt;01.02.2021",манзилли!$AB:$AB,""))</f>
        <v>0</v>
      </c>
      <c r="AV14" s="29">
        <f>(+SUMIFS(манзилли!$S:$S,манзилли!$D:$D,'свод (худуд)'!$B14,манзилли!$AA:$AA,"&lt;01.02.2021",манзилли!$AB:$AB,""))</f>
        <v>0</v>
      </c>
      <c r="AW14" s="29">
        <f>(+SUMIFS(манзилли!$U:$U,манзилли!$D:$D,'свод (худуд)'!$B14,манзилли!$AA:$AA,"&lt;01.02.2021",манзилли!$AB:$AB,""))</f>
        <v>0</v>
      </c>
      <c r="AX14" s="30">
        <f>+SUMIFS(манзилли!$Y:$Y,манзилли!$D:$D,'свод (худуд)'!$B14,манзилли!$AA:$AA,"&lt;01.02.2021",манзилли!$AB:$AB,"")</f>
        <v>0</v>
      </c>
      <c r="AY14" s="28">
        <f>+COUNTIFS(манзилли!$D:$D,'свод (худуд)'!$B14,манзилли!$AA:$AA,"&lt;01.01.2022",манзилли!$AB:$AB,"")</f>
        <v>14</v>
      </c>
      <c r="AZ14" s="29">
        <f>(+SUMIFS(манзилли!$K:$K,манзилли!$D:$D,'свод (худуд)'!$B14,манзилли!$AA:$AA,"&lt;01.01.2022",манзилли!$AB:$AB,""))</f>
        <v>753027.1</v>
      </c>
      <c r="BA14" s="29">
        <f>(+SUMIFS(манзилли!$M:$M,манзилли!$D:$D,'свод (худуд)'!$B14,манзилли!$AA:$AA,"&lt;01.01.2022",манзилли!$AB:$AB,""))</f>
        <v>302684.5</v>
      </c>
      <c r="BB14" s="29">
        <f>(+SUMIFS(манзилли!$Q:$Q,манзилли!$D:$D,'свод (худуд)'!$B14,манзилли!$AA:$AA,"&lt;01.01.2022",манзилли!$AB:$AB,""))</f>
        <v>14220</v>
      </c>
      <c r="BC14" s="29">
        <f>(+SUMIFS(манзилли!$S:$S,манзилли!$D:$D,'свод (худуд)'!$B14,манзилли!$AA:$AA,"&lt;01.01.2022",манзилли!$AB:$AB,""))</f>
        <v>17342</v>
      </c>
      <c r="BD14" s="29">
        <f>(+SUMIFS(манзилли!$U:$U,манзилли!$D:$D,'свод (худуд)'!$B14,манзилли!$AA:$AA,"&lt;01.01.2022",манзилли!$AB:$AB,""))</f>
        <v>25000</v>
      </c>
      <c r="BE14" s="30">
        <f>+SUMIFS(манзилли!$Y:$Y,манзилли!$D:$D,'свод (худуд)'!$B14,манзилли!$AA:$AA,"&lt;01.01.2022",манзилли!$AB:$AB,"")</f>
        <v>1135</v>
      </c>
      <c r="BF14" s="28">
        <f>+COUNTIFS(манзилли!$D:$D,'свод (худуд)'!$B14,манзилли!$AA:$AA,"&lt;01.01.2023",манзилли!$AA:$AA,"&gt;=01.01.2022")</f>
        <v>0</v>
      </c>
      <c r="BG14" s="29">
        <f>(+SUMIFS(манзилли!$K:$K,манзилли!$D:$D,'свод (худуд)'!$B14,манзилли!$AA:$AA,"&lt;01.01.2023",манзилли!$AA:$AA,"&gt;=01.01.2022"))</f>
        <v>0</v>
      </c>
      <c r="BH14" s="29">
        <f>(+SUMIFS(манзилли!$M:$M,манзилли!$D:$D,'свод (худуд)'!$B14,манзилли!$AA:$AA,"&lt;01.01.2023",манзилли!$AA:$AA,"&gt;=01.01.2022"))</f>
        <v>0</v>
      </c>
      <c r="BI14" s="29">
        <f>(+SUMIFS(манзилли!$Q:$Q,манзилли!$D:$D,'свод (худуд)'!$B14,манзилли!$AA:$AA,"&lt;01.01.2023",манзилли!$AA:$AA,"&gt;=01.01.2022"))</f>
        <v>0</v>
      </c>
      <c r="BJ14" s="29">
        <f>(+SUMIFS(манзилли!$S:$S,манзилли!$D:$D,'свод (худуд)'!$B14,манзилли!$AA:$AA,"&lt;01.01.2023",манзилли!$AA:$AA,"&gt;=01.01.2022"))</f>
        <v>0</v>
      </c>
      <c r="BK14" s="29">
        <f>(+SUMIFS(манзилли!$U:$U,манзилли!$D:$D,'свод (худуд)'!$B14,манзилли!$AA:$AA,"&lt;01.01.2023",манзилли!$AA:$AA,"&gt;=01.01.2022"))</f>
        <v>0</v>
      </c>
      <c r="BL14" s="30">
        <f>+SUMIFS(манзилли!$Y:$Y,манзилли!$D:$D,'свод (худуд)'!$B14,манзилли!$AA:$AA,"&lt;01.01.2023",манзилли!$AA:$AA,"&gt;=01.01.2022")</f>
        <v>0</v>
      </c>
    </row>
    <row r="15" spans="1:64" s="3" customFormat="1" ht="35.25" customHeight="1">
      <c r="A15" s="26">
        <f t="shared" si="12"/>
        <v>9</v>
      </c>
      <c r="B15" s="27" t="s">
        <v>286</v>
      </c>
      <c r="C15" s="28">
        <f>+COUNTIFS(манзилли!$D:$D,'свод (худуд)'!$B15)</f>
        <v>91</v>
      </c>
      <c r="D15" s="29">
        <f>(+SUMIFS(манзилли!$K:$K,манзилли!$D:$D,'свод (худуд)'!$B15))</f>
        <v>299126</v>
      </c>
      <c r="E15" s="29">
        <f>(+SUMIFS(манзилли!$M:$M,манзилли!$D:$D,'свод (худуд)'!$B15))</f>
        <v>113890</v>
      </c>
      <c r="F15" s="29">
        <f>(+SUMIFS(манзилли!$Q:$Q,манзилли!$D:$D,'свод (худуд)'!$B15))</f>
        <v>82030</v>
      </c>
      <c r="G15" s="29">
        <f>(+SUMIFS(манзилли!$S:$S,манзилли!$D:$D,'свод (худуд)'!$B15))</f>
        <v>10020</v>
      </c>
      <c r="H15" s="29">
        <f>(+SUMIFS(манзилли!$U:$U,манзилли!$D:$D,'свод (худуд)'!$B15))</f>
        <v>0</v>
      </c>
      <c r="I15" s="30">
        <f>+SUMIFS(манзилли!$Y:$Y,манзилли!$D:$D,'свод (худуд)'!$B15)</f>
        <v>765</v>
      </c>
      <c r="J15" s="28">
        <f>+(COUNTIFS(манзилли!$L:$L,"&gt;0",манзилли!$D:$D,'свод (худуд)'!$B15)+COUNTIFS('Қўшимча ишга тушган'!$T:$T,"&gt;0",'Қўшимча ишга тушган'!$D:$D,'свод (худуд)'!$B15))</f>
        <v>45</v>
      </c>
      <c r="K15" s="29">
        <f>(+SUMIFS(манзилли!$L:$L,манзилли!$D:$D,'свод (худуд)'!$B15)+SUMIFS('Қўшимча ишга тушган'!$T:$T,'Қўшимча ишга тушган'!$D:$D,'свод (худуд)'!$B15))</f>
        <v>51819.7</v>
      </c>
      <c r="L15" s="29">
        <f>+(SUMIFS(манзилли!$N:$N,манзилли!$D:$D,'свод (худуд)'!$B15)+SUMIFS('Қўшимча ишга тушган'!$V:$V,'Қўшимча ишга тушган'!$D:$D,'свод (худуд)'!$B15))</f>
        <v>7390</v>
      </c>
      <c r="M15" s="29">
        <f>(+SUMIFS(манзилли!$R:$R,манзилли!$D:$D,'свод (худуд)'!$B15)+SUMIFS('Қўшимча ишга тушган'!$Z:$Z,'Қўшимча ишга тушган'!$D:$D,'свод (худуд)'!$B15))</f>
        <v>18286</v>
      </c>
      <c r="N15" s="29">
        <f>(+SUMIFS(манзилли!$T:$T,манзилли!$D:$D,'свод (худуд)'!$B15)+SUMIFS('Қўшимча ишга тушган'!$AB:$AB,'Қўшимча ишга тушган'!$D:$D,'свод (худуд)'!$B15))</f>
        <v>2561.5</v>
      </c>
      <c r="O15" s="30">
        <f>(+SUMIFS(манзилли!$V:$V,манзилли!$D:$D,'свод (худуд)'!$B15)+SUMIFS('Қўшимча ишга тушган'!$AD:$AD,'Қўшимча ишга тушган'!$D:$D,'свод (худуд)'!$B15))</f>
        <v>0</v>
      </c>
      <c r="P15" s="56">
        <f>+COUNTIFS(манзилли!$D:$D,'свод (худуд)'!$B15,манзилли!$AA:$AA,"&gt;31.12.2020",манзилли!$AA:$AA,"&lt;01.01.2022")</f>
        <v>59</v>
      </c>
      <c r="Q15" s="29">
        <f>(+SUMIFS(манзилли!$K:$K,манзилли!$D:$D,'свод (худуд)'!$B15,манзилли!$AA:$AA,"&gt;31.12.2020",манзилли!$AA:$AA,"&lt;01.01.2022"))</f>
        <v>136861</v>
      </c>
      <c r="R15" s="33">
        <f>(+SUMIFS(манзилли!$M:$M,манзилли!$D:$D,'свод (худуд)'!$B15,манзилли!$AA:$AA,"&gt;31.12.2020",манзилли!$AA:$AA,"&lt;01.01.2022"))</f>
        <v>56160</v>
      </c>
      <c r="S15" s="33">
        <f>(+SUMIFS(манзилли!$Q:$Q,манзилли!$D:$D,'свод (худуд)'!$B15,манзилли!$AA:$AA,"&gt;31.12.2020",манзилли!$AA:$AA,"&lt;01.01.2022"))</f>
        <v>42900</v>
      </c>
      <c r="T15" s="33">
        <f>(+SUMIFS(манзилли!$S:$S,манзилли!$D:$D,'свод (худуд)'!$B15,манзилли!$AA:$AA,"&gt;31.12.2020",манзилли!$AA:$AA,"&lt;01.01.2022"))</f>
        <v>3670</v>
      </c>
      <c r="U15" s="33">
        <f>(+SUMIFS(манзилли!$U:$U,манзилли!$D:$D,'свод (худуд)'!$B15,манзилли!$AA:$AA,"&gt;31.12.2020",манзилли!$AA:$AA,"&lt;01.01.2022"))</f>
        <v>0</v>
      </c>
      <c r="V15" s="34">
        <f>+SUMIFS(манзилли!$Y:$Y,манзилли!$D:$D,'свод (худуд)'!$B15,манзилли!$AA:$AA,"&gt;31.12.2020",манзилли!$AA:$AA,"&lt;01.01.2022")</f>
        <v>467</v>
      </c>
      <c r="W15" s="28">
        <f t="shared" si="11"/>
        <v>0</v>
      </c>
      <c r="X15" s="29">
        <f t="shared" si="5"/>
        <v>0</v>
      </c>
      <c r="Y15" s="29">
        <f t="shared" si="6"/>
        <v>0</v>
      </c>
      <c r="Z15" s="29">
        <f t="shared" si="7"/>
        <v>0</v>
      </c>
      <c r="AA15" s="29">
        <f t="shared" si="8"/>
        <v>0</v>
      </c>
      <c r="AB15" s="29">
        <f t="shared" si="9"/>
        <v>0</v>
      </c>
      <c r="AC15" s="30">
        <f t="shared" si="10"/>
        <v>0</v>
      </c>
      <c r="AD15" s="28">
        <f>+COUNTIFS(манзилли!$D:$D,'свод (худуд)'!$B15,манзилли!$AB:$AB,"&gt;31.12.2020",манзилли!$AA:$AA,"&gt;31.12.2020",манзилли!$AA:$AA,"&lt;01.01.2023")</f>
        <v>0</v>
      </c>
      <c r="AE15" s="29">
        <f>(+SUMIFS(манзилли!$L:$L,манзилли!$D:$D,'свод (худуд)'!$B15,манзилли!$AB:$AB,"&gt;31.12.2020",манзилли!$AA:$AA,"&gt;31.12.2020",манзилли!$AA:$AA,"&lt;01.01.2023"))</f>
        <v>0</v>
      </c>
      <c r="AF15" s="29">
        <f>(+SUMIFS(манзилли!$N:$N,манзилли!$D:$D,'свод (худуд)'!$B15,манзилли!$AB:$AB,"&gt;31.12.2020",манзилли!$AA:$AA,"&gt;31.12.2020",манзилли!$AA:$AA,"&lt;01.01.2023"))</f>
        <v>0</v>
      </c>
      <c r="AG15" s="29">
        <f>(+SUMIFS(манзилли!$R:$R,манзилли!$D:$D,'свод (худуд)'!$B15,манзилли!$AB:$AB,"&gt;31.12.2020",манзилли!$AA:$AA,"&gt;31.12.2020",манзилли!$AA:$AA,"&lt;01.01.2023"))</f>
        <v>0</v>
      </c>
      <c r="AH15" s="29">
        <f>(+SUMIFS(манзилли!$T:$T,манзилли!$D:$D,'свод (худуд)'!$B15,манзилли!$AB:$AB,"&gt;31.12.2020",манзилли!$AA:$AA,"&gt;31.12.2020",манзилли!$AA:$AA,"&lt;01.01.2023"))</f>
        <v>0</v>
      </c>
      <c r="AI15" s="29">
        <f>(+SUMIFS(манзилли!$V:$V,манзилли!$D:$D,'свод (худуд)'!$B15,манзилли!$AB:$AB,"&gt;31.12.2020",манзилли!$AA:$AA,"&gt;31.12.2020",манзилли!$AA:$AA,"&lt;01.01.2023"))</f>
        <v>0</v>
      </c>
      <c r="AJ15" s="30">
        <f>+SUMIFS(манзилли!$Z:$Z,манзилли!$D:$D,'свод (худуд)'!$B15,манзилли!$AB:$AB,"&gt;31.12.2020",манзилли!$AA:$AA,"&gt;31.12.2020",манзилли!$AA:$AA,"&lt;01.01.2023")</f>
        <v>0</v>
      </c>
      <c r="AK15" s="28">
        <f>+COUNTIFS('Қўшимча ишга тушган'!$D:$D,'свод (худуд)'!B15,'Қўшимча ишга тушган'!$AO:$AO,"&lt;01.10.2023")</f>
        <v>0</v>
      </c>
      <c r="AL15" s="29">
        <f>(+SUMIFS('Қўшимча ишга тушган'!$T:$T,'Қўшимча ишга тушган'!$D:$D,'свод (худуд)'!$B15,'Қўшимча ишга тушган'!$AO:$AO,"&lt;01.10.2023"))</f>
        <v>0</v>
      </c>
      <c r="AM15" s="29">
        <f>(+SUMIFS('Қўшимча ишга тушган'!$V:$V,'Қўшимча ишга тушган'!$D:$D,'свод (худуд)'!$B15,'Қўшимча ишга тушган'!$AO:$AO,"&lt;01.10.2023"))</f>
        <v>0</v>
      </c>
      <c r="AN15" s="29">
        <f>(+SUMIFS('Қўшимча ишга тушган'!$Z:$Z,'Қўшимча ишга тушган'!$D:$D,'свод (худуд)'!$B15,'Қўшимча ишга тушган'!$AO:$AO,"&lt;01.10.2023"))</f>
        <v>0</v>
      </c>
      <c r="AO15" s="29">
        <f>(+SUMIFS('Қўшимча ишга тушган'!$AB:$AB,'Қўшимча ишга тушган'!$D:$D,'свод (худуд)'!$B15,'Қўшимча ишга тушган'!$AO:$AO,"&lt;01.10.2023"))</f>
        <v>0</v>
      </c>
      <c r="AP15" s="29">
        <f>(+SUMIFS('Қўшимча ишга тушган'!$AD:$AD,'Қўшимча ишга тушган'!$D:$D,'свод (худуд)'!$B15,'Қўшимча ишга тушган'!$AO:$AO,"&lt;01.10.2023"))</f>
        <v>0</v>
      </c>
      <c r="AQ15" s="30">
        <f>+SUMIFS('Қўшимча ишга тушган'!$AM:$AM,'Қўшимча ишга тушган'!$D:$D,'свод (худуд)'!$B15,'Қўшимча ишга тушган'!$AO:$AO,"&lt;01.10.2023")</f>
        <v>0</v>
      </c>
      <c r="AR15" s="28">
        <f>+COUNTIFS(манзилли!$D:$D,'свод (худуд)'!$B15,манзилли!$AA:$AA,"&lt;01.02.2021",манзилли!$AB:$AB,"")</f>
        <v>0</v>
      </c>
      <c r="AS15" s="29">
        <f>(+SUMIFS(манзилли!$K:$K,манзилли!$D:$D,'свод (худуд)'!$B15,манзилли!$AA:$AA,"&lt;01.02.2021",манзилли!$AB:$AB,""))</f>
        <v>0</v>
      </c>
      <c r="AT15" s="29">
        <f>(+SUMIFS(манзилли!$M:$M,манзилли!$D:$D,'свод (худуд)'!$B15,манзилли!$AA:$AA,"&lt;01.02.2021",манзилли!$AB:$AB,""))</f>
        <v>0</v>
      </c>
      <c r="AU15" s="29">
        <f>(+SUMIFS(манзилли!$Q:$Q,манзилли!$D:$D,'свод (худуд)'!$B15,манзилли!$AA:$AA,"&lt;01.02.2021",манзилли!$AB:$AB,""))</f>
        <v>0</v>
      </c>
      <c r="AV15" s="29">
        <f>(+SUMIFS(манзилли!$S:$S,манзилли!$D:$D,'свод (худуд)'!$B15,манзилли!$AA:$AA,"&lt;01.02.2021",манзилли!$AB:$AB,""))</f>
        <v>0</v>
      </c>
      <c r="AW15" s="29">
        <f>(+SUMIFS(манзилли!$U:$U,манзилли!$D:$D,'свод (худуд)'!$B15,манзилли!$AA:$AA,"&lt;01.02.2021",манзилли!$AB:$AB,""))</f>
        <v>0</v>
      </c>
      <c r="AX15" s="30">
        <f>+SUMIFS(манзилли!$Y:$Y,манзилли!$D:$D,'свод (худуд)'!$B15,манзилли!$AA:$AA,"&lt;01.02.2021",манзилли!$AB:$AB,"")</f>
        <v>0</v>
      </c>
      <c r="AY15" s="28">
        <f>+COUNTIFS(манзилли!$D:$D,'свод (худуд)'!$B15,манзилли!$AA:$AA,"&lt;01.01.2022",манзилли!$AB:$AB,"")</f>
        <v>52</v>
      </c>
      <c r="AZ15" s="29">
        <f>(+SUMIFS(манзилли!$K:$K,манзилли!$D:$D,'свод (худуд)'!$B15,манзилли!$AA:$AA,"&lt;01.01.2022",манзилли!$AB:$AB,""))</f>
        <v>129061</v>
      </c>
      <c r="BA15" s="29">
        <f>(+SUMIFS(манзилли!$M:$M,манзилли!$D:$D,'свод (худуд)'!$B15,манзилли!$AA:$AA,"&lt;01.01.2022",манзилли!$AB:$AB,""))</f>
        <v>53960</v>
      </c>
      <c r="BB15" s="29">
        <f>(+SUMIFS(манзилли!$Q:$Q,манзилли!$D:$D,'свод (худуд)'!$B15,манзилли!$AA:$AA,"&lt;01.01.2022",манзилли!$AB:$AB,""))</f>
        <v>37300</v>
      </c>
      <c r="BC15" s="29">
        <f>(+SUMIFS(манзилли!$S:$S,манзилли!$D:$D,'свод (худуд)'!$B15,манзилли!$AA:$AA,"&lt;01.01.2022",манзилли!$AB:$AB,""))</f>
        <v>3670</v>
      </c>
      <c r="BD15" s="29">
        <f>(+SUMIFS(манзилли!$U:$U,манзилли!$D:$D,'свод (худуд)'!$B15,манзилли!$AA:$AA,"&lt;01.01.2022",манзилли!$AB:$AB,""))</f>
        <v>0</v>
      </c>
      <c r="BE15" s="30">
        <f>+SUMIFS(манзилли!$Y:$Y,манзилли!$D:$D,'свод (худуд)'!$B15,манзилли!$AA:$AA,"&lt;01.01.2022",манзилли!$AB:$AB,"")</f>
        <v>436</v>
      </c>
      <c r="BF15" s="32">
        <f>+COUNTIFS(манзилли!$D:$D,'свод (худуд)'!$B15,манзилли!$AA:$AA,"&lt;01.01.2023",манзилли!$AA:$AA,"&gt;=01.01.2022")</f>
        <v>15</v>
      </c>
      <c r="BG15" s="29">
        <f>(+SUMIFS(манзилли!$K:$K,манзилли!$D:$D,'свод (худуд)'!$B15,манзилли!$AA:$AA,"&lt;01.01.2023",манзилли!$AA:$AA,"&gt;=01.01.2022"))</f>
        <v>149215</v>
      </c>
      <c r="BH15" s="33">
        <f>(+SUMIFS(манзилли!$M:$M,манзилли!$D:$D,'свод (худуд)'!$B15,манзилли!$AA:$AA,"&lt;01.01.2023",манзилли!$AA:$AA,"&gt;=01.01.2022"))</f>
        <v>52560</v>
      </c>
      <c r="BI15" s="33">
        <f>(+SUMIFS(манзилли!$Q:$Q,манзилли!$D:$D,'свод (худуд)'!$B15,манзилли!$AA:$AA,"&lt;01.01.2023",манзилли!$AA:$AA,"&gt;=01.01.2022"))</f>
        <v>31250</v>
      </c>
      <c r="BJ15" s="33">
        <f>(+SUMIFS(манзилли!$S:$S,манзилли!$D:$D,'свод (худуд)'!$B15,манзилли!$AA:$AA,"&lt;01.01.2023",манзилли!$AA:$AA,"&gt;=01.01.2022"))</f>
        <v>6350</v>
      </c>
      <c r="BK15" s="33">
        <f>(+SUMIFS(манзилли!$U:$U,манзилли!$D:$D,'свод (худуд)'!$B15,манзилли!$AA:$AA,"&lt;01.01.2023",манзилли!$AA:$AA,"&gt;=01.01.2022"))</f>
        <v>0</v>
      </c>
      <c r="BL15" s="34">
        <f>+SUMIFS(манзилли!$Y:$Y,манзилли!$D:$D,'свод (худуд)'!$B15,манзилли!$AA:$AA,"&lt;01.01.2023",манзилли!$AA:$AA,"&gt;=01.01.2022")</f>
        <v>221</v>
      </c>
    </row>
    <row r="16" spans="1:64" s="3" customFormat="1" ht="35.25" customHeight="1">
      <c r="A16" s="26">
        <f t="shared" si="12"/>
        <v>10</v>
      </c>
      <c r="B16" s="27" t="s">
        <v>298</v>
      </c>
      <c r="C16" s="28">
        <f>+COUNTIFS(манзилли!$D:$D,'свод (худуд)'!$B16)</f>
        <v>36</v>
      </c>
      <c r="D16" s="29">
        <f>(+SUMIFS(манзилли!$K:$K,манзилли!$D:$D,'свод (худуд)'!$B16))</f>
        <v>248028.9</v>
      </c>
      <c r="E16" s="29">
        <f>(+SUMIFS(манзилли!$M:$M,манзилли!$D:$D,'свод (худуд)'!$B16))</f>
        <v>147430</v>
      </c>
      <c r="F16" s="29">
        <f>(+SUMIFS(манзилли!$Q:$Q,манзилли!$D:$D,'свод (худуд)'!$B16))</f>
        <v>67505</v>
      </c>
      <c r="G16" s="29">
        <f>(+SUMIFS(манзилли!$S:$S,манзилли!$D:$D,'свод (худуд)'!$B16))</f>
        <v>213</v>
      </c>
      <c r="H16" s="29">
        <f>(+SUMIFS(манзилли!$U:$U,манзилли!$D:$D,'свод (худуд)'!$B16))</f>
        <v>3000</v>
      </c>
      <c r="I16" s="30">
        <f>+SUMIFS(манзилли!$Y:$Y,манзилли!$D:$D,'свод (худуд)'!$B16)</f>
        <v>425</v>
      </c>
      <c r="J16" s="28">
        <f>+(COUNTIFS(манзилли!$L:$L,"&gt;0",манзилли!$D:$D,'свод (худуд)'!$B16)+COUNTIFS('Қўшимча ишга тушган'!$T:$T,"&gt;0",'Қўшимча ишга тушган'!$D:$D,'свод (худуд)'!$B16))</f>
        <v>26</v>
      </c>
      <c r="K16" s="29">
        <f>(+SUMIFS(манзилли!$L:$L,манзилли!$D:$D,'свод (худуд)'!$B16)+SUMIFS('Қўшимча ишга тушган'!$T:$T,'Қўшимча ишга тушган'!$D:$D,'свод (худуд)'!$B16))</f>
        <v>51735.740000000005</v>
      </c>
      <c r="L16" s="29">
        <f>+(SUMIFS(манзилли!$N:$N,манзилли!$D:$D,'свод (худуд)'!$B16)+SUMIFS('Қўшимча ишга тушган'!$V:$V,'Қўшимча ишга тушган'!$D:$D,'свод (худуд)'!$B16))</f>
        <v>5900</v>
      </c>
      <c r="M16" s="29">
        <f>(+SUMIFS(манзилли!$R:$R,манзилли!$D:$D,'свод (худуд)'!$B16)+SUMIFS('Қўшимча ишга тушган'!$Z:$Z,'Қўшимча ишга тушган'!$D:$D,'свод (худуд)'!$B16))</f>
        <v>45237</v>
      </c>
      <c r="N16" s="29">
        <f>(+SUMIFS(манзилли!$T:$T,манзилли!$D:$D,'свод (худуд)'!$B16)+SUMIFS('Қўшимча ишга тушган'!$AB:$AB,'Қўшимча ишга тушган'!$D:$D,'свод (худуд)'!$B16))</f>
        <v>58.7</v>
      </c>
      <c r="O16" s="30">
        <f>(+SUMIFS(манзилли!$V:$V,манзилли!$D:$D,'свод (худуд)'!$B16)+SUMIFS('Қўшимча ишга тушган'!$AD:$AD,'Қўшимча ишга тушган'!$D:$D,'свод (худуд)'!$B16))</f>
        <v>0</v>
      </c>
      <c r="P16" s="31">
        <f>+COUNTIFS(манзилли!$D:$D,'свод (худуд)'!$B16,манзилли!$AA:$AA,"&gt;31.12.2020",манзилли!$AA:$AA,"&lt;01.01.2022")</f>
        <v>29</v>
      </c>
      <c r="Q16" s="29">
        <f>(+SUMIFS(манзилли!$K:$K,манзилли!$D:$D,'свод (худуд)'!$B16,манзилли!$AA:$AA,"&gt;31.12.2020",манзилли!$AA:$AA,"&lt;01.01.2022"))</f>
        <v>234513.9</v>
      </c>
      <c r="R16" s="29">
        <f>(+SUMIFS(манзилли!$M:$M,манзилли!$D:$D,'свод (худуд)'!$B16,манзилли!$AA:$AA,"&gt;31.12.2020",манзилли!$AA:$AA,"&lt;01.01.2022"))</f>
        <v>143830</v>
      </c>
      <c r="S16" s="29">
        <f>(+SUMIFS(манзилли!$Q:$Q,манзилли!$D:$D,'свод (худуд)'!$B16,манзилли!$AA:$AA,"&gt;31.12.2020",манзилли!$AA:$AA,"&lt;01.01.2022"))</f>
        <v>58105</v>
      </c>
      <c r="T16" s="29">
        <f>(+SUMIFS(манзилли!$S:$S,манзилли!$D:$D,'свод (худуд)'!$B16,манзилли!$AA:$AA,"&gt;31.12.2020",манзилли!$AA:$AA,"&lt;01.01.2022"))</f>
        <v>163</v>
      </c>
      <c r="U16" s="29">
        <f>(+SUMIFS(манзилли!$U:$U,манзилли!$D:$D,'свод (худуд)'!$B16,манзилли!$AA:$AA,"&gt;31.12.2020",манзилли!$AA:$AA,"&lt;01.01.2022"))</f>
        <v>3000</v>
      </c>
      <c r="V16" s="30">
        <f>+SUMIFS(манзилли!$Y:$Y,манзилли!$D:$D,'свод (худуд)'!$B16,манзилли!$AA:$AA,"&gt;31.12.2020",манзилли!$AA:$AA,"&lt;01.01.2022")</f>
        <v>395</v>
      </c>
      <c r="W16" s="28">
        <f t="shared" si="11"/>
        <v>1</v>
      </c>
      <c r="X16" s="29">
        <f t="shared" si="5"/>
        <v>4000</v>
      </c>
      <c r="Y16" s="29">
        <f t="shared" si="6"/>
        <v>3300</v>
      </c>
      <c r="Z16" s="29">
        <f t="shared" si="7"/>
        <v>700</v>
      </c>
      <c r="AA16" s="29">
        <f t="shared" si="8"/>
        <v>0</v>
      </c>
      <c r="AB16" s="29">
        <f t="shared" si="9"/>
        <v>0</v>
      </c>
      <c r="AC16" s="30">
        <f t="shared" si="10"/>
        <v>4</v>
      </c>
      <c r="AD16" s="28">
        <f>+COUNTIFS(манзилли!$D:$D,'свод (худуд)'!$B16,манзилли!$AB:$AB,"&gt;31.12.2020",манзилли!$AA:$AA,"&gt;31.12.2020",манзилли!$AA:$AA,"&lt;01.01.2023")</f>
        <v>1</v>
      </c>
      <c r="AE16" s="29">
        <f>(+SUMIFS(манзилли!$L:$L,манзилли!$D:$D,'свод (худуд)'!$B16,манзилли!$AB:$AB,"&gt;31.12.2020",манзилли!$AA:$AA,"&gt;31.12.2020",манзилли!$AA:$AA,"&lt;01.01.2023"))</f>
        <v>4000</v>
      </c>
      <c r="AF16" s="29">
        <f>(+SUMIFS(манзилли!$N:$N,манзилли!$D:$D,'свод (худуд)'!$B16,манзилли!$AB:$AB,"&gt;31.12.2020",манзилли!$AA:$AA,"&gt;31.12.2020",манзилли!$AA:$AA,"&lt;01.01.2023"))</f>
        <v>3300</v>
      </c>
      <c r="AG16" s="29">
        <f>(+SUMIFS(манзилли!$R:$R,манзилли!$D:$D,'свод (худуд)'!$B16,манзилли!$AB:$AB,"&gt;31.12.2020",манзилли!$AA:$AA,"&gt;31.12.2020",манзилли!$AA:$AA,"&lt;01.01.2023"))</f>
        <v>700</v>
      </c>
      <c r="AH16" s="29">
        <f>(+SUMIFS(манзилли!$T:$T,манзилли!$D:$D,'свод (худуд)'!$B16,манзилли!$AB:$AB,"&gt;31.12.2020",манзилли!$AA:$AA,"&gt;31.12.2020",манзилли!$AA:$AA,"&lt;01.01.2023"))</f>
        <v>0</v>
      </c>
      <c r="AI16" s="29">
        <f>(+SUMIFS(манзилли!$V:$V,манзилли!$D:$D,'свод (худуд)'!$B16,манзилли!$AB:$AB,"&gt;31.12.2020",манзилли!$AA:$AA,"&gt;31.12.2020",манзилли!$AA:$AA,"&lt;01.01.2023"))</f>
        <v>0</v>
      </c>
      <c r="AJ16" s="30">
        <f>+SUMIFS(манзилли!$Z:$Z,манзилли!$D:$D,'свод (худуд)'!$B16,манзилли!$AB:$AB,"&gt;31.12.2020",манзилли!$AA:$AA,"&gt;31.12.2020",манзилли!$AA:$AA,"&lt;01.01.2023")</f>
        <v>4</v>
      </c>
      <c r="AK16" s="28">
        <f>+COUNTIFS('Қўшимча ишга тушган'!$D:$D,'свод (худуд)'!B16,'Қўшимча ишга тушган'!$AO:$AO,"&lt;01.10.2023")</f>
        <v>0</v>
      </c>
      <c r="AL16" s="29">
        <f>(+SUMIFS('Қўшимча ишга тушган'!$T:$T,'Қўшимча ишга тушган'!$D:$D,'свод (худуд)'!$B16,'Қўшимча ишга тушган'!$AO:$AO,"&lt;01.10.2023"))</f>
        <v>0</v>
      </c>
      <c r="AM16" s="29">
        <f>(+SUMIFS('Қўшимча ишга тушган'!$V:$V,'Қўшимча ишга тушган'!$D:$D,'свод (худуд)'!$B16,'Қўшимча ишга тушган'!$AO:$AO,"&lt;01.10.2023"))</f>
        <v>0</v>
      </c>
      <c r="AN16" s="29">
        <f>(+SUMIFS('Қўшимча ишга тушган'!$Z:$Z,'Қўшимча ишга тушган'!$D:$D,'свод (худуд)'!$B16,'Қўшимча ишга тушган'!$AO:$AO,"&lt;01.10.2023"))</f>
        <v>0</v>
      </c>
      <c r="AO16" s="29">
        <f>(+SUMIFS('Қўшимча ишга тушган'!$AB:$AB,'Қўшимча ишга тушган'!$D:$D,'свод (худуд)'!$B16,'Қўшимча ишга тушган'!$AO:$AO,"&lt;01.10.2023"))</f>
        <v>0</v>
      </c>
      <c r="AP16" s="29">
        <f>(+SUMIFS('Қўшимча ишга тушган'!$AD:$AD,'Қўшимча ишга тушган'!$D:$D,'свод (худуд)'!$B16,'Қўшимча ишга тушган'!$AO:$AO,"&lt;01.10.2023"))</f>
        <v>0</v>
      </c>
      <c r="AQ16" s="30">
        <f>+SUMIFS('Қўшимча ишга тушган'!$AM:$AM,'Қўшимча ишга тушган'!$D:$D,'свод (худуд)'!$B16,'Қўшимча ишга тушган'!$AO:$AO,"&lt;01.10.2023")</f>
        <v>0</v>
      </c>
      <c r="AR16" s="28">
        <f>+COUNTIFS(манзилли!$D:$D,'свод (худуд)'!$B16,манзилли!$AA:$AA,"&lt;01.02.2021",манзилли!$AB:$AB,"")</f>
        <v>0</v>
      </c>
      <c r="AS16" s="29">
        <f>(+SUMIFS(манзилли!$K:$K,манзилли!$D:$D,'свод (худуд)'!$B16,манзилли!$AA:$AA,"&lt;01.02.2021",манзилли!$AB:$AB,""))</f>
        <v>0</v>
      </c>
      <c r="AT16" s="29">
        <f>(+SUMIFS(манзилли!$M:$M,манзилли!$D:$D,'свод (худуд)'!$B16,манзилли!$AA:$AA,"&lt;01.02.2021",манзилли!$AB:$AB,""))</f>
        <v>0</v>
      </c>
      <c r="AU16" s="29">
        <f>(+SUMIFS(манзилли!$Q:$Q,манзилли!$D:$D,'свод (худуд)'!$B16,манзилли!$AA:$AA,"&lt;01.02.2021",манзилли!$AB:$AB,""))</f>
        <v>0</v>
      </c>
      <c r="AV16" s="29">
        <f>(+SUMIFS(манзилли!$S:$S,манзилли!$D:$D,'свод (худуд)'!$B16,манзилли!$AA:$AA,"&lt;01.02.2021",манзилли!$AB:$AB,""))</f>
        <v>0</v>
      </c>
      <c r="AW16" s="29">
        <f>(+SUMIFS(манзилли!$U:$U,манзилли!$D:$D,'свод (худуд)'!$B16,манзилли!$AA:$AA,"&lt;01.02.2021",манзилли!$AB:$AB,""))</f>
        <v>0</v>
      </c>
      <c r="AX16" s="30">
        <f>+SUMIFS(манзилли!$Y:$Y,манзилли!$D:$D,'свод (худуд)'!$B16,манзилли!$AA:$AA,"&lt;01.02.2021",манзилли!$AB:$AB,"")</f>
        <v>0</v>
      </c>
      <c r="AY16" s="28">
        <f>+COUNTIFS(манзилли!$D:$D,'свод (худуд)'!$B16,манзилли!$AA:$AA,"&lt;01.01.2022",манзилли!$AB:$AB,"")</f>
        <v>27</v>
      </c>
      <c r="AZ16" s="29">
        <f>(+SUMIFS(манзилли!$K:$K,манзилли!$D:$D,'свод (худуд)'!$B16,манзилли!$AA:$AA,"&lt;01.01.2022",манзилли!$AB:$AB,""))</f>
        <v>228613.9</v>
      </c>
      <c r="BA16" s="29">
        <f>(+SUMIFS(манзилли!$M:$M,манзилли!$D:$D,'свод (худуд)'!$B16,манзилли!$AA:$AA,"&lt;01.01.2022",манзилли!$AB:$AB,""))</f>
        <v>140930</v>
      </c>
      <c r="BB16" s="29">
        <f>(+SUMIFS(манзилли!$Q:$Q,манзилли!$D:$D,'свод (худуд)'!$B16,манзилли!$AA:$AA,"&lt;01.01.2022",манзилли!$AB:$AB,""))</f>
        <v>55105</v>
      </c>
      <c r="BC16" s="29">
        <f>(+SUMIFS(манзилли!$S:$S,манзилли!$D:$D,'свод (худуд)'!$B16,манзилли!$AA:$AA,"&lt;01.01.2022",манзилли!$AB:$AB,""))</f>
        <v>163</v>
      </c>
      <c r="BD16" s="29">
        <f>(+SUMIFS(манзилли!$U:$U,манзилли!$D:$D,'свод (худуд)'!$B16,манзилли!$AA:$AA,"&lt;01.01.2022",манзилли!$AB:$AB,""))</f>
        <v>3000</v>
      </c>
      <c r="BE16" s="30">
        <f>+SUMIFS(манзилли!$Y:$Y,манзилли!$D:$D,'свод (худуд)'!$B16,манзилли!$AA:$AA,"&lt;01.01.2022",манзилли!$AB:$AB,"")</f>
        <v>388</v>
      </c>
      <c r="BF16" s="28">
        <f>+COUNTIFS(манзилли!$D:$D,'свод (худуд)'!$B16,манзилли!$AA:$AA,"&lt;01.01.2023",манзилли!$AA:$AA,"&gt;=01.01.2022")</f>
        <v>3</v>
      </c>
      <c r="BG16" s="29">
        <f>(+SUMIFS(манзилли!$K:$K,манзилли!$D:$D,'свод (худуд)'!$B16,манзилли!$AA:$AA,"&lt;01.01.2023",манзилли!$AA:$AA,"&gt;=01.01.2022"))</f>
        <v>3215</v>
      </c>
      <c r="BH16" s="29">
        <f>(+SUMIFS(манзилли!$M:$M,манзилли!$D:$D,'свод (худуд)'!$B16,манзилли!$AA:$AA,"&lt;01.01.2023",манзилли!$AA:$AA,"&gt;=01.01.2022"))</f>
        <v>1400</v>
      </c>
      <c r="BI16" s="29">
        <f>(+SUMIFS(манзилли!$Q:$Q,манзилли!$D:$D,'свод (худуд)'!$B16,манзилли!$AA:$AA,"&lt;01.01.2023",манзилли!$AA:$AA,"&gt;=01.01.2022"))</f>
        <v>1300</v>
      </c>
      <c r="BJ16" s="29">
        <f>(+SUMIFS(манзилли!$S:$S,манзилли!$D:$D,'свод (худуд)'!$B16,манзилли!$AA:$AA,"&lt;01.01.2023",манзилли!$AA:$AA,"&gt;=01.01.2022"))</f>
        <v>50</v>
      </c>
      <c r="BK16" s="29">
        <f>(+SUMIFS(манзилли!$U:$U,манзилли!$D:$D,'свод (худуд)'!$B16,манзилли!$AA:$AA,"&lt;01.01.2023",манзилли!$AA:$AA,"&gt;=01.01.2022"))</f>
        <v>0</v>
      </c>
      <c r="BL16" s="30">
        <f>+SUMIFS(манзилли!$Y:$Y,манзилли!$D:$D,'свод (худуд)'!$B16,манзилли!$AA:$AA,"&lt;01.01.2023",манзилли!$AA:$AA,"&gt;=01.01.2022")</f>
        <v>15</v>
      </c>
    </row>
    <row r="17" spans="1:64" s="3" customFormat="1" ht="35.25" customHeight="1">
      <c r="A17" s="26">
        <f t="shared" si="12"/>
        <v>11</v>
      </c>
      <c r="B17" s="27" t="s">
        <v>310</v>
      </c>
      <c r="C17" s="28">
        <f>+COUNTIFS(манзилли!$D:$D,'свод (худуд)'!$B17)</f>
        <v>56</v>
      </c>
      <c r="D17" s="29">
        <f>(+SUMIFS(манзилли!$K:$K,манзилли!$D:$D,'свод (худуд)'!$B17))</f>
        <v>921533</v>
      </c>
      <c r="E17" s="29">
        <f>(+SUMIFS(манзилли!$M:$M,манзилли!$D:$D,'свод (худуд)'!$B17))</f>
        <v>256541</v>
      </c>
      <c r="F17" s="29">
        <f>(+SUMIFS(манзилли!$Q:$Q,манзилли!$D:$D,'свод (худуд)'!$B17))</f>
        <v>108380</v>
      </c>
      <c r="G17" s="29">
        <f>(+SUMIFS(манзилли!$S:$S,манзилли!$D:$D,'свод (худуд)'!$B17))</f>
        <v>46340</v>
      </c>
      <c r="H17" s="29">
        <f>(+SUMIFS(манзилли!$U:$U,манзилли!$D:$D,'свод (худуд)'!$B17))</f>
        <v>7700</v>
      </c>
      <c r="I17" s="30">
        <f>+SUMIFS(манзилли!$Y:$Y,манзилли!$D:$D,'свод (худуд)'!$B17)</f>
        <v>3562</v>
      </c>
      <c r="J17" s="28">
        <f>+(COUNTIFS(манзилли!$L:$L,"&gt;0",манзилли!$D:$D,'свод (худуд)'!$B17)+COUNTIFS('Қўшимча ишга тушган'!$T:$T,"&gt;0",'Қўшимча ишга тушган'!$D:$D,'свод (худуд)'!$B17))</f>
        <v>30</v>
      </c>
      <c r="K17" s="29">
        <f>(+SUMIFS(манзилли!$L:$L,манзилли!$D:$D,'свод (худуд)'!$B17)+SUMIFS('Қўшимча ишга тушган'!$T:$T,'Қўшимча ишга тушган'!$D:$D,'свод (худуд)'!$B17))</f>
        <v>186195.02</v>
      </c>
      <c r="L17" s="29">
        <f>+(SUMIFS(манзилли!$N:$N,манзилли!$D:$D,'свод (худуд)'!$B17)+SUMIFS('Қўшимча ишга тушган'!$V:$V,'Қўшимча ишга тушган'!$D:$D,'свод (худуд)'!$B17))</f>
        <v>35350</v>
      </c>
      <c r="M17" s="29">
        <f>(+SUMIFS(манзилли!$R:$R,манзилли!$D:$D,'свод (худуд)'!$B17)+SUMIFS('Қўшимча ишга тушган'!$Z:$Z,'Қўшимча ишга тушган'!$D:$D,'свод (худуд)'!$B17))</f>
        <v>70980</v>
      </c>
      <c r="N17" s="29">
        <f>(+SUMIFS(манзилли!$T:$T,манзилли!$D:$D,'свод (худуд)'!$B17)+SUMIFS('Қўшимча ишга тушган'!$AB:$AB,'Қўшимча ишга тушган'!$D:$D,'свод (худуд)'!$B17))</f>
        <v>7830.1</v>
      </c>
      <c r="O17" s="30">
        <f>(+SUMIFS(манзилли!$V:$V,манзилли!$D:$D,'свод (худуд)'!$B17)+SUMIFS('Қўшимча ишга тушган'!$AD:$AD,'Қўшимча ишга тушган'!$D:$D,'свод (худуд)'!$B17))</f>
        <v>0</v>
      </c>
      <c r="P17" s="31">
        <f>+COUNTIFS(манзилли!$D:$D,'свод (худуд)'!$B17,манзилли!$AA:$AA,"&gt;31.12.2020",манзилли!$AA:$AA,"&lt;01.01.2022")</f>
        <v>45</v>
      </c>
      <c r="Q17" s="29">
        <f>(+SUMIFS(манзилли!$K:$K,манзилли!$D:$D,'свод (худуд)'!$B17,манзилли!$AA:$AA,"&gt;31.12.2020",манзилли!$AA:$AA,"&lt;01.01.2022"))</f>
        <v>779231</v>
      </c>
      <c r="R17" s="29">
        <f>(+SUMIFS(манзилли!$M:$M,манзилли!$D:$D,'свод (худуд)'!$B17,манзилли!$AA:$AA,"&gt;31.12.2020",манзилли!$AA:$AA,"&lt;01.01.2022"))</f>
        <v>195691</v>
      </c>
      <c r="S17" s="29">
        <f>(+SUMIFS(манзилли!$Q:$Q,манзилли!$D:$D,'свод (худуд)'!$B17,манзилли!$AA:$AA,"&gt;31.12.2020",манзилли!$AA:$AA,"&lt;01.01.2022"))</f>
        <v>87080</v>
      </c>
      <c r="T17" s="29">
        <f>(+SUMIFS(манзилли!$S:$S,манзилли!$D:$D,'свод (худуд)'!$B17,манзилли!$AA:$AA,"&gt;31.12.2020",манзилли!$AA:$AA,"&lt;01.01.2022"))</f>
        <v>40500</v>
      </c>
      <c r="U17" s="29">
        <f>(+SUMIFS(манзилли!$U:$U,манзилли!$D:$D,'свод (худуд)'!$B17,манзилли!$AA:$AA,"&gt;31.12.2020",манзилли!$AA:$AA,"&lt;01.01.2022"))</f>
        <v>7700</v>
      </c>
      <c r="V17" s="30">
        <f>+SUMIFS(манзилли!$Y:$Y,манзилли!$D:$D,'свод (худуд)'!$B17,манзилли!$AA:$AA,"&gt;31.12.2020",манзилли!$AA:$AA,"&lt;01.01.2022")</f>
        <v>3377</v>
      </c>
      <c r="W17" s="28">
        <f t="shared" si="11"/>
        <v>1</v>
      </c>
      <c r="X17" s="29">
        <f t="shared" si="5"/>
        <v>850</v>
      </c>
      <c r="Y17" s="29">
        <f t="shared" si="6"/>
        <v>400</v>
      </c>
      <c r="Z17" s="29">
        <f t="shared" si="7"/>
        <v>450</v>
      </c>
      <c r="AA17" s="29">
        <f t="shared" si="8"/>
        <v>0</v>
      </c>
      <c r="AB17" s="29">
        <f t="shared" si="9"/>
        <v>0</v>
      </c>
      <c r="AC17" s="30">
        <f t="shared" si="10"/>
        <v>8</v>
      </c>
      <c r="AD17" s="28">
        <f>+COUNTIFS(манзилли!$D:$D,'свод (худуд)'!$B17,манзилли!$AB:$AB,"&gt;31.12.2020",манзилли!$AA:$AA,"&gt;31.12.2020",манзилли!$AA:$AA,"&lt;01.01.2023")</f>
        <v>1</v>
      </c>
      <c r="AE17" s="29">
        <f>(+SUMIFS(манзилли!$L:$L,манзилли!$D:$D,'свод (худуд)'!$B17,манзилли!$AB:$AB,"&gt;31.12.2020",манзилли!$AA:$AA,"&gt;31.12.2020",манзилли!$AA:$AA,"&lt;01.01.2023"))</f>
        <v>850</v>
      </c>
      <c r="AF17" s="29">
        <f>(+SUMIFS(манзилли!$N:$N,манзилли!$D:$D,'свод (худуд)'!$B17,манзилли!$AB:$AB,"&gt;31.12.2020",манзилли!$AA:$AA,"&gt;31.12.2020",манзилли!$AA:$AA,"&lt;01.01.2023"))</f>
        <v>400</v>
      </c>
      <c r="AG17" s="29">
        <f>(+SUMIFS(манзилли!$R:$R,манзилли!$D:$D,'свод (худуд)'!$B17,манзилли!$AB:$AB,"&gt;31.12.2020",манзилли!$AA:$AA,"&gt;31.12.2020",манзилли!$AA:$AA,"&lt;01.01.2023"))</f>
        <v>450</v>
      </c>
      <c r="AH17" s="29">
        <f>(+SUMIFS(манзилли!$T:$T,манзилли!$D:$D,'свод (худуд)'!$B17,манзилли!$AB:$AB,"&gt;31.12.2020",манзилли!$AA:$AA,"&gt;31.12.2020",манзилли!$AA:$AA,"&lt;01.01.2023"))</f>
        <v>0</v>
      </c>
      <c r="AI17" s="29">
        <f>(+SUMIFS(манзилли!$V:$V,манзилли!$D:$D,'свод (худуд)'!$B17,манзилли!$AB:$AB,"&gt;31.12.2020",манзилли!$AA:$AA,"&gt;31.12.2020",манзилли!$AA:$AA,"&lt;01.01.2023"))</f>
        <v>0</v>
      </c>
      <c r="AJ17" s="30">
        <f>+SUMIFS(манзилли!$Z:$Z,манзилли!$D:$D,'свод (худуд)'!$B17,манзилли!$AB:$AB,"&gt;31.12.2020",манзилли!$AA:$AA,"&gt;31.12.2020",манзилли!$AA:$AA,"&lt;01.01.2023")</f>
        <v>8</v>
      </c>
      <c r="AK17" s="28">
        <f>+COUNTIFS('Қўшимча ишга тушган'!$D:$D,'свод (худуд)'!B17,'Қўшимча ишга тушган'!$AO:$AO,"&lt;01.10.2023")</f>
        <v>0</v>
      </c>
      <c r="AL17" s="29">
        <f>(+SUMIFS('Қўшимча ишга тушган'!$T:$T,'Қўшимча ишга тушган'!$D:$D,'свод (худуд)'!$B17,'Қўшимча ишга тушган'!$AO:$AO,"&lt;01.10.2023"))</f>
        <v>0</v>
      </c>
      <c r="AM17" s="29">
        <f>(+SUMIFS('Қўшимча ишга тушган'!$V:$V,'Қўшимча ишга тушган'!$D:$D,'свод (худуд)'!$B17,'Қўшимча ишга тушган'!$AO:$AO,"&lt;01.10.2023"))</f>
        <v>0</v>
      </c>
      <c r="AN17" s="29">
        <f>(+SUMIFS('Қўшимча ишга тушган'!$Z:$Z,'Қўшимча ишга тушган'!$D:$D,'свод (худуд)'!$B17,'Қўшимча ишга тушган'!$AO:$AO,"&lt;01.10.2023"))</f>
        <v>0</v>
      </c>
      <c r="AO17" s="29">
        <f>(+SUMIFS('Қўшимча ишга тушган'!$AB:$AB,'Қўшимча ишга тушган'!$D:$D,'свод (худуд)'!$B17,'Қўшимча ишга тушган'!$AO:$AO,"&lt;01.10.2023"))</f>
        <v>0</v>
      </c>
      <c r="AP17" s="29">
        <f>(+SUMIFS('Қўшимча ишга тушган'!$AD:$AD,'Қўшимча ишга тушган'!$D:$D,'свод (худуд)'!$B17,'Қўшимча ишга тушган'!$AO:$AO,"&lt;01.10.2023"))</f>
        <v>0</v>
      </c>
      <c r="AQ17" s="30">
        <f>+SUMIFS('Қўшимча ишга тушган'!$AM:$AM,'Қўшимча ишга тушган'!$D:$D,'свод (худуд)'!$B17,'Қўшимча ишга тушган'!$AO:$AO,"&lt;01.10.2023")</f>
        <v>0</v>
      </c>
      <c r="AR17" s="28">
        <f>+COUNTIFS(манзилли!$D:$D,'свод (худуд)'!$B17,манзилли!$AA:$AA,"&lt;01.02.2021",манзилли!$AB:$AB,"")</f>
        <v>0</v>
      </c>
      <c r="AS17" s="29">
        <f>(+SUMIFS(манзилли!$K:$K,манзилли!$D:$D,'свод (худуд)'!$B17,манзилли!$AA:$AA,"&lt;01.02.2021",манзилли!$AB:$AB,""))</f>
        <v>0</v>
      </c>
      <c r="AT17" s="29">
        <f>(+SUMIFS(манзилли!$M:$M,манзилли!$D:$D,'свод (худуд)'!$B17,манзилли!$AA:$AA,"&lt;01.02.2021",манзилли!$AB:$AB,""))</f>
        <v>0</v>
      </c>
      <c r="AU17" s="29">
        <f>(+SUMIFS(манзилли!$Q:$Q,манзилли!$D:$D,'свод (худуд)'!$B17,манзилли!$AA:$AA,"&lt;01.02.2021",манзилли!$AB:$AB,""))</f>
        <v>0</v>
      </c>
      <c r="AV17" s="29">
        <f>(+SUMIFS(манзилли!$S:$S,манзилли!$D:$D,'свод (худуд)'!$B17,манзилли!$AA:$AA,"&lt;01.02.2021",манзилли!$AB:$AB,""))</f>
        <v>0</v>
      </c>
      <c r="AW17" s="29">
        <f>(+SUMIFS(манзилли!$U:$U,манзилли!$D:$D,'свод (худуд)'!$B17,манзилли!$AA:$AA,"&lt;01.02.2021",манзилли!$AB:$AB,""))</f>
        <v>0</v>
      </c>
      <c r="AX17" s="30">
        <f>+SUMIFS(манзилли!$Y:$Y,манзилли!$D:$D,'свод (худуд)'!$B17,манзилли!$AA:$AA,"&lt;01.02.2021",манзилли!$AB:$AB,"")</f>
        <v>0</v>
      </c>
      <c r="AY17" s="28">
        <f>+COUNTIFS(манзилли!$D:$D,'свод (худуд)'!$B17,манзилли!$AA:$AA,"&lt;01.01.2022",манзилли!$AB:$AB,"")</f>
        <v>44</v>
      </c>
      <c r="AZ17" s="29">
        <f>(+SUMIFS(манзилли!$K:$K,манзилли!$D:$D,'свод (худуд)'!$B17,манзилли!$AA:$AA,"&lt;01.01.2022",манзилли!$AB:$AB,""))</f>
        <v>777731</v>
      </c>
      <c r="BA17" s="29">
        <f>(+SUMIFS(манзилли!$M:$M,манзилли!$D:$D,'свод (худуд)'!$B17,манзилли!$AA:$AA,"&lt;01.01.2022",манзилли!$AB:$AB,""))</f>
        <v>195291</v>
      </c>
      <c r="BB17" s="29">
        <f>(+SUMIFS(манзилли!$Q:$Q,манзилли!$D:$D,'свод (худуд)'!$B17,манзилли!$AA:$AA,"&lt;01.01.2022",манзилли!$AB:$AB,""))</f>
        <v>85980</v>
      </c>
      <c r="BC17" s="29">
        <f>(+SUMIFS(манзилли!$S:$S,манзилли!$D:$D,'свод (худуд)'!$B17,манзилли!$AA:$AA,"&lt;01.01.2022",манзилли!$AB:$AB,""))</f>
        <v>40500</v>
      </c>
      <c r="BD17" s="29">
        <f>(+SUMIFS(манзилли!$U:$U,манзилли!$D:$D,'свод (худуд)'!$B17,манзилли!$AA:$AA,"&lt;01.01.2022",манзилли!$AB:$AB,""))</f>
        <v>7700</v>
      </c>
      <c r="BE17" s="30">
        <f>+SUMIFS(манзилли!$Y:$Y,манзилли!$D:$D,'свод (худуд)'!$B17,манзилли!$AA:$AA,"&lt;01.01.2022",манзилли!$AB:$AB,"")</f>
        <v>3369</v>
      </c>
      <c r="BF17" s="28">
        <f>+COUNTIFS(манзилли!$D:$D,'свод (худуд)'!$B17,манзилли!$AA:$AA,"&lt;01.01.2023",манзилли!$AA:$AA,"&gt;=01.01.2022")</f>
        <v>6</v>
      </c>
      <c r="BG17" s="29">
        <f>(+SUMIFS(манзилли!$K:$K,манзилли!$D:$D,'свод (худуд)'!$B17,манзилли!$AA:$AA,"&lt;01.01.2023",манзилли!$AA:$AA,"&gt;=01.01.2022"))</f>
        <v>96537</v>
      </c>
      <c r="BH17" s="29">
        <f>(+SUMIFS(манзилли!$M:$M,манзилли!$D:$D,'свод (худуд)'!$B17,манзилли!$AA:$AA,"&lt;01.01.2023",манзилли!$AA:$AA,"&gt;=01.01.2022"))</f>
        <v>25900</v>
      </c>
      <c r="BI17" s="29">
        <f>(+SUMIFS(манзилли!$Q:$Q,манзилли!$D:$D,'свод (худуд)'!$B17,манзилли!$AA:$AA,"&lt;01.01.2023",манзилли!$AA:$AA,"&gt;=01.01.2022"))</f>
        <v>11000</v>
      </c>
      <c r="BJ17" s="29">
        <f>(+SUMIFS(манзилли!$S:$S,манзилли!$D:$D,'свод (худуд)'!$B17,манзилли!$AA:$AA,"&lt;01.01.2023",манзилли!$AA:$AA,"&gt;=01.01.2022"))</f>
        <v>5790</v>
      </c>
      <c r="BK17" s="29">
        <f>(+SUMIFS(манзилли!$U:$U,манзилли!$D:$D,'свод (худуд)'!$B17,манзилли!$AA:$AA,"&lt;01.01.2023",манзилли!$AA:$AA,"&gt;=01.01.2022"))</f>
        <v>0</v>
      </c>
      <c r="BL17" s="30">
        <f>+SUMIFS(манзилли!$Y:$Y,манзилли!$D:$D,'свод (худуд)'!$B17,манзилли!$AA:$AA,"&lt;01.01.2023",манзилли!$AA:$AA,"&gt;=01.01.2022")</f>
        <v>120</v>
      </c>
    </row>
    <row r="18" spans="1:64" s="3" customFormat="1" ht="35.25" customHeight="1">
      <c r="A18" s="26">
        <f t="shared" si="12"/>
        <v>12</v>
      </c>
      <c r="B18" s="27" t="s">
        <v>326</v>
      </c>
      <c r="C18" s="28">
        <f>+COUNTIFS(манзилли!$D:$D,'свод (худуд)'!$B18)</f>
        <v>46</v>
      </c>
      <c r="D18" s="29">
        <f>(+SUMIFS(манзилли!$K:$K,манзилли!$D:$D,'свод (худуд)'!$B18))</f>
        <v>855336.23157894739</v>
      </c>
      <c r="E18" s="29">
        <f>(+SUMIFS(манзилли!$M:$M,манзилли!$D:$D,'свод (худуд)'!$B18))</f>
        <v>313097.13157894736</v>
      </c>
      <c r="F18" s="29">
        <f>(+SUMIFS(манзилли!$Q:$Q,манзилли!$D:$D,'свод (худуд)'!$B18))</f>
        <v>115850</v>
      </c>
      <c r="G18" s="29">
        <f>(+SUMIFS(манзилли!$S:$S,манзилли!$D:$D,'свод (худуд)'!$B18))</f>
        <v>16397</v>
      </c>
      <c r="H18" s="29">
        <f>(+SUMIFS(манзилли!$U:$U,манзилли!$D:$D,'свод (худуд)'!$B18))</f>
        <v>25000</v>
      </c>
      <c r="I18" s="30">
        <f>+SUMIFS(манзилли!$Y:$Y,манзилли!$D:$D,'свод (худуд)'!$B18)</f>
        <v>1154</v>
      </c>
      <c r="J18" s="28">
        <f>+(COUNTIFS(манзилли!$L:$L,"&gt;0",манзилли!$D:$D,'свод (худуд)'!$B18)+COUNTIFS('Қўшимча ишга тушган'!$T:$T,"&gt;0",'Қўшимча ишга тушган'!$D:$D,'свод (худуд)'!$B18))</f>
        <v>28</v>
      </c>
      <c r="K18" s="29">
        <f>(+SUMIFS(манзилли!$L:$L,манзилли!$D:$D,'свод (худуд)'!$B18)+SUMIFS('Қўшимча ишга тушган'!$T:$T,'Қўшимча ишга тушган'!$D:$D,'свод (худуд)'!$B18))</f>
        <v>255630.24</v>
      </c>
      <c r="L18" s="29">
        <f>+(SUMIFS(манзилли!$N:$N,манзилли!$D:$D,'свод (худуд)'!$B18)+SUMIFS('Қўшимча ишга тушган'!$V:$V,'Қўшимча ишга тушган'!$D:$D,'свод (худуд)'!$B18))</f>
        <v>138392</v>
      </c>
      <c r="M18" s="29">
        <f>(+SUMIFS(манзилли!$R:$R,манзилли!$D:$D,'свод (худуд)'!$B18)+SUMIFS('Қўшимча ишга тушган'!$Z:$Z,'Қўшимча ишга тушган'!$D:$D,'свод (худуд)'!$B18))</f>
        <v>74386</v>
      </c>
      <c r="N18" s="29">
        <f>(+SUMIFS(манзилли!$T:$T,манзилли!$D:$D,'свод (худуд)'!$B18)+SUMIFS('Қўшимча ишга тушган'!$AB:$AB,'Қўшимча ишга тушган'!$D:$D,'свод (худуд)'!$B18))</f>
        <v>4201.2</v>
      </c>
      <c r="O18" s="30">
        <f>(+SUMIFS(манзилли!$V:$V,манзилли!$D:$D,'свод (худуд)'!$B18)+SUMIFS('Қўшимча ишга тушган'!$AD:$AD,'Қўшимча ишга тушган'!$D:$D,'свод (худуд)'!$B18))</f>
        <v>0</v>
      </c>
      <c r="P18" s="31">
        <f>+COUNTIFS(манзилли!$D:$D,'свод (худуд)'!$B18,манзилли!$AA:$AA,"&gt;31.12.2020",манзилли!$AA:$AA,"&lt;01.01.2022")</f>
        <v>34</v>
      </c>
      <c r="Q18" s="29">
        <f>(+SUMIFS(манзилли!$K:$K,манзилли!$D:$D,'свод (худуд)'!$B18,манзилли!$AA:$AA,"&gt;31.12.2020",манзилли!$AA:$AA,"&lt;01.01.2022"))</f>
        <v>715856.23157894739</v>
      </c>
      <c r="R18" s="29">
        <f>(+SUMIFS(манзилли!$M:$M,манзилли!$D:$D,'свод (худуд)'!$B18,манзилли!$AA:$AA,"&gt;31.12.2020",манзилли!$AA:$AA,"&lt;01.01.2022"))</f>
        <v>291727.13157894736</v>
      </c>
      <c r="S18" s="29">
        <f>(+SUMIFS(манзилли!$Q:$Q,манзилли!$D:$D,'свод (худуд)'!$B18,манзилли!$AA:$AA,"&gt;31.12.2020",манзилли!$AA:$AA,"&lt;01.01.2022"))</f>
        <v>97650</v>
      </c>
      <c r="T18" s="29">
        <f>(+SUMIFS(манзилли!$S:$S,манзилли!$D:$D,'свод (худуд)'!$B18,манзилли!$AA:$AA,"&gt;31.12.2020",манзилли!$AA:$AA,"&lt;01.01.2022"))</f>
        <v>15197</v>
      </c>
      <c r="U18" s="29">
        <f>(+SUMIFS(манзилли!$U:$U,манзилли!$D:$D,'свод (худуд)'!$B18,манзилли!$AA:$AA,"&gt;31.12.2020",манзилли!$AA:$AA,"&lt;01.01.2022"))</f>
        <v>16500</v>
      </c>
      <c r="V18" s="30">
        <f>+SUMIFS(манзилли!$Y:$Y,манзилли!$D:$D,'свод (худуд)'!$B18,манзилли!$AA:$AA,"&gt;31.12.2020",манзилли!$AA:$AA,"&lt;01.01.2022")</f>
        <v>978</v>
      </c>
      <c r="W18" s="28">
        <f t="shared" si="11"/>
        <v>2</v>
      </c>
      <c r="X18" s="29">
        <f t="shared" si="5"/>
        <v>14060</v>
      </c>
      <c r="Y18" s="29">
        <f t="shared" si="6"/>
        <v>6000</v>
      </c>
      <c r="Z18" s="29">
        <f t="shared" si="7"/>
        <v>8060</v>
      </c>
      <c r="AA18" s="29">
        <f t="shared" si="8"/>
        <v>0</v>
      </c>
      <c r="AB18" s="29">
        <f t="shared" si="9"/>
        <v>0</v>
      </c>
      <c r="AC18" s="30">
        <f t="shared" si="10"/>
        <v>40</v>
      </c>
      <c r="AD18" s="28">
        <f>+COUNTIFS(манзилли!$D:$D,'свод (худуд)'!$B18,манзилли!$AB:$AB,"&gt;31.12.2020",манзилли!$AA:$AA,"&gt;31.12.2020",манзилли!$AA:$AA,"&lt;01.01.2023")</f>
        <v>2</v>
      </c>
      <c r="AE18" s="29">
        <f>(+SUMIFS(манзилли!$L:$L,манзилли!$D:$D,'свод (худуд)'!$B18,манзилли!$AB:$AB,"&gt;31.12.2020",манзилли!$AA:$AA,"&gt;31.12.2020",манзилли!$AA:$AA,"&lt;01.01.2023"))</f>
        <v>14060</v>
      </c>
      <c r="AF18" s="29">
        <f>(+SUMIFS(манзилли!$N:$N,манзилли!$D:$D,'свод (худуд)'!$B18,манзилли!$AB:$AB,"&gt;31.12.2020",манзилли!$AA:$AA,"&gt;31.12.2020",манзилли!$AA:$AA,"&lt;01.01.2023"))</f>
        <v>6000</v>
      </c>
      <c r="AG18" s="29">
        <f>(+SUMIFS(манзилли!$R:$R,манзилли!$D:$D,'свод (худуд)'!$B18,манзилли!$AB:$AB,"&gt;31.12.2020",манзилли!$AA:$AA,"&gt;31.12.2020",манзилли!$AA:$AA,"&lt;01.01.2023"))</f>
        <v>8060</v>
      </c>
      <c r="AH18" s="29">
        <f>(+SUMIFS(манзилли!$T:$T,манзилли!$D:$D,'свод (худуд)'!$B18,манзилли!$AB:$AB,"&gt;31.12.2020",манзилли!$AA:$AA,"&gt;31.12.2020",манзилли!$AA:$AA,"&lt;01.01.2023"))</f>
        <v>0</v>
      </c>
      <c r="AI18" s="29">
        <f>(+SUMIFS(манзилли!$V:$V,манзилли!$D:$D,'свод (худуд)'!$B18,манзилли!$AB:$AB,"&gt;31.12.2020",манзилли!$AA:$AA,"&gt;31.12.2020",манзилли!$AA:$AA,"&lt;01.01.2023"))</f>
        <v>0</v>
      </c>
      <c r="AJ18" s="30">
        <f>+SUMIFS(манзилли!$Z:$Z,манзилли!$D:$D,'свод (худуд)'!$B18,манзилли!$AB:$AB,"&gt;31.12.2020",манзилли!$AA:$AA,"&gt;31.12.2020",манзилли!$AA:$AA,"&lt;01.01.2023")</f>
        <v>40</v>
      </c>
      <c r="AK18" s="28">
        <f>+COUNTIFS('Қўшимча ишга тушган'!$D:$D,'свод (худуд)'!B18,'Қўшимча ишга тушган'!$AO:$AO,"&lt;01.10.2023")</f>
        <v>0</v>
      </c>
      <c r="AL18" s="29">
        <f>(+SUMIFS('Қўшимча ишга тушган'!$T:$T,'Қўшимча ишга тушган'!$D:$D,'свод (худуд)'!$B18,'Қўшимча ишга тушган'!$AO:$AO,"&lt;01.10.2023"))</f>
        <v>0</v>
      </c>
      <c r="AM18" s="29">
        <f>(+SUMIFS('Қўшимча ишга тушган'!$V:$V,'Қўшимча ишга тушган'!$D:$D,'свод (худуд)'!$B18,'Қўшимча ишга тушган'!$AO:$AO,"&lt;01.10.2023"))</f>
        <v>0</v>
      </c>
      <c r="AN18" s="29">
        <f>(+SUMIFS('Қўшимча ишга тушган'!$Z:$Z,'Қўшимча ишга тушган'!$D:$D,'свод (худуд)'!$B18,'Қўшимча ишга тушган'!$AO:$AO,"&lt;01.10.2023"))</f>
        <v>0</v>
      </c>
      <c r="AO18" s="29">
        <f>(+SUMIFS('Қўшимча ишга тушган'!$AB:$AB,'Қўшимча ишга тушган'!$D:$D,'свод (худуд)'!$B18,'Қўшимча ишга тушган'!$AO:$AO,"&lt;01.10.2023"))</f>
        <v>0</v>
      </c>
      <c r="AP18" s="29">
        <f>(+SUMIFS('Қўшимча ишга тушган'!$AD:$AD,'Қўшимча ишга тушган'!$D:$D,'свод (худуд)'!$B18,'Қўшимча ишга тушган'!$AO:$AO,"&lt;01.10.2023"))</f>
        <v>0</v>
      </c>
      <c r="AQ18" s="30">
        <f>+SUMIFS('Қўшимча ишга тушган'!$AM:$AM,'Қўшимча ишга тушган'!$D:$D,'свод (худуд)'!$B18,'Қўшимча ишга тушган'!$AO:$AO,"&lt;01.10.2023")</f>
        <v>0</v>
      </c>
      <c r="AR18" s="28">
        <f>+COUNTIFS(манзилли!$D:$D,'свод (худуд)'!$B18,манзилли!$AA:$AA,"&lt;01.02.2021",манзилли!$AB:$AB,"")</f>
        <v>0</v>
      </c>
      <c r="AS18" s="29">
        <f>(+SUMIFS(манзилли!$K:$K,манзилли!$D:$D,'свод (худуд)'!$B18,манзилли!$AA:$AA,"&lt;01.02.2021",манзилли!$AB:$AB,""))</f>
        <v>0</v>
      </c>
      <c r="AT18" s="29">
        <f>(+SUMIFS(манзилли!$M:$M,манзилли!$D:$D,'свод (худуд)'!$B18,манзилли!$AA:$AA,"&lt;01.02.2021",манзилли!$AB:$AB,""))</f>
        <v>0</v>
      </c>
      <c r="AU18" s="29">
        <f>(+SUMIFS(манзилли!$Q:$Q,манзилли!$D:$D,'свод (худуд)'!$B18,манзилли!$AA:$AA,"&lt;01.02.2021",манзилли!$AB:$AB,""))</f>
        <v>0</v>
      </c>
      <c r="AV18" s="29">
        <f>(+SUMIFS(манзилли!$S:$S,манзилли!$D:$D,'свод (худуд)'!$B18,манзилли!$AA:$AA,"&lt;01.02.2021",манзилли!$AB:$AB,""))</f>
        <v>0</v>
      </c>
      <c r="AW18" s="29">
        <f>(+SUMIFS(манзилли!$U:$U,манзилли!$D:$D,'свод (худуд)'!$B18,манзилли!$AA:$AA,"&lt;01.02.2021",манзилли!$AB:$AB,""))</f>
        <v>0</v>
      </c>
      <c r="AX18" s="30">
        <f>+SUMIFS(манзилли!$Y:$Y,манзилли!$D:$D,'свод (худуд)'!$B18,манзилли!$AA:$AA,"&lt;01.02.2021",манзилли!$AB:$AB,"")</f>
        <v>0</v>
      </c>
      <c r="AY18" s="28">
        <f>+COUNTIFS(манзилли!$D:$D,'свод (худуд)'!$B18,манзилли!$AA:$AA,"&lt;01.01.2022",манзилли!$AB:$AB,"")</f>
        <v>27</v>
      </c>
      <c r="AZ18" s="29">
        <f>(+SUMIFS(манзилли!$K:$K,манзилли!$D:$D,'свод (худуд)'!$B18,манзилли!$AA:$AA,"&lt;01.01.2022",манзилли!$AB:$AB,""))</f>
        <v>556984.23157894739</v>
      </c>
      <c r="BA18" s="29">
        <f>(+SUMIFS(манзилли!$M:$M,манзилли!$D:$D,'свод (худуд)'!$B18,манзилли!$AA:$AA,"&lt;01.01.2022",манзилли!$AB:$AB,""))</f>
        <v>161555.13157894736</v>
      </c>
      <c r="BB18" s="29">
        <f>(+SUMIFS(манзилли!$Q:$Q,манзилли!$D:$D,'свод (худуд)'!$B18,манзилли!$AA:$AA,"&lt;01.01.2022",манзилли!$AB:$AB,""))</f>
        <v>68950</v>
      </c>
      <c r="BC18" s="29">
        <f>(+SUMIFS(манзилли!$S:$S,манзилли!$D:$D,'свод (худуд)'!$B18,манзилли!$AA:$AA,"&lt;01.01.2022",манзилли!$AB:$AB,""))</f>
        <v>15197</v>
      </c>
      <c r="BD18" s="29">
        <f>(+SUMIFS(манзилли!$U:$U,манзилли!$D:$D,'свод (худуд)'!$B18,манзилли!$AA:$AA,"&lt;01.01.2022",манзилли!$AB:$AB,""))</f>
        <v>16500</v>
      </c>
      <c r="BE18" s="30">
        <f>+SUMIFS(манзилли!$Y:$Y,манзилли!$D:$D,'свод (худуд)'!$B18,манзилли!$AA:$AA,"&lt;01.01.2022",манзилли!$AB:$AB,"")</f>
        <v>734</v>
      </c>
      <c r="BF18" s="28">
        <f>+COUNTIFS(манзилли!$D:$D,'свод (худуд)'!$B18,манзилли!$AA:$AA,"&lt;01.01.2023",манзилли!$AA:$AA,"&gt;=01.01.2022")</f>
        <v>7</v>
      </c>
      <c r="BG18" s="29">
        <f>(+SUMIFS(манзилли!$K:$K,манзилли!$D:$D,'свод (худуд)'!$B18,манзилли!$AA:$AA,"&lt;01.01.2023",манзилли!$AA:$AA,"&gt;=01.01.2022"))</f>
        <v>134960</v>
      </c>
      <c r="BH18" s="29">
        <f>(+SUMIFS(манзилли!$M:$M,манзилли!$D:$D,'свод (худуд)'!$B18,манзилли!$AA:$AA,"&lt;01.01.2023",манзилли!$AA:$AA,"&gt;=01.01.2022"))</f>
        <v>19900</v>
      </c>
      <c r="BI18" s="29">
        <f>(+SUMIFS(манзилли!$Q:$Q,манзилли!$D:$D,'свод (худуд)'!$B18,манзилли!$AA:$AA,"&lt;01.01.2023",манзилли!$AA:$AA,"&gt;=01.01.2022"))</f>
        <v>15150</v>
      </c>
      <c r="BJ18" s="29">
        <f>(+SUMIFS(манзилли!$S:$S,манзилли!$D:$D,'свод (худуд)'!$B18,манзилли!$AA:$AA,"&lt;01.01.2023",манзилли!$AA:$AA,"&gt;=01.01.2022"))</f>
        <v>1200</v>
      </c>
      <c r="BK18" s="29">
        <f>(+SUMIFS(манзилли!$U:$U,манзилли!$D:$D,'свод (худуд)'!$B18,манзилли!$AA:$AA,"&lt;01.01.2023",манзилли!$AA:$AA,"&gt;=01.01.2022"))</f>
        <v>8500</v>
      </c>
      <c r="BL18" s="30">
        <f>+SUMIFS(манзилли!$Y:$Y,манзилли!$D:$D,'свод (худуд)'!$B18,манзилли!$AA:$AA,"&lt;01.01.2023",манзилли!$AA:$AA,"&gt;=01.01.2022")</f>
        <v>155</v>
      </c>
    </row>
    <row r="19" spans="1:64" s="3" customFormat="1" ht="35.25" customHeight="1">
      <c r="A19" s="26">
        <f t="shared" si="12"/>
        <v>13</v>
      </c>
      <c r="B19" s="27" t="s">
        <v>360</v>
      </c>
      <c r="C19" s="28">
        <f>+COUNTIFS(манзилли!$D:$D,'свод (худуд)'!$B19)</f>
        <v>51</v>
      </c>
      <c r="D19" s="29">
        <f>(+SUMIFS(манзилли!$K:$K,манзилли!$D:$D,'свод (худуд)'!$B19))</f>
        <v>296513.59999999998</v>
      </c>
      <c r="E19" s="29">
        <f>(+SUMIFS(манзилли!$M:$M,манзилли!$D:$D,'свод (худуд)'!$B19))</f>
        <v>130077</v>
      </c>
      <c r="F19" s="29">
        <f>(+SUMIFS(манзилли!$Q:$Q,манзилли!$D:$D,'свод (худуд)'!$B19))</f>
        <v>74540</v>
      </c>
      <c r="G19" s="29">
        <f>(+SUMIFS(манзилли!$S:$S,манзилли!$D:$D,'свод (худуд)'!$B19))</f>
        <v>5622</v>
      </c>
      <c r="H19" s="29">
        <f>(+SUMIFS(манзилли!$U:$U,манзилли!$D:$D,'свод (худуд)'!$B19))</f>
        <v>3300</v>
      </c>
      <c r="I19" s="30">
        <f>+SUMIFS(манзилли!$Y:$Y,манзилли!$D:$D,'свод (худуд)'!$B19)</f>
        <v>885</v>
      </c>
      <c r="J19" s="28">
        <f>+(COUNTIFS(манзилли!$L:$L,"&gt;0",манзилли!$D:$D,'свод (худуд)'!$B19)+COUNTIFS('Қўшимча ишга тушган'!$T:$T,"&gt;0",'Қўшимча ишга тушган'!$D:$D,'свод (худуд)'!$B19))</f>
        <v>29</v>
      </c>
      <c r="K19" s="29">
        <f>(+SUMIFS(манзилли!$L:$L,манзилли!$D:$D,'свод (худуд)'!$B19)+SUMIFS('Қўшимча ишга тушган'!$T:$T,'Қўшимча ишга тушган'!$D:$D,'свод (худуд)'!$B19))</f>
        <v>46783</v>
      </c>
      <c r="L19" s="29">
        <f>+(SUMIFS(манзилли!$N:$N,манзилли!$D:$D,'свод (худуд)'!$B19)+SUMIFS('Қўшимча ишга тушган'!$V:$V,'Қўшимча ишга тушган'!$D:$D,'свод (худуд)'!$B19))</f>
        <v>8328</v>
      </c>
      <c r="M19" s="29">
        <f>(+SUMIFS(манзилли!$R:$R,манзилли!$D:$D,'свод (худуд)'!$B19)+SUMIFS('Қўшимча ишга тушган'!$Z:$Z,'Қўшимча ишга тушган'!$D:$D,'свод (худуд)'!$B19))</f>
        <v>31213</v>
      </c>
      <c r="N19" s="29">
        <f>(+SUMIFS(манзилли!$T:$T,манзилли!$D:$D,'свод (худуд)'!$B19)+SUMIFS('Қўшимча ишга тушган'!$AB:$AB,'Қўшимча ишга тушган'!$D:$D,'свод (худуд)'!$B19))</f>
        <v>710</v>
      </c>
      <c r="O19" s="30">
        <f>(+SUMIFS(манзилли!$V:$V,манзилли!$D:$D,'свод (худуд)'!$B19)+SUMIFS('Қўшимча ишга тушган'!$AD:$AD,'Қўшимча ишга тушган'!$D:$D,'свод (худуд)'!$B19))</f>
        <v>0</v>
      </c>
      <c r="P19" s="31">
        <f>+COUNTIFS(манзилли!$D:$D,'свод (худуд)'!$B19,манзилли!$AA:$AA,"&gt;31.12.2020",манзилли!$AA:$AA,"&lt;01.01.2022")</f>
        <v>37</v>
      </c>
      <c r="Q19" s="29">
        <f>(+SUMIFS(манзилли!$K:$K,манзилли!$D:$D,'свод (худуд)'!$B19,манзилли!$AA:$AA,"&gt;31.12.2020",манзилли!$AA:$AA,"&lt;01.01.2022"))</f>
        <v>200808.6</v>
      </c>
      <c r="R19" s="29">
        <f>(+SUMIFS(манзилли!$M:$M,манзилли!$D:$D,'свод (худуд)'!$B19,манзилли!$AA:$AA,"&gt;31.12.2020",манзилли!$AA:$AA,"&lt;01.01.2022"))</f>
        <v>84437</v>
      </c>
      <c r="S19" s="29">
        <f>(+SUMIFS(манзилли!$Q:$Q,манзилли!$D:$D,'свод (худуд)'!$B19,манзилли!$AA:$AA,"&gt;31.12.2020",манзилли!$AA:$AA,"&lt;01.01.2022"))</f>
        <v>52800</v>
      </c>
      <c r="T19" s="29">
        <f>(+SUMIFS(манзилли!$S:$S,манзилли!$D:$D,'свод (худуд)'!$B19,манзилли!$AA:$AA,"&gt;31.12.2020",манзилли!$AA:$AA,"&lt;01.01.2022"))</f>
        <v>2872</v>
      </c>
      <c r="U19" s="29">
        <f>(+SUMIFS(манзилли!$U:$U,манзилли!$D:$D,'свод (худуд)'!$B19,манзилли!$AA:$AA,"&gt;31.12.2020",манзилли!$AA:$AA,"&lt;01.01.2022"))</f>
        <v>3300</v>
      </c>
      <c r="V19" s="30">
        <f>+SUMIFS(манзилли!$Y:$Y,манзилли!$D:$D,'свод (худуд)'!$B19,манзилли!$AA:$AA,"&gt;31.12.2020",манзилли!$AA:$AA,"&lt;01.01.2022")</f>
        <v>527</v>
      </c>
      <c r="W19" s="28">
        <f t="shared" si="11"/>
        <v>1</v>
      </c>
      <c r="X19" s="29">
        <f t="shared" si="5"/>
        <v>1200</v>
      </c>
      <c r="Y19" s="29">
        <f t="shared" si="6"/>
        <v>800</v>
      </c>
      <c r="Z19" s="29">
        <f t="shared" si="7"/>
        <v>400</v>
      </c>
      <c r="AA19" s="29">
        <f t="shared" si="8"/>
        <v>0</v>
      </c>
      <c r="AB19" s="29">
        <f t="shared" si="9"/>
        <v>0</v>
      </c>
      <c r="AC19" s="30">
        <f t="shared" si="10"/>
        <v>5</v>
      </c>
      <c r="AD19" s="28">
        <f>+COUNTIFS(манзилли!$D:$D,'свод (худуд)'!$B19,манзилли!$AB:$AB,"&gt;31.12.2020",манзилли!$AA:$AA,"&gt;31.12.2020",манзилли!$AA:$AA,"&lt;01.01.2023")</f>
        <v>1</v>
      </c>
      <c r="AE19" s="29">
        <f>(+SUMIFS(манзилли!$L:$L,манзилли!$D:$D,'свод (худуд)'!$B19,манзилли!$AB:$AB,"&gt;31.12.2020",манзилли!$AA:$AA,"&gt;31.12.2020",манзилли!$AA:$AA,"&lt;01.01.2023"))</f>
        <v>1200</v>
      </c>
      <c r="AF19" s="29">
        <f>(+SUMIFS(манзилли!$N:$N,манзилли!$D:$D,'свод (худуд)'!$B19,манзилли!$AB:$AB,"&gt;31.12.2020",манзилли!$AA:$AA,"&gt;31.12.2020",манзилли!$AA:$AA,"&lt;01.01.2023"))</f>
        <v>800</v>
      </c>
      <c r="AG19" s="29">
        <f>(+SUMIFS(манзилли!$R:$R,манзилли!$D:$D,'свод (худуд)'!$B19,манзилли!$AB:$AB,"&gt;31.12.2020",манзилли!$AA:$AA,"&gt;31.12.2020",манзилли!$AA:$AA,"&lt;01.01.2023"))</f>
        <v>400</v>
      </c>
      <c r="AH19" s="29">
        <f>(+SUMIFS(манзилли!$T:$T,манзилли!$D:$D,'свод (худуд)'!$B19,манзилли!$AB:$AB,"&gt;31.12.2020",манзилли!$AA:$AA,"&gt;31.12.2020",манзилли!$AA:$AA,"&lt;01.01.2023"))</f>
        <v>0</v>
      </c>
      <c r="AI19" s="29">
        <f>(+SUMIFS(манзилли!$V:$V,манзилли!$D:$D,'свод (худуд)'!$B19,манзилли!$AB:$AB,"&gt;31.12.2020",манзилли!$AA:$AA,"&gt;31.12.2020",манзилли!$AA:$AA,"&lt;01.01.2023"))</f>
        <v>0</v>
      </c>
      <c r="AJ19" s="30">
        <f>+SUMIFS(манзилли!$Z:$Z,манзилли!$D:$D,'свод (худуд)'!$B19,манзилли!$AB:$AB,"&gt;31.12.2020",манзилли!$AA:$AA,"&gt;31.12.2020",манзилли!$AA:$AA,"&lt;01.01.2023")</f>
        <v>5</v>
      </c>
      <c r="AK19" s="28">
        <f>+COUNTIFS('Қўшимча ишга тушган'!$D:$D,'свод (худуд)'!B19,'Қўшимча ишга тушган'!$AO:$AO,"&lt;01.10.2023")</f>
        <v>0</v>
      </c>
      <c r="AL19" s="29">
        <f>(+SUMIFS('Қўшимча ишга тушган'!$T:$T,'Қўшимча ишга тушган'!$D:$D,'свод (худуд)'!$B19,'Қўшимча ишга тушган'!$AO:$AO,"&lt;01.10.2023"))</f>
        <v>0</v>
      </c>
      <c r="AM19" s="29">
        <f>(+SUMIFS('Қўшимча ишга тушган'!$V:$V,'Қўшимча ишга тушган'!$D:$D,'свод (худуд)'!$B19,'Қўшимча ишга тушган'!$AO:$AO,"&lt;01.10.2023"))</f>
        <v>0</v>
      </c>
      <c r="AN19" s="29">
        <f>(+SUMIFS('Қўшимча ишга тушган'!$Z:$Z,'Қўшимча ишга тушган'!$D:$D,'свод (худуд)'!$B19,'Қўшимча ишга тушган'!$AO:$AO,"&lt;01.10.2023"))</f>
        <v>0</v>
      </c>
      <c r="AO19" s="29">
        <f>(+SUMIFS('Қўшимча ишга тушган'!$AB:$AB,'Қўшимча ишга тушган'!$D:$D,'свод (худуд)'!$B19,'Қўшимча ишга тушган'!$AO:$AO,"&lt;01.10.2023"))</f>
        <v>0</v>
      </c>
      <c r="AP19" s="29">
        <f>(+SUMIFS('Қўшимча ишга тушган'!$AD:$AD,'Қўшимча ишга тушган'!$D:$D,'свод (худуд)'!$B19,'Қўшимча ишга тушган'!$AO:$AO,"&lt;01.10.2023"))</f>
        <v>0</v>
      </c>
      <c r="AQ19" s="30">
        <f>+SUMIFS('Қўшимча ишга тушган'!$AM:$AM,'Қўшимча ишга тушган'!$D:$D,'свод (худуд)'!$B19,'Қўшимча ишга тушган'!$AO:$AO,"&lt;01.10.2023")</f>
        <v>0</v>
      </c>
      <c r="AR19" s="28">
        <f>+COUNTIFS(манзилли!$D:$D,'свод (худуд)'!$B19,манзилли!$AA:$AA,"&lt;01.02.2021",манзилли!$AB:$AB,"")</f>
        <v>0</v>
      </c>
      <c r="AS19" s="29">
        <f>(+SUMIFS(манзилли!$K:$K,манзилли!$D:$D,'свод (худуд)'!$B19,манзилли!$AA:$AA,"&lt;01.02.2021",манзилли!$AB:$AB,""))</f>
        <v>0</v>
      </c>
      <c r="AT19" s="29">
        <f>(+SUMIFS(манзилли!$M:$M,манзилли!$D:$D,'свод (худуд)'!$B19,манзилли!$AA:$AA,"&lt;01.02.2021",манзилли!$AB:$AB,""))</f>
        <v>0</v>
      </c>
      <c r="AU19" s="29">
        <f>(+SUMIFS(манзилли!$Q:$Q,манзилли!$D:$D,'свод (худуд)'!$B19,манзилли!$AA:$AA,"&lt;01.02.2021",манзилли!$AB:$AB,""))</f>
        <v>0</v>
      </c>
      <c r="AV19" s="29">
        <f>(+SUMIFS(манзилли!$S:$S,манзилли!$D:$D,'свод (худуд)'!$B19,манзилли!$AA:$AA,"&lt;01.02.2021",манзилли!$AB:$AB,""))</f>
        <v>0</v>
      </c>
      <c r="AW19" s="29">
        <f>(+SUMIFS(манзилли!$U:$U,манзилли!$D:$D,'свод (худуд)'!$B19,манзилли!$AA:$AA,"&lt;01.02.2021",манзилли!$AB:$AB,""))</f>
        <v>0</v>
      </c>
      <c r="AX19" s="30">
        <f>+SUMIFS(манзилли!$Y:$Y,манзилли!$D:$D,'свод (худуд)'!$B19,манзилли!$AA:$AA,"&lt;01.02.2021",манзилли!$AB:$AB,"")</f>
        <v>0</v>
      </c>
      <c r="AY19" s="28">
        <f>+COUNTIFS(манзилли!$D:$D,'свод (худуд)'!$B19,манзилли!$AA:$AA,"&lt;01.01.2022",манзилли!$AB:$AB,"")</f>
        <v>31</v>
      </c>
      <c r="AZ19" s="29">
        <f>(+SUMIFS(манзилли!$K:$K,манзилли!$D:$D,'свод (худуд)'!$B19,манзилли!$AA:$AA,"&lt;01.01.2022",манзилли!$AB:$AB,""))</f>
        <v>189358.6</v>
      </c>
      <c r="BA19" s="29">
        <f>(+SUMIFS(манзилли!$M:$M,манзилли!$D:$D,'свод (худуд)'!$B19,манзилли!$AA:$AA,"&lt;01.01.2022",манзилли!$AB:$AB,""))</f>
        <v>81687</v>
      </c>
      <c r="BB19" s="29">
        <f>(+SUMIFS(манзилли!$Q:$Q,манзилли!$D:$D,'свод (худуд)'!$B19,манзилли!$AA:$AA,"&lt;01.01.2022",манзилли!$AB:$AB,""))</f>
        <v>44100</v>
      </c>
      <c r="BC19" s="29">
        <f>(+SUMIFS(манзилли!$S:$S,манзилли!$D:$D,'свод (худуд)'!$B19,манзилли!$AA:$AA,"&lt;01.01.2022",манзилли!$AB:$AB,""))</f>
        <v>2872</v>
      </c>
      <c r="BD19" s="29">
        <f>(+SUMIFS(манзилли!$U:$U,манзилли!$D:$D,'свод (худуд)'!$B19,манзилли!$AA:$AA,"&lt;01.01.2022",манзилли!$AB:$AB,""))</f>
        <v>3300</v>
      </c>
      <c r="BE19" s="30">
        <f>+SUMIFS(манзилли!$Y:$Y,манзилли!$D:$D,'свод (худуд)'!$B19,манзилли!$AA:$AA,"&lt;01.01.2022",манзилли!$AB:$AB,"")</f>
        <v>474</v>
      </c>
      <c r="BF19" s="28">
        <f>+COUNTIFS(манзилли!$D:$D,'свод (худуд)'!$B19,манзилли!$AA:$AA,"&lt;01.01.2023",манзилли!$AA:$AA,"&gt;=01.01.2022")</f>
        <v>7</v>
      </c>
      <c r="BG19" s="29">
        <f>(+SUMIFS(манзилли!$K:$K,манзилли!$D:$D,'свод (худуд)'!$B19,манзилли!$AA:$AA,"&lt;01.01.2023",манзилли!$AA:$AA,"&gt;=01.01.2022"))</f>
        <v>85525</v>
      </c>
      <c r="BH19" s="29">
        <f>(+SUMIFS(манзилли!$M:$M,манзилли!$D:$D,'свод (худуд)'!$B19,манзилли!$AA:$AA,"&lt;01.01.2023",манзилли!$AA:$AA,"&gt;=01.01.2022"))</f>
        <v>40400</v>
      </c>
      <c r="BI19" s="29">
        <f>(+SUMIFS(манзилли!$Q:$Q,манзилли!$D:$D,'свод (худуд)'!$B19,манзилли!$AA:$AA,"&lt;01.01.2023",манзилли!$AA:$AA,"&gt;=01.01.2022"))</f>
        <v>16800</v>
      </c>
      <c r="BJ19" s="29">
        <f>(+SUMIFS(манзилли!$S:$S,манзилли!$D:$D,'свод (худуд)'!$B19,манзилли!$AA:$AA,"&lt;01.01.2023",манзилли!$AA:$AA,"&gt;=01.01.2022"))</f>
        <v>2750</v>
      </c>
      <c r="BK19" s="29">
        <f>(+SUMIFS(манзилли!$U:$U,манзилли!$D:$D,'свод (худуд)'!$B19,манзилли!$AA:$AA,"&lt;01.01.2023",манзилли!$AA:$AA,"&gt;=01.01.2022"))</f>
        <v>0</v>
      </c>
      <c r="BL19" s="30">
        <f>+SUMIFS(манзилли!$Y:$Y,манзилли!$D:$D,'свод (худуд)'!$B19,манзилли!$AA:$AA,"&lt;01.01.2023",манзилли!$AA:$AA,"&gt;=01.01.2022")</f>
        <v>319</v>
      </c>
    </row>
    <row r="20" spans="1:64" s="3" customFormat="1" ht="35.25" customHeight="1">
      <c r="A20" s="26">
        <f t="shared" si="12"/>
        <v>14</v>
      </c>
      <c r="B20" s="27" t="s">
        <v>381</v>
      </c>
      <c r="C20" s="28">
        <f>+COUNTIFS(манзилли!$D:$D,'свод (худуд)'!$B20)</f>
        <v>38</v>
      </c>
      <c r="D20" s="29">
        <f>(+SUMIFS(манзилли!$K:$K,манзилли!$D:$D,'свод (худуд)'!$B20))</f>
        <v>159438</v>
      </c>
      <c r="E20" s="29">
        <f>(+SUMIFS(манзилли!$M:$M,манзилли!$D:$D,'свод (худуд)'!$B20))</f>
        <v>72760</v>
      </c>
      <c r="F20" s="29">
        <f>(+SUMIFS(манзилли!$Q:$Q,манзилли!$D:$D,'свод (худуд)'!$B20))</f>
        <v>22818</v>
      </c>
      <c r="G20" s="29">
        <f>(+SUMIFS(манзилли!$S:$S,манзилли!$D:$D,'свод (худуд)'!$B20))</f>
        <v>5700</v>
      </c>
      <c r="H20" s="29">
        <f>(+SUMIFS(манзилли!$U:$U,манзилли!$D:$D,'свод (худуд)'!$B20))</f>
        <v>500</v>
      </c>
      <c r="I20" s="30">
        <f>+SUMIFS(манзилли!$Y:$Y,манзилли!$D:$D,'свод (худуд)'!$B20)</f>
        <v>427</v>
      </c>
      <c r="J20" s="28">
        <f>+(COUNTIFS(манзилли!$L:$L,"&gt;0",манзилли!$D:$D,'свод (худуд)'!$B20)+COUNTIFS('Қўшимча ишга тушган'!$T:$T,"&gt;0",'Қўшимча ишга тушган'!$D:$D,'свод (худуд)'!$B20))</f>
        <v>26</v>
      </c>
      <c r="K20" s="29">
        <f>(+SUMIFS(манзилли!$L:$L,манзилли!$D:$D,'свод (худуд)'!$B20)+SUMIFS('Қўшимча ишга тушган'!$T:$T,'Қўшимча ишга тушган'!$D:$D,'свод (худуд)'!$B20))</f>
        <v>69950.600000000006</v>
      </c>
      <c r="L20" s="29">
        <f>+(SUMIFS(манзилли!$N:$N,манзилли!$D:$D,'свод (худуд)'!$B20)+SUMIFS('Қўшимча ишга тушган'!$V:$V,'Қўшимча ишга тушган'!$D:$D,'свод (худуд)'!$B20))</f>
        <v>5575</v>
      </c>
      <c r="M20" s="29">
        <f>(+SUMIFS(манзилли!$R:$R,манзилли!$D:$D,'свод (худуд)'!$B20)+SUMIFS('Қўшимча ишга тушган'!$Z:$Z,'Қўшимча ишга тушган'!$D:$D,'свод (худуд)'!$B20))</f>
        <v>14008</v>
      </c>
      <c r="N20" s="29">
        <f>(+SUMIFS(манзилли!$T:$T,манзилли!$D:$D,'свод (худуд)'!$B20)+SUMIFS('Қўшимча ишга тушган'!$AB:$AB,'Қўшимча ишга тушган'!$D:$D,'свод (худуд)'!$B20))</f>
        <v>4938</v>
      </c>
      <c r="O20" s="30">
        <f>(+SUMIFS(манзилли!$V:$V,манзилли!$D:$D,'свод (худуд)'!$B20)+SUMIFS('Қўшимча ишга тушган'!$AD:$AD,'Қўшимча ишга тушган'!$D:$D,'свод (худуд)'!$B20))</f>
        <v>0</v>
      </c>
      <c r="P20" s="31">
        <f>+COUNTIFS(манзилли!$D:$D,'свод (худуд)'!$B20,манзилли!$AA:$AA,"&gt;31.12.2020",манзилли!$AA:$AA,"&lt;01.01.2022")</f>
        <v>35</v>
      </c>
      <c r="Q20" s="29">
        <f>(+SUMIFS(манзилли!$K:$K,манзилли!$D:$D,'свод (худуд)'!$B20,манзилли!$AA:$AA,"&gt;31.12.2020",манзилли!$AA:$AA,"&lt;01.01.2022"))</f>
        <v>150538</v>
      </c>
      <c r="R20" s="29">
        <f>(+SUMIFS(манзилли!$M:$M,манзилли!$D:$D,'свод (худуд)'!$B20,манзилли!$AA:$AA,"&gt;31.12.2020",манзилли!$AA:$AA,"&lt;01.01.2022"))</f>
        <v>69460</v>
      </c>
      <c r="S20" s="29">
        <f>(+SUMIFS(манзилли!$Q:$Q,манзилли!$D:$D,'свод (худуд)'!$B20,манзилли!$AA:$AA,"&gt;31.12.2020",манзилли!$AA:$AA,"&lt;01.01.2022"))</f>
        <v>17218</v>
      </c>
      <c r="T20" s="29">
        <f>(+SUMIFS(манзилли!$S:$S,манзилли!$D:$D,'свод (худуд)'!$B20,манзилли!$AA:$AA,"&gt;31.12.2020",манзилли!$AA:$AA,"&lt;01.01.2022"))</f>
        <v>5700</v>
      </c>
      <c r="U20" s="29">
        <f>(+SUMIFS(манзилли!$U:$U,манзилли!$D:$D,'свод (худуд)'!$B20,манзилли!$AA:$AA,"&gt;31.12.2020",манзилли!$AA:$AA,"&lt;01.01.2022"))</f>
        <v>500</v>
      </c>
      <c r="V20" s="30">
        <f>+SUMIFS(манзилли!$Y:$Y,манзилли!$D:$D,'свод (худуд)'!$B20,манзилли!$AA:$AA,"&gt;31.12.2020",манзилли!$AA:$AA,"&lt;01.01.2022")</f>
        <v>342</v>
      </c>
      <c r="W20" s="28">
        <f t="shared" si="11"/>
        <v>1</v>
      </c>
      <c r="X20" s="29">
        <f t="shared" si="5"/>
        <v>700</v>
      </c>
      <c r="Y20" s="29">
        <f t="shared" si="6"/>
        <v>200</v>
      </c>
      <c r="Z20" s="29">
        <f t="shared" si="7"/>
        <v>500</v>
      </c>
      <c r="AA20" s="29">
        <f t="shared" si="8"/>
        <v>0</v>
      </c>
      <c r="AB20" s="29">
        <f t="shared" si="9"/>
        <v>0</v>
      </c>
      <c r="AC20" s="30">
        <f t="shared" si="10"/>
        <v>8</v>
      </c>
      <c r="AD20" s="28">
        <f>+COUNTIFS(манзилли!$D:$D,'свод (худуд)'!$B20,манзилли!$AB:$AB,"&gt;31.12.2020",манзилли!$AA:$AA,"&gt;31.12.2020",манзилли!$AA:$AA,"&lt;01.01.2023")</f>
        <v>1</v>
      </c>
      <c r="AE20" s="29">
        <f>(+SUMIFS(манзилли!$L:$L,манзилли!$D:$D,'свод (худуд)'!$B20,манзилли!$AB:$AB,"&gt;31.12.2020",манзилли!$AA:$AA,"&gt;31.12.2020",манзилли!$AA:$AA,"&lt;01.01.2023"))</f>
        <v>700</v>
      </c>
      <c r="AF20" s="29">
        <f>(+SUMIFS(манзилли!$N:$N,манзилли!$D:$D,'свод (худуд)'!$B20,манзилли!$AB:$AB,"&gt;31.12.2020",манзилли!$AA:$AA,"&gt;31.12.2020",манзилли!$AA:$AA,"&lt;01.01.2023"))</f>
        <v>200</v>
      </c>
      <c r="AG20" s="29">
        <f>(+SUMIFS(манзилли!$R:$R,манзилли!$D:$D,'свод (худуд)'!$B20,манзилли!$AB:$AB,"&gt;31.12.2020",манзилли!$AA:$AA,"&gt;31.12.2020",манзилли!$AA:$AA,"&lt;01.01.2023"))</f>
        <v>500</v>
      </c>
      <c r="AH20" s="29">
        <f>(+SUMIFS(манзилли!$T:$T,манзилли!$D:$D,'свод (худуд)'!$B20,манзилли!$AB:$AB,"&gt;31.12.2020",манзилли!$AA:$AA,"&gt;31.12.2020",манзилли!$AA:$AA,"&lt;01.01.2023"))</f>
        <v>0</v>
      </c>
      <c r="AI20" s="29">
        <f>(+SUMIFS(манзилли!$V:$V,манзилли!$D:$D,'свод (худуд)'!$B20,манзилли!$AB:$AB,"&gt;31.12.2020",манзилли!$AA:$AA,"&gt;31.12.2020",манзилли!$AA:$AA,"&lt;01.01.2023"))</f>
        <v>0</v>
      </c>
      <c r="AJ20" s="30">
        <f>+SUMIFS(манзилли!$Z:$Z,манзилли!$D:$D,'свод (худуд)'!$B20,манзилли!$AB:$AB,"&gt;31.12.2020",манзилли!$AA:$AA,"&gt;31.12.2020",манзилли!$AA:$AA,"&lt;01.01.2023")</f>
        <v>8</v>
      </c>
      <c r="AK20" s="28">
        <f>+COUNTIFS('Қўшимча ишга тушган'!$D:$D,'свод (худуд)'!B20,'Қўшимча ишга тушган'!$AO:$AO,"&lt;01.10.2023")</f>
        <v>0</v>
      </c>
      <c r="AL20" s="29">
        <f>(+SUMIFS('Қўшимча ишга тушган'!$T:$T,'Қўшимча ишга тушган'!$D:$D,'свод (худуд)'!$B20,'Қўшимча ишга тушган'!$AO:$AO,"&lt;01.10.2023"))</f>
        <v>0</v>
      </c>
      <c r="AM20" s="29">
        <f>(+SUMIFS('Қўшимча ишга тушган'!$V:$V,'Қўшимча ишга тушган'!$D:$D,'свод (худуд)'!$B20,'Қўшимча ишга тушган'!$AO:$AO,"&lt;01.10.2023"))</f>
        <v>0</v>
      </c>
      <c r="AN20" s="29">
        <f>(+SUMIFS('Қўшимча ишга тушган'!$Z:$Z,'Қўшимча ишга тушган'!$D:$D,'свод (худуд)'!$B20,'Қўшимча ишга тушган'!$AO:$AO,"&lt;01.10.2023"))</f>
        <v>0</v>
      </c>
      <c r="AO20" s="29">
        <f>(+SUMIFS('Қўшимча ишга тушган'!$AB:$AB,'Қўшимча ишга тушган'!$D:$D,'свод (худуд)'!$B20,'Қўшимча ишга тушган'!$AO:$AO,"&lt;01.10.2023"))</f>
        <v>0</v>
      </c>
      <c r="AP20" s="29">
        <f>(+SUMIFS('Қўшимча ишга тушган'!$AD:$AD,'Қўшимча ишга тушган'!$D:$D,'свод (худуд)'!$B20,'Қўшимча ишга тушган'!$AO:$AO,"&lt;01.10.2023"))</f>
        <v>0</v>
      </c>
      <c r="AQ20" s="30">
        <f>+SUMIFS('Қўшимча ишга тушган'!$AM:$AM,'Қўшимча ишга тушган'!$D:$D,'свод (худуд)'!$B20,'Қўшимча ишга тушган'!$AO:$AO,"&lt;01.10.2023")</f>
        <v>0</v>
      </c>
      <c r="AR20" s="28">
        <f>+COUNTIFS(манзилли!$D:$D,'свод (худуд)'!$B20,манзилли!$AA:$AA,"&lt;01.02.2021",манзилли!$AB:$AB,"")</f>
        <v>0</v>
      </c>
      <c r="AS20" s="29">
        <f>(+SUMIFS(манзилли!$K:$K,манзилли!$D:$D,'свод (худуд)'!$B20,манзилли!$AA:$AA,"&lt;01.02.2021",манзилли!$AB:$AB,""))</f>
        <v>0</v>
      </c>
      <c r="AT20" s="29">
        <f>(+SUMIFS(манзилли!$M:$M,манзилли!$D:$D,'свод (худуд)'!$B20,манзилли!$AA:$AA,"&lt;01.02.2021",манзилли!$AB:$AB,""))</f>
        <v>0</v>
      </c>
      <c r="AU20" s="29">
        <f>(+SUMIFS(манзилли!$Q:$Q,манзилли!$D:$D,'свод (худуд)'!$B20,манзилли!$AA:$AA,"&lt;01.02.2021",манзилли!$AB:$AB,""))</f>
        <v>0</v>
      </c>
      <c r="AV20" s="29">
        <f>(+SUMIFS(манзилли!$S:$S,манзилли!$D:$D,'свод (худуд)'!$B20,манзилли!$AA:$AA,"&lt;01.02.2021",манзилли!$AB:$AB,""))</f>
        <v>0</v>
      </c>
      <c r="AW20" s="29">
        <f>(+SUMIFS(манзилли!$U:$U,манзилли!$D:$D,'свод (худуд)'!$B20,манзилли!$AA:$AA,"&lt;01.02.2021",манзилли!$AB:$AB,""))</f>
        <v>0</v>
      </c>
      <c r="AX20" s="30">
        <f>+SUMIFS(манзилли!$Y:$Y,манзилли!$D:$D,'свод (худуд)'!$B20,манзилли!$AA:$AA,"&lt;01.02.2021",манзилли!$AB:$AB,"")</f>
        <v>0</v>
      </c>
      <c r="AY20" s="28">
        <f>+COUNTIFS(манзилли!$D:$D,'свод (худуд)'!$B20,манзилли!$AA:$AA,"&lt;01.01.2022",манзилли!$AB:$AB,"")</f>
        <v>25</v>
      </c>
      <c r="AZ20" s="29">
        <f>(+SUMIFS(манзилли!$K:$K,манзилли!$D:$D,'свод (худуд)'!$B20,манзилли!$AA:$AA,"&lt;01.01.2022",манзилли!$AB:$AB,""))</f>
        <v>141988</v>
      </c>
      <c r="BA20" s="29">
        <f>(+SUMIFS(манзилли!$M:$M,манзилли!$D:$D,'свод (худуд)'!$B20,манзилли!$AA:$AA,"&lt;01.01.2022",манзилли!$AB:$AB,""))</f>
        <v>65835</v>
      </c>
      <c r="BB20" s="29">
        <f>(+SUMIFS(манзилли!$Q:$Q,манзилли!$D:$D,'свод (худуд)'!$B20,манзилли!$AA:$AA,"&lt;01.01.2022",манзилли!$AB:$AB,""))</f>
        <v>12293</v>
      </c>
      <c r="BC20" s="29">
        <f>(+SUMIFS(манзилли!$S:$S,манзилли!$D:$D,'свод (худуд)'!$B20,манзилли!$AA:$AA,"&lt;01.01.2022",манзилли!$AB:$AB,""))</f>
        <v>5700</v>
      </c>
      <c r="BD20" s="29">
        <f>(+SUMIFS(манзилли!$U:$U,манзилли!$D:$D,'свод (худуд)'!$B20,манзилли!$AA:$AA,"&lt;01.01.2022",манзилли!$AB:$AB,""))</f>
        <v>500</v>
      </c>
      <c r="BE20" s="30">
        <f>+SUMIFS(манзилли!$Y:$Y,манзилли!$D:$D,'свод (худуд)'!$B20,манзилли!$AA:$AA,"&lt;01.01.2022",манзилли!$AB:$AB,"")</f>
        <v>266</v>
      </c>
      <c r="BF20" s="28">
        <f>+COUNTIFS(манзилли!$D:$D,'свод (худуд)'!$B20,манзилли!$AA:$AA,"&lt;01.01.2023",манзилли!$AA:$AA,"&gt;=01.01.2022")</f>
        <v>1</v>
      </c>
      <c r="BG20" s="29">
        <f>(+SUMIFS(манзилли!$K:$K,манзилли!$D:$D,'свод (худуд)'!$B20,манзилли!$AA:$AA,"&lt;01.01.2023",манзилли!$AA:$AA,"&gt;=01.01.2022"))</f>
        <v>8000</v>
      </c>
      <c r="BH20" s="29">
        <f>(+SUMIFS(манзилли!$M:$M,манзилли!$D:$D,'свод (худуд)'!$B20,манзилли!$AA:$AA,"&lt;01.01.2023",манзилли!$AA:$AA,"&gt;=01.01.2022"))</f>
        <v>3000</v>
      </c>
      <c r="BI20" s="29">
        <f>(+SUMIFS(манзилли!$Q:$Q,манзилли!$D:$D,'свод (худуд)'!$B20,манзилли!$AA:$AA,"&lt;01.01.2023",манзилли!$AA:$AA,"&gt;=01.01.2022"))</f>
        <v>5000</v>
      </c>
      <c r="BJ20" s="29">
        <f>(+SUMIFS(манзилли!$S:$S,манзилли!$D:$D,'свод (худуд)'!$B20,манзилли!$AA:$AA,"&lt;01.01.2023",манзилли!$AA:$AA,"&gt;=01.01.2022"))</f>
        <v>0</v>
      </c>
      <c r="BK20" s="29">
        <f>(+SUMIFS(манзилли!$U:$U,манзилли!$D:$D,'свод (худуд)'!$B20,манзилли!$AA:$AA,"&lt;01.01.2023",манзилли!$AA:$AA,"&gt;=01.01.2022"))</f>
        <v>0</v>
      </c>
      <c r="BL20" s="30">
        <f>+SUMIFS(манзилли!$Y:$Y,манзилли!$D:$D,'свод (худуд)'!$B20,манзилли!$AA:$AA,"&lt;01.01.2023",манзилли!$AA:$AA,"&gt;=01.01.2022")</f>
        <v>60</v>
      </c>
    </row>
    <row r="21" spans="1:64" s="3" customFormat="1" ht="35.25" customHeight="1" thickBot="1">
      <c r="A21" s="35">
        <f t="shared" si="12"/>
        <v>15</v>
      </c>
      <c r="B21" s="36" t="s">
        <v>402</v>
      </c>
      <c r="C21" s="37">
        <f>+COUNTIFS(манзилли!$D:$D,'свод (худуд)'!$B21)</f>
        <v>45</v>
      </c>
      <c r="D21" s="38">
        <f>(+SUMIFS(манзилли!$K:$K,манзилли!$D:$D,'свод (худуд)'!$B21))</f>
        <v>296562.5</v>
      </c>
      <c r="E21" s="38">
        <f>(+SUMIFS(манзилли!$M:$M,манзилли!$D:$D,'свод (худуд)'!$B21))</f>
        <v>97568</v>
      </c>
      <c r="F21" s="38">
        <f>(+SUMIFS(манзилли!$Q:$Q,манзилли!$D:$D,'свод (худуд)'!$B21))</f>
        <v>54537</v>
      </c>
      <c r="G21" s="38">
        <f>(+SUMIFS(манзилли!$S:$S,манзилли!$D:$D,'свод (худуд)'!$B21))</f>
        <v>6425</v>
      </c>
      <c r="H21" s="38">
        <f>(+SUMIFS(манзилли!$U:$U,манзилли!$D:$D,'свод (худуд)'!$B21))</f>
        <v>7600</v>
      </c>
      <c r="I21" s="39">
        <f>+SUMIFS(манзилли!$Y:$Y,манзилли!$D:$D,'свод (худуд)'!$B21)</f>
        <v>910</v>
      </c>
      <c r="J21" s="37">
        <f>+(COUNTIFS(манзилли!$L:$L,"&gt;0",манзилли!$D:$D,'свод (худуд)'!$B21)+COUNTIFS('Қўшимча ишга тушган'!$T:$T,"&gt;0",'Қўшимча ишга тушган'!$D:$D,'свод (худуд)'!$B21))</f>
        <v>28</v>
      </c>
      <c r="K21" s="38">
        <f>(+SUMIFS(манзилли!$L:$L,манзилли!$D:$D,'свод (худуд)'!$B21)+SUMIFS('Қўшимча ишга тушган'!$T:$T,'Қўшимча ишга тушган'!$D:$D,'свод (худуд)'!$B21))</f>
        <v>47225.279999999999</v>
      </c>
      <c r="L21" s="38">
        <f>+(SUMIFS(манзилли!$N:$N,манзилли!$D:$D,'свод (худуд)'!$B21)+SUMIFS('Қўшимча ишга тушган'!$V:$V,'Қўшимча ишга тушган'!$D:$D,'свод (худуд)'!$B21))</f>
        <v>7665</v>
      </c>
      <c r="M21" s="38">
        <f>(+SUMIFS(манзилли!$R:$R,манзилли!$D:$D,'свод (худуд)'!$B21)+SUMIFS('Қўшимча ишга тушган'!$Z:$Z,'Қўшимча ишга тушган'!$D:$D,'свод (худуд)'!$B21))</f>
        <v>26741</v>
      </c>
      <c r="N21" s="38">
        <f>(+SUMIFS(манзилли!$T:$T,манзилли!$D:$D,'свод (худуд)'!$B21)+SUMIFS('Қўшимча ишга тушган'!$AB:$AB,'Қўшимча ишга тушган'!$D:$D,'свод (худуд)'!$B21))</f>
        <v>1276.4000000000001</v>
      </c>
      <c r="O21" s="39">
        <f>(+SUMIFS(манзилли!$V:$V,манзилли!$D:$D,'свод (худуд)'!$B21)+SUMIFS('Қўшимча ишга тушган'!$AD:$AD,'Қўшимча ишга тушган'!$D:$D,'свод (худуд)'!$B21))</f>
        <v>0</v>
      </c>
      <c r="P21" s="40">
        <f>+COUNTIFS(манзилли!$D:$D,'свод (худуд)'!$B21,манзилли!$AA:$AA,"&gt;31.12.2020",манзилли!$AA:$AA,"&lt;01.01.2022")</f>
        <v>30</v>
      </c>
      <c r="Q21" s="38">
        <f>(+SUMIFS(манзилли!$K:$K,манзилли!$D:$D,'свод (худуд)'!$B21,манзилли!$AA:$AA,"&gt;31.12.2020",манзилли!$AA:$AA,"&lt;01.01.2022"))</f>
        <v>179947.5</v>
      </c>
      <c r="R21" s="38">
        <f>(+SUMIFS(манзилли!$M:$M,манзилли!$D:$D,'свод (худуд)'!$B21,манзилли!$AA:$AA,"&gt;31.12.2020",манзилли!$AA:$AA,"&lt;01.01.2022"))</f>
        <v>81630</v>
      </c>
      <c r="S21" s="38">
        <f>(+SUMIFS(манзилли!$Q:$Q,манзилли!$D:$D,'свод (худуд)'!$B21,манзилли!$AA:$AA,"&gt;31.12.2020",манзилли!$AA:$AA,"&lt;01.01.2022"))</f>
        <v>21840</v>
      </c>
      <c r="T21" s="38">
        <f>(+SUMIFS(манзилли!$S:$S,манзилли!$D:$D,'свод (худуд)'!$B21,манзилли!$AA:$AA,"&gt;31.12.2020",манзилли!$AA:$AA,"&lt;01.01.2022"))</f>
        <v>5825</v>
      </c>
      <c r="U21" s="38">
        <f>(+SUMIFS(манзилли!$U:$U,манзилли!$D:$D,'свод (худуд)'!$B21,манзилли!$AA:$AA,"&gt;31.12.2020",манзилли!$AA:$AA,"&lt;01.01.2022"))</f>
        <v>1600</v>
      </c>
      <c r="V21" s="39">
        <f>+SUMIFS(манзилли!$Y:$Y,манзилли!$D:$D,'свод (худуд)'!$B21,манзилли!$AA:$AA,"&gt;31.12.2020",манзилли!$AA:$AA,"&lt;01.01.2022")</f>
        <v>696</v>
      </c>
      <c r="W21" s="37">
        <f t="shared" si="11"/>
        <v>0</v>
      </c>
      <c r="X21" s="38">
        <f t="shared" si="5"/>
        <v>0</v>
      </c>
      <c r="Y21" s="38">
        <f t="shared" si="6"/>
        <v>0</v>
      </c>
      <c r="Z21" s="38">
        <f t="shared" si="7"/>
        <v>0</v>
      </c>
      <c r="AA21" s="38">
        <f t="shared" si="8"/>
        <v>0</v>
      </c>
      <c r="AB21" s="38">
        <f t="shared" si="9"/>
        <v>0</v>
      </c>
      <c r="AC21" s="39">
        <f t="shared" si="10"/>
        <v>0</v>
      </c>
      <c r="AD21" s="37">
        <f>+COUNTIFS(манзилли!$D:$D,'свод (худуд)'!$B21,манзилли!$AB:$AB,"&gt;31.12.2020",манзилли!$AA:$AA,"&gt;31.12.2020",манзилли!$AA:$AA,"&lt;01.01.2023")</f>
        <v>0</v>
      </c>
      <c r="AE21" s="38">
        <f>(+SUMIFS(манзилли!$L:$L,манзилли!$D:$D,'свод (худуд)'!$B21,манзилли!$AB:$AB,"&gt;31.12.2020",манзилли!$AA:$AA,"&gt;31.12.2020",манзилли!$AA:$AA,"&lt;01.01.2023"))</f>
        <v>0</v>
      </c>
      <c r="AF21" s="38">
        <f>(+SUMIFS(манзилли!$N:$N,манзилли!$D:$D,'свод (худуд)'!$B21,манзилли!$AB:$AB,"&gt;31.12.2020",манзилли!$AA:$AA,"&gt;31.12.2020",манзилли!$AA:$AA,"&lt;01.01.2023"))</f>
        <v>0</v>
      </c>
      <c r="AG21" s="38">
        <f>(+SUMIFS(манзилли!$R:$R,манзилли!$D:$D,'свод (худуд)'!$B21,манзилли!$AB:$AB,"&gt;31.12.2020",манзилли!$AA:$AA,"&gt;31.12.2020",манзилли!$AA:$AA,"&lt;01.01.2023"))</f>
        <v>0</v>
      </c>
      <c r="AH21" s="38">
        <f>(+SUMIFS(манзилли!$T:$T,манзилли!$D:$D,'свод (худуд)'!$B21,манзилли!$AB:$AB,"&gt;31.12.2020",манзилли!$AA:$AA,"&gt;31.12.2020",манзилли!$AA:$AA,"&lt;01.01.2023"))</f>
        <v>0</v>
      </c>
      <c r="AI21" s="38">
        <f>(+SUMIFS(манзилли!$V:$V,манзилли!$D:$D,'свод (худуд)'!$B21,манзилли!$AB:$AB,"&gt;31.12.2020",манзилли!$AA:$AA,"&gt;31.12.2020",манзилли!$AA:$AA,"&lt;01.01.2023"))</f>
        <v>0</v>
      </c>
      <c r="AJ21" s="39">
        <f>+SUMIFS(манзилли!$Z:$Z,манзилли!$D:$D,'свод (худуд)'!$B21,манзилли!$AB:$AB,"&gt;31.12.2020",манзилли!$AA:$AA,"&gt;31.12.2020",манзилли!$AA:$AA,"&lt;01.01.2023")</f>
        <v>0</v>
      </c>
      <c r="AK21" s="37">
        <f>+COUNTIFS('Қўшимча ишга тушган'!$D:$D,'свод (худуд)'!B21,'Қўшимча ишга тушган'!$AO:$AO,"&lt;01.10.2023")</f>
        <v>0</v>
      </c>
      <c r="AL21" s="38">
        <f>(+SUMIFS('Қўшимча ишга тушган'!$T:$T,'Қўшимча ишга тушган'!$D:$D,'свод (худуд)'!$B21,'Қўшимча ишга тушган'!$AO:$AO,"&lt;01.10.2023"))</f>
        <v>0</v>
      </c>
      <c r="AM21" s="38">
        <f>(+SUMIFS('Қўшимча ишга тушган'!$V:$V,'Қўшимча ишга тушган'!$D:$D,'свод (худуд)'!$B21,'Қўшимча ишга тушган'!$AO:$AO,"&lt;01.10.2023"))</f>
        <v>0</v>
      </c>
      <c r="AN21" s="38">
        <f>(+SUMIFS('Қўшимча ишга тушган'!$Z:$Z,'Қўшимча ишга тушган'!$D:$D,'свод (худуд)'!$B21,'Қўшимча ишга тушган'!$AO:$AO,"&lt;01.10.2023"))</f>
        <v>0</v>
      </c>
      <c r="AO21" s="38">
        <f>(+SUMIFS('Қўшимча ишга тушган'!$AB:$AB,'Қўшимча ишга тушган'!$D:$D,'свод (худуд)'!$B21,'Қўшимча ишга тушган'!$AO:$AO,"&lt;01.10.2023"))</f>
        <v>0</v>
      </c>
      <c r="AP21" s="38">
        <f>(+SUMIFS('Қўшимча ишга тушган'!$AD:$AD,'Қўшимча ишга тушган'!$D:$D,'свод (худуд)'!$B21,'Қўшимча ишга тушган'!$AO:$AO,"&lt;01.10.2023"))</f>
        <v>0</v>
      </c>
      <c r="AQ21" s="39">
        <f>+SUMIFS('Қўшимча ишга тушган'!$AM:$AM,'Қўшимча ишга тушган'!$D:$D,'свод (худуд)'!$B21,'Қўшимча ишга тушган'!$AO:$AO,"&lt;01.10.2023")</f>
        <v>0</v>
      </c>
      <c r="AR21" s="37">
        <f>+COUNTIFS(манзилли!$D:$D,'свод (худуд)'!$B21,манзилли!$AA:$AA,"&lt;01.02.2021",манзилли!$AB:$AB,"")</f>
        <v>0</v>
      </c>
      <c r="AS21" s="38">
        <f>(+SUMIFS(манзилли!$K:$K,манзилли!$D:$D,'свод (худуд)'!$B21,манзилли!$AA:$AA,"&lt;01.02.2021",манзилли!$AB:$AB,""))</f>
        <v>0</v>
      </c>
      <c r="AT21" s="38">
        <f>(+SUMIFS(манзилли!$M:$M,манзилли!$D:$D,'свод (худуд)'!$B21,манзилли!$AA:$AA,"&lt;01.02.2021",манзилли!$AB:$AB,""))</f>
        <v>0</v>
      </c>
      <c r="AU21" s="38">
        <f>(+SUMIFS(манзилли!$Q:$Q,манзилли!$D:$D,'свод (худуд)'!$B21,манзилли!$AA:$AA,"&lt;01.02.2021",манзилли!$AB:$AB,""))</f>
        <v>0</v>
      </c>
      <c r="AV21" s="38">
        <f>(+SUMIFS(манзилли!$S:$S,манзилли!$D:$D,'свод (худуд)'!$B21,манзилли!$AA:$AA,"&lt;01.02.2021",манзилли!$AB:$AB,""))</f>
        <v>0</v>
      </c>
      <c r="AW21" s="38">
        <f>(+SUMIFS(манзилли!$U:$U,манзилли!$D:$D,'свод (худуд)'!$B21,манзилли!$AA:$AA,"&lt;01.02.2021",манзилли!$AB:$AB,""))</f>
        <v>0</v>
      </c>
      <c r="AX21" s="39">
        <f>+SUMIFS(манзилли!$Y:$Y,манзилли!$D:$D,'свод (худуд)'!$B21,манзилли!$AA:$AA,"&lt;01.02.2021",манзилли!$AB:$AB,"")</f>
        <v>0</v>
      </c>
      <c r="AY21" s="37">
        <f>+COUNTIFS(манзилли!$D:$D,'свод (худуд)'!$B21,манзилли!$AA:$AA,"&lt;01.01.2022",манзилли!$AB:$AB,"")</f>
        <v>26</v>
      </c>
      <c r="AZ21" s="38">
        <f>(+SUMIFS(манзилли!$K:$K,манзилли!$D:$D,'свод (худуд)'!$B21,манзилли!$AA:$AA,"&lt;01.01.2022",манзилли!$AB:$AB,""))</f>
        <v>171832.5</v>
      </c>
      <c r="BA21" s="38">
        <f>(+SUMIFS(манзилли!$M:$M,манзилли!$D:$D,'свод (худуд)'!$B21,манзилли!$AA:$AA,"&lt;01.01.2022",манзилли!$AB:$AB,""))</f>
        <v>75730</v>
      </c>
      <c r="BB21" s="38">
        <f>(+SUMIFS(манзилли!$Q:$Q,манзилли!$D:$D,'свод (худуд)'!$B21,манзилли!$AA:$AA,"&lt;01.01.2022",манзилли!$AB:$AB,""))</f>
        <v>19625</v>
      </c>
      <c r="BC21" s="38">
        <f>(+SUMIFS(манзилли!$S:$S,манзилли!$D:$D,'свод (худуд)'!$B21,манзилли!$AA:$AA,"&lt;01.01.2022",манзилли!$AB:$AB,""))</f>
        <v>5825</v>
      </c>
      <c r="BD21" s="38">
        <f>(+SUMIFS(манзилли!$U:$U,манзилли!$D:$D,'свод (худуд)'!$B21,манзилли!$AA:$AA,"&lt;01.01.2022",манзилли!$AB:$AB,""))</f>
        <v>1600</v>
      </c>
      <c r="BE21" s="39">
        <f>+SUMIFS(манзилли!$Y:$Y,манзилли!$D:$D,'свод (худуд)'!$B21,манзилли!$AA:$AA,"&lt;01.01.2022",манзилли!$AB:$AB,"")</f>
        <v>667</v>
      </c>
      <c r="BF21" s="37">
        <f>+COUNTIFS(манзилли!$D:$D,'свод (худуд)'!$B21,манзилли!$AA:$AA,"&lt;01.01.2023",манзилли!$AA:$AA,"&gt;=01.01.2022")</f>
        <v>6</v>
      </c>
      <c r="BG21" s="38">
        <f>(+SUMIFS(манзилли!$K:$K,манзилли!$D:$D,'свод (худуд)'!$B21,манзилли!$AA:$AA,"&lt;01.01.2023",манзилли!$AA:$AA,"&gt;=01.01.2022"))</f>
        <v>104380</v>
      </c>
      <c r="BH21" s="38">
        <f>(+SUMIFS(манзилли!$M:$M,манзилли!$D:$D,'свод (худуд)'!$B21,манзилли!$AA:$AA,"&lt;01.01.2023",манзилли!$AA:$AA,"&gt;=01.01.2022"))</f>
        <v>11900</v>
      </c>
      <c r="BI21" s="38">
        <f>(+SUMIFS(манзилли!$Q:$Q,манзилли!$D:$D,'свод (худуд)'!$B21,манзилли!$AA:$AA,"&lt;01.01.2023",манзилли!$AA:$AA,"&gt;=01.01.2022"))</f>
        <v>24500</v>
      </c>
      <c r="BJ21" s="38">
        <f>(+SUMIFS(манзилли!$S:$S,манзилли!$D:$D,'свод (худуд)'!$B21,манзилли!$AA:$AA,"&lt;01.01.2023",манзилли!$AA:$AA,"&gt;=01.01.2022"))</f>
        <v>600</v>
      </c>
      <c r="BK21" s="38">
        <f>(+SUMIFS(манзилли!$U:$U,манзилли!$D:$D,'свод (худуд)'!$B21,манзилли!$AA:$AA,"&lt;01.01.2023",манзилли!$AA:$AA,"&gt;=01.01.2022"))</f>
        <v>6000</v>
      </c>
      <c r="BL21" s="39">
        <f>+SUMIFS(манзилли!$Y:$Y,манзилли!$D:$D,'свод (худуд)'!$B21,манзилли!$AA:$AA,"&lt;01.01.2023",манзилли!$AA:$AA,"&gt;=01.01.2022")</f>
        <v>160</v>
      </c>
    </row>
    <row r="22" spans="1:64" s="2" customFormat="1" ht="36" customHeight="1" thickBot="1">
      <c r="A22" s="124" t="s">
        <v>78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6"/>
    </row>
    <row r="23" spans="1:64" s="3" customFormat="1" ht="35.25" customHeight="1">
      <c r="A23" s="20">
        <v>1</v>
      </c>
      <c r="B23" s="21" t="s">
        <v>6</v>
      </c>
      <c r="C23" s="22">
        <f>+COUNTIFS(манзилли!$I:$I,'свод (худуд)'!$B23)</f>
        <v>273</v>
      </c>
      <c r="D23" s="23">
        <f>(+SUMIFS(манзилли!$K:$K,манзилли!$I:$I,'свод (худуд)'!$B23))</f>
        <v>4903608.2578947358</v>
      </c>
      <c r="E23" s="23">
        <f>(+SUMIFS(манзилли!$M:$M,манзилли!$I:$I,'свод (худуд)'!$B23))</f>
        <v>1725533.1578947369</v>
      </c>
      <c r="F23" s="23">
        <f>(+SUMIFS(манзилли!$Q:$Q,манзилли!$I:$I,'свод (худуд)'!$B23))</f>
        <v>371430</v>
      </c>
      <c r="G23" s="23">
        <f>(+SUMIFS(манзилли!$S:$S,манзилли!$I:$I,'свод (худуд)'!$B23))</f>
        <v>172767</v>
      </c>
      <c r="H23" s="23">
        <f>(+SUMIFS(манзилли!$U:$U,манзилли!$I:$I,'свод (худуд)'!$B23))</f>
        <v>101710</v>
      </c>
      <c r="I23" s="24">
        <f>+SUMIFS(манзилли!$Y:$Y,манзилли!$I:$I,'свод (худуд)'!$B23)</f>
        <v>11817</v>
      </c>
      <c r="J23" s="22">
        <f>+(COUNTIFS(манзилли!$L:$L,"&gt;0",манзилли!$I:$I,'свод (худуд)'!$B23)+COUNTIFS('Қўшимча ишга тушган'!$T:$T,"&gt;0",'Қўшимча ишга тушган'!$I:$I,'свод (худуд)'!$B23))</f>
        <v>147</v>
      </c>
      <c r="K23" s="24">
        <f>(+SUMIFS(манзилли!$L:$L,манзилли!$I:$I,'свод (худуд)'!$B23)+SUMIFS('Қўшимча ишга тушган'!$T:$T,'Қўшимча ишга тушган'!$I:$I,'свод (худуд)'!$B23))</f>
        <v>687460.52000000014</v>
      </c>
      <c r="L23" s="25">
        <f>+(SUMIFS(манзилли!$N:$N,манзилли!$I:$I,'свод (худуд)'!$B23)+SUMIFS('Қўшимча ишга тушган'!$V:$V,'Қўшимча ишга тушган'!$I:$I,'свод (худуд)'!$B23))</f>
        <v>38096.1</v>
      </c>
      <c r="M23" s="23">
        <f>(+SUMIFS(манзилли!$R:$R,манзилли!$I:$I,'свод (худуд)'!$B23)+SUMIFS('Қўшимча ишга тушган'!$Z:$Z,'Қўшимча ишга тушган'!$I:$I,'свод (худуд)'!$B23))</f>
        <v>113576.5</v>
      </c>
      <c r="N23" s="23">
        <f>(+SUMIFS(манзилли!$T:$T,манзилли!$I:$I,'свод (худуд)'!$B23)+SUMIFS('Қўшимча ишга тушган'!$AB:$AB,'Қўшимча ишга тушган'!$I:$I,'свод (худуд)'!$B23))</f>
        <v>52538.600000000006</v>
      </c>
      <c r="O23" s="24">
        <f>(+SUMIFS(манзилли!$V:$V,манзилли!$I:$I,'свод (худуд)'!$B23)+SUMIFS('Қўшимча ишга тушган'!$AD:$AD,'Қўшимча ишга тушган'!$I:$I,'свод (худуд)'!$B23))</f>
        <v>0</v>
      </c>
      <c r="P23" s="25">
        <f>+COUNTIFS(манзилли!$I:$I,'свод (худуд)'!$B23,манзилли!$AA:$AA,"&gt;31.12.2020",манзилли!$AA:$AA,"&lt;01.01.2022")</f>
        <v>192</v>
      </c>
      <c r="Q23" s="23">
        <f>(+SUMIFS(манзилли!$K:$K,манзилли!$I:$I,'свод (худуд)'!$B23,манзилли!$AA:$AA,"&gt;31.12.2020",манзилли!$AA:$AA,"&lt;01.01.2022"))</f>
        <v>3996616.7578947372</v>
      </c>
      <c r="R23" s="23">
        <f>(+SUMIFS(манзилли!$M:$M,манзилли!$I:$I,'свод (худуд)'!$B23,манзилли!$AA:$AA,"&gt;31.12.2020",манзилли!$AA:$AA,"&lt;01.01.2022"))</f>
        <v>1422133.1578947369</v>
      </c>
      <c r="S23" s="23">
        <f>(+SUMIFS(манзилли!$Q:$Q,манзилли!$I:$I,'свод (худуд)'!$B23,манзилли!$AA:$AA,"&gt;31.12.2020",манзилли!$AA:$AA,"&lt;01.01.2022"))</f>
        <v>252968</v>
      </c>
      <c r="T23" s="23">
        <f>(+SUMIFS(манзилли!$S:$S,манзилли!$I:$I,'свод (худуд)'!$B23,манзилли!$AA:$AA,"&gt;31.12.2020",манзилли!$AA:$AA,"&lt;01.01.2022"))</f>
        <v>132812</v>
      </c>
      <c r="U23" s="23">
        <f>(+SUMIFS(манзилли!$U:$U,манзилли!$I:$I,'свод (худуд)'!$B23,манзилли!$AA:$AA,"&gt;31.12.2020",манзилли!$AA:$AA,"&lt;01.01.2022"))</f>
        <v>95310</v>
      </c>
      <c r="V23" s="24">
        <f>+SUMIFS(манзилли!$Y:$Y,манзилли!$I:$I,'свод (худуд)'!$B23,манзилли!$AA:$AA,"&gt;31.12.2020",манзилли!$AA:$AA,"&lt;01.01.2022")</f>
        <v>8687</v>
      </c>
      <c r="W23" s="22">
        <f t="shared" ref="W23:W25" si="13">+AD23+AK23</f>
        <v>4</v>
      </c>
      <c r="X23" s="23">
        <f t="shared" ref="X23:X25" si="14">+AE23+AL23</f>
        <v>4880</v>
      </c>
      <c r="Y23" s="23">
        <f t="shared" ref="Y23:Y25" si="15">+AF23+AM23</f>
        <v>3950</v>
      </c>
      <c r="Z23" s="23">
        <f t="shared" ref="Z23:Z25" si="16">+AG23+AN23</f>
        <v>930</v>
      </c>
      <c r="AA23" s="23">
        <f t="shared" ref="AA23:AA25" si="17">+AH23+AO23</f>
        <v>0</v>
      </c>
      <c r="AB23" s="23">
        <f t="shared" ref="AB23:AB25" si="18">+AI23+AP23</f>
        <v>0</v>
      </c>
      <c r="AC23" s="24">
        <f t="shared" ref="AC23:AC25" si="19">+AJ23+AQ23</f>
        <v>12</v>
      </c>
      <c r="AD23" s="22">
        <f>+COUNTIFS(манзилли!$I:$I,'свод (худуд)'!$B23,манзилли!$AB:$AB,"&gt;31.12.2020",манзилли!$AA:$AA,"&gt;31.12.2020",манзилли!$AA:$AA,"&lt;01.01.2023")</f>
        <v>4</v>
      </c>
      <c r="AE23" s="23">
        <f>(+SUMIFS(манзилли!$L:$L,манзилли!$I:$I,'свод (худуд)'!$B23,манзилли!$AB:$AB,"&gt;31.12.2020",манзилли!$AA:$AA,"&gt;31.12.2020",манзилли!$AA:$AA,"&lt;01.01.2023"))</f>
        <v>4880</v>
      </c>
      <c r="AF23" s="23">
        <f>(+SUMIFS(манзилли!$N:$N,манзилли!$I:$I,'свод (худуд)'!$B23,манзилли!$AB:$AB,"&gt;31.12.2020",манзилли!$AA:$AA,"&gt;31.12.2020",манзилли!$AA:$AA,"&lt;01.01.2023"))</f>
        <v>3950</v>
      </c>
      <c r="AG23" s="23">
        <f>(+SUMIFS(манзилли!$R:$R,манзилли!$I:$I,'свод (худуд)'!$B23,манзилли!$AB:$AB,"&gt;31.12.2020",манзилли!$AA:$AA,"&gt;31.12.2020",манзилли!$AA:$AA,"&lt;01.01.2023"))</f>
        <v>930</v>
      </c>
      <c r="AH23" s="23">
        <f>(+SUMIFS(манзилли!$T:$T,манзилли!$I:$I,'свод (худуд)'!$B23,манзилли!$AB:$AB,"&gt;31.12.2020",манзилли!$AA:$AA,"&gt;31.12.2020",манзилли!$AA:$AA,"&lt;01.01.2023"))</f>
        <v>0</v>
      </c>
      <c r="AI23" s="23">
        <f>(+SUMIFS(манзилли!$V:$V,манзилли!$I:$I,'свод (худуд)'!$B23,манзилли!$AB:$AB,"&gt;31.12.2020",манзилли!$AA:$AA,"&gt;31.12.2020",манзилли!$AA:$AA,"&lt;01.01.2023"))</f>
        <v>0</v>
      </c>
      <c r="AJ23" s="24">
        <f>+SUMIFS(манзилли!$Z:$Z,манзилли!$I:$I,'свод (худуд)'!$B23,манзилли!$AB:$AB,"&gt;31.12.2020",манзилли!$AA:$AA,"&gt;31.12.2020",манзилли!$AA:$AA,"&lt;01.01.2023")</f>
        <v>12</v>
      </c>
      <c r="AK23" s="22">
        <f>+COUNTIFS('Қўшимча ишга тушган'!$I:$I,'свод (худуд)'!$B23,'Қўшимча ишга тушган'!$AO:$AO,"&lt;01.10.2023")</f>
        <v>0</v>
      </c>
      <c r="AL23" s="23">
        <f>(+SUMIFS('Қўшимча ишга тушган'!$T:$T,'Қўшимча ишга тушган'!$I:$I,'свод (худуд)'!$B23,'Қўшимча ишга тушган'!$AO:$AO,"&lt;01.10.2023"))</f>
        <v>0</v>
      </c>
      <c r="AM23" s="23">
        <f>(+SUMIFS('Қўшимча ишга тушган'!$V:$V,'Қўшимча ишга тушган'!$I:$I,'свод (худуд)'!$B23,'Қўшимча ишга тушган'!$AO:$AO,"&lt;01.10.2023"))</f>
        <v>0</v>
      </c>
      <c r="AN23" s="23">
        <f>(+SUMIFS('Қўшимча ишга тушган'!$Z:$Z,'Қўшимча ишга тушган'!$I:$I,'свод (худуд)'!$B23,'Қўшимча ишга тушган'!$AO:$AO,"&lt;01.10.2023"))</f>
        <v>0</v>
      </c>
      <c r="AO23" s="23">
        <f>(+SUMIFS('Қўшимча ишга тушган'!$AB:$AB,'Қўшимча ишга тушган'!$I:$I,'свод (худуд)'!$B23,'Қўшимча ишга тушган'!$AO:$AO,"&lt;01.10.2023"))</f>
        <v>0</v>
      </c>
      <c r="AP23" s="23">
        <f>(+SUMIFS('Қўшимча ишга тушган'!$AD:$AD,'Қўшимча ишга тушган'!$I:$I,'свод (худуд)'!$B23,'Қўшимча ишга тушган'!$AO:$AO,"&lt;01.10.2023"))</f>
        <v>0</v>
      </c>
      <c r="AQ23" s="24">
        <f>+SUMIFS('Қўшимча ишга тушган'!$AM:$AM,'Қўшимча ишга тушган'!$I:$I,'свод (худуд)'!$B23,'Қўшимча ишга тушган'!$AO:$AO,"&lt;01.10.2023")</f>
        <v>0</v>
      </c>
      <c r="AR23" s="22">
        <f>+COUNTIFS(манзилли!$I:$I,'свод (худуд)'!$B23,манзилли!$AA:$AA,"&lt;01.02.2021",манзилли!$AB:$AB,"")</f>
        <v>0</v>
      </c>
      <c r="AS23" s="23">
        <f>(+SUMIFS(манзилли!$K:$K,манзилли!$I:$I,'свод (худуд)'!$B23,манзилли!$AA:$AA,"&lt;01.02.2021",манзилли!$AB:$AB,""))</f>
        <v>0</v>
      </c>
      <c r="AT23" s="23">
        <f>(+SUMIFS(манзилли!$M:$M,манзилли!$I:$I,'свод (худуд)'!$B23,манзилли!$AA:$AA,"&lt;01.02.2021",манзилли!$AB:$AB,""))</f>
        <v>0</v>
      </c>
      <c r="AU23" s="23">
        <f>(+SUMIFS(манзилли!$Q:$Q,манзилли!$I:$I,'свод (худуд)'!$B23,манзилли!$AA:$AA,"&lt;01.02.2021",манзилли!$AB:$AB,""))</f>
        <v>0</v>
      </c>
      <c r="AV23" s="23">
        <f>(+SUMIFS(манзилли!$S:$S,манзилли!$I:$I,'свод (худуд)'!$B23,манзилли!$AA:$AA,"&lt;01.02.2021",манзилли!$AB:$AB,""))</f>
        <v>0</v>
      </c>
      <c r="AW23" s="23">
        <f>(+SUMIFS(манзилли!$U:$U,манзилли!$I:$I,'свод (худуд)'!$B23,манзилли!$AA:$AA,"&lt;01.02.2021",манзилли!$AB:$AB,""))</f>
        <v>0</v>
      </c>
      <c r="AX23" s="24">
        <f>+SUMIFS(манзилли!$Y:$Y,манзилли!$I:$I,'свод (худуд)'!$B23,манзилли!$AA:$AA,"&lt;01.02.2021",манзилли!$AB:$AB,"")</f>
        <v>0</v>
      </c>
      <c r="AY23" s="22">
        <f>+COUNTIFS(манзилли!$I:$I,'свод (худуд)'!$B23,манзилли!$AA:$AA,"&lt;01.01.2022",манзилли!$AB:$AB,"")</f>
        <v>170</v>
      </c>
      <c r="AZ23" s="23">
        <f>(+SUMIFS(манзилли!$K:$K,манзилли!$I:$I,'свод (худуд)'!$B23,манзилли!$AA:$AA,"&lt;01.01.2022",манзилли!$AB:$AB,""))</f>
        <v>3962294.9578947369</v>
      </c>
      <c r="BA23" s="23">
        <f>(+SUMIFS(манзилли!$M:$M,манзилли!$I:$I,'свод (худуд)'!$B23,манзилли!$AA:$AA,"&lt;01.01.2022",манзилли!$AB:$AB,""))</f>
        <v>1407608.1578947369</v>
      </c>
      <c r="BB23" s="23">
        <f>(+SUMIFS(манзилли!$Q:$Q,манзилли!$I:$I,'свод (худуд)'!$B23,манзилли!$AA:$AA,"&lt;01.01.2022",манзилли!$AB:$AB,""))</f>
        <v>237250</v>
      </c>
      <c r="BC23" s="23">
        <f>(+SUMIFS(манзилли!$S:$S,манзилли!$I:$I,'свод (худуд)'!$B23,манзилли!$AA:$AA,"&lt;01.01.2022",манзилли!$AB:$AB,""))</f>
        <v>132416</v>
      </c>
      <c r="BD23" s="23">
        <f>(+SUMIFS(манзилли!$U:$U,манзилли!$I:$I,'свод (худуд)'!$B23,манзилли!$AA:$AA,"&lt;01.01.2022",манзилли!$AB:$AB,""))</f>
        <v>95310</v>
      </c>
      <c r="BE23" s="24">
        <f>+SUMIFS(манзилли!$Y:$Y,манзилли!$I:$I,'свод (худуд)'!$B23,манзилли!$AA:$AA,"&lt;01.01.2022",манзилли!$AB:$AB,"")</f>
        <v>8540</v>
      </c>
      <c r="BF23" s="25">
        <f>+COUNTIFS(манзилли!$I:$I,'свод (худуд)'!$B23,манзилли!$AA:$AA,"&lt;01.01.2023",манзилли!$AA:$AA,"&gt;=01.01.2022")</f>
        <v>54</v>
      </c>
      <c r="BG23" s="23">
        <f>(+SUMIFS(манзилли!$K:$K,манзилли!$I:$I,'свод (худуд)'!$B23,манзилли!$AA:$AA,"&lt;01.01.2023",манзилли!$AA:$AA,"&gt;=01.01.2022"))</f>
        <v>866347</v>
      </c>
      <c r="BH23" s="23">
        <f>(+SUMIFS(манзилли!$M:$M,манзилли!$I:$I,'свод (худуд)'!$B23,манзилли!$AA:$AA,"&lt;01.01.2023",манзилли!$AA:$AA,"&gt;=01.01.2022"))</f>
        <v>289017</v>
      </c>
      <c r="BI23" s="23">
        <f>(+SUMIFS(манзилли!$Q:$Q,манзилли!$I:$I,'свод (худуд)'!$B23,манзилли!$AA:$AA,"&lt;01.01.2023",манзилли!$AA:$AA,"&gt;=01.01.2022"))</f>
        <v>102590</v>
      </c>
      <c r="BJ23" s="23">
        <f>(+SUMIFS(манзилли!$S:$S,манзилли!$I:$I,'свод (худуд)'!$B23,манзилли!$AA:$AA,"&lt;01.01.2023",манзилли!$AA:$AA,"&gt;=01.01.2022"))</f>
        <v>39890</v>
      </c>
      <c r="BK23" s="23">
        <f>(+SUMIFS(манзилли!$U:$U,манзилли!$I:$I,'свод (худуд)'!$B23,манзилли!$AA:$AA,"&lt;01.01.2023",манзилли!$AA:$AA,"&gt;=01.01.2022"))</f>
        <v>6400</v>
      </c>
      <c r="BL23" s="24">
        <f>+SUMIFS(манзилли!$Y:$Y,манзилли!$I:$I,'свод (худуд)'!$B23,манзилли!$AA:$AA,"&lt;01.01.2023",манзилли!$AA:$AA,"&gt;=01.01.2022")</f>
        <v>2927</v>
      </c>
    </row>
    <row r="24" spans="1:64" s="3" customFormat="1" ht="35.25" customHeight="1">
      <c r="A24" s="26">
        <v>2</v>
      </c>
      <c r="B24" s="27" t="s">
        <v>9</v>
      </c>
      <c r="C24" s="28">
        <f>+COUNTIFS(манзилли!$I:$I,'свод (худуд)'!$B24)</f>
        <v>330</v>
      </c>
      <c r="D24" s="29">
        <f>(+SUMIFS(манзилли!$K:$K,манзилли!$I:$I,'свод (худуд)'!$B24))</f>
        <v>1684802.9</v>
      </c>
      <c r="E24" s="29">
        <f>(+SUMIFS(манзилли!$M:$M,манзилли!$I:$I,'свод (худуд)'!$B24))</f>
        <v>622703</v>
      </c>
      <c r="F24" s="29">
        <f>(+SUMIFS(манзилли!$Q:$Q,манзилли!$I:$I,'свод (худуд)'!$B24))</f>
        <v>596849</v>
      </c>
      <c r="G24" s="29">
        <f>(+SUMIFS(манзилли!$S:$S,манзилли!$I:$I,'свод (худуд)'!$B24))</f>
        <v>29788</v>
      </c>
      <c r="H24" s="29">
        <f>(+SUMIFS(манзилли!$U:$U,манзилли!$I:$I,'свод (худуд)'!$B24))</f>
        <v>14385</v>
      </c>
      <c r="I24" s="30">
        <f>+SUMIFS(манзилли!$Y:$Y,манзилли!$I:$I,'свод (худуд)'!$B24)</f>
        <v>4258</v>
      </c>
      <c r="J24" s="28">
        <f>+(COUNTIFS(манзилли!$L:$L,"&gt;0",манзилли!$I:$I,'свод (худуд)'!$B24)+COUNTIFS('Қўшимча ишга тушган'!$T:$T,"&gt;0",'Қўшимча ишга тушган'!$I:$I,'свод (худуд)'!$B24))</f>
        <v>213</v>
      </c>
      <c r="K24" s="30">
        <f>(+SUMIFS(манзилли!$L:$L,манзилли!$I:$I,'свод (худуд)'!$B24)+SUMIFS('Қўшимча ишга тушган'!$T:$T,'Қўшимча ишга тушган'!$I:$I,'свод (худуд)'!$B24))</f>
        <v>314478.99999999994</v>
      </c>
      <c r="L24" s="31">
        <f>+(SUMIFS(манзилли!$N:$N,манзилли!$I:$I,'свод (худуд)'!$B24)+SUMIFS('Қўшимча ишга тушган'!$V:$V,'Қўшимча ишга тушган'!$I:$I,'свод (худуд)'!$B24))</f>
        <v>33894.300000000003</v>
      </c>
      <c r="M24" s="29">
        <f>(+SUMIFS(манзилли!$R:$R,манзилли!$I:$I,'свод (худуд)'!$B24)+SUMIFS('Қўшимча ишга тушган'!$Z:$Z,'Қўшимча ишга тушган'!$I:$I,'свод (худуд)'!$B24))</f>
        <v>229429.7</v>
      </c>
      <c r="N24" s="29">
        <f>(+SUMIFS(манзилли!$T:$T,манзилли!$I:$I,'свод (худуд)'!$B24)+SUMIFS('Қўшимча ишга тушган'!$AB:$AB,'Қўшимча ишга тушган'!$I:$I,'свод (худуд)'!$B24))</f>
        <v>5035</v>
      </c>
      <c r="O24" s="30">
        <f>(+SUMIFS(манзилли!$V:$V,манзилли!$I:$I,'свод (худуд)'!$B24)+SUMIFS('Қўшимча ишга тушган'!$AD:$AD,'Қўшимча ишга тушган'!$I:$I,'свод (худуд)'!$B24))</f>
        <v>0</v>
      </c>
      <c r="P24" s="31">
        <f>+COUNTIFS(манзилли!$I:$I,'свод (худуд)'!$B24,манзилли!$AA:$AA,"&gt;31.12.2020",манзилли!$AA:$AA,"&lt;01.01.2022")</f>
        <v>247</v>
      </c>
      <c r="Q24" s="29">
        <f>(+SUMIFS(манзилли!$K:$K,манзилли!$I:$I,'свод (худуд)'!$B24,манзилли!$AA:$AA,"&gt;31.12.2020",манзилли!$AA:$AA,"&lt;01.01.2022"))</f>
        <v>1362744.1</v>
      </c>
      <c r="R24" s="29">
        <f>(+SUMIFS(манзилли!$M:$M,манзилли!$I:$I,'свод (худуд)'!$B24,манзилли!$AA:$AA,"&gt;31.12.2020",манзилли!$AA:$AA,"&lt;01.01.2022"))</f>
        <v>519733</v>
      </c>
      <c r="S24" s="29">
        <f>(+SUMIFS(манзилли!$Q:$Q,манзилли!$I:$I,'свод (худуд)'!$B24,манзилли!$AA:$AA,"&gt;31.12.2020",манзилли!$AA:$AA,"&lt;01.01.2022"))</f>
        <v>434862</v>
      </c>
      <c r="T24" s="29">
        <f>(+SUMIFS(манзилли!$S:$S,манзилли!$I:$I,'свод (худуд)'!$B24,манзилли!$AA:$AA,"&gt;31.12.2020",манзилли!$AA:$AA,"&lt;01.01.2022"))</f>
        <v>25802</v>
      </c>
      <c r="U24" s="29">
        <f>(+SUMIFS(манзилли!$U:$U,манзилли!$I:$I,'свод (худуд)'!$B24,манзилли!$AA:$AA,"&gt;31.12.2020",манзилли!$AA:$AA,"&lt;01.01.2022"))</f>
        <v>12885</v>
      </c>
      <c r="V24" s="30">
        <f>+SUMIFS(манзилли!$Y:$Y,манзилли!$I:$I,'свод (худуд)'!$B24,манзилли!$AA:$AA,"&gt;31.12.2020",манзилли!$AA:$AA,"&lt;01.01.2022")</f>
        <v>3260</v>
      </c>
      <c r="W24" s="28">
        <f t="shared" si="13"/>
        <v>11</v>
      </c>
      <c r="X24" s="29">
        <f t="shared" si="14"/>
        <v>11005</v>
      </c>
      <c r="Y24" s="29">
        <f t="shared" si="15"/>
        <v>5520</v>
      </c>
      <c r="Z24" s="29">
        <f t="shared" si="16"/>
        <v>4465</v>
      </c>
      <c r="AA24" s="29">
        <f t="shared" si="17"/>
        <v>100</v>
      </c>
      <c r="AB24" s="29">
        <f t="shared" si="18"/>
        <v>0</v>
      </c>
      <c r="AC24" s="30">
        <f t="shared" si="19"/>
        <v>52</v>
      </c>
      <c r="AD24" s="28">
        <f>+COUNTIFS(манзилли!$I:$I,'свод (худуд)'!$B24,манзилли!$AB:$AB,"&gt;31.12.2020",манзилли!$AA:$AA,"&gt;31.12.2020",манзилли!$AA:$AA,"&lt;01.01.2023")</f>
        <v>11</v>
      </c>
      <c r="AE24" s="29">
        <f>(+SUMIFS(манзилли!$L:$L,манзилли!$I:$I,'свод (худуд)'!$B24,манзилли!$AB:$AB,"&gt;31.12.2020",манзилли!$AA:$AA,"&gt;31.12.2020",манзилли!$AA:$AA,"&lt;01.01.2023"))</f>
        <v>11005</v>
      </c>
      <c r="AF24" s="29">
        <f>(+SUMIFS(манзилли!$N:$N,манзилли!$I:$I,'свод (худуд)'!$B24,манзилли!$AB:$AB,"&gt;31.12.2020",манзилли!$AA:$AA,"&gt;31.12.2020",манзилли!$AA:$AA,"&lt;01.01.2023"))</f>
        <v>5520</v>
      </c>
      <c r="AG24" s="29">
        <f>(+SUMIFS(манзилли!$R:$R,манзилли!$I:$I,'свод (худуд)'!$B24,манзилли!$AB:$AB,"&gt;31.12.2020",манзилли!$AA:$AA,"&gt;31.12.2020",манзилли!$AA:$AA,"&lt;01.01.2023"))</f>
        <v>4465</v>
      </c>
      <c r="AH24" s="29">
        <f>(+SUMIFS(манзилли!$T:$T,манзилли!$I:$I,'свод (худуд)'!$B24,манзилли!$AB:$AB,"&gt;31.12.2020",манзилли!$AA:$AA,"&gt;31.12.2020",манзилли!$AA:$AA,"&lt;01.01.2023"))</f>
        <v>100</v>
      </c>
      <c r="AI24" s="29">
        <f>(+SUMIFS(манзилли!$V:$V,манзилли!$I:$I,'свод (худуд)'!$B24,манзилли!$AB:$AB,"&gt;31.12.2020",манзилли!$AA:$AA,"&gt;31.12.2020",манзилли!$AA:$AA,"&lt;01.01.2023"))</f>
        <v>0</v>
      </c>
      <c r="AJ24" s="30">
        <f>+SUMIFS(манзилли!$Z:$Z,манзилли!$I:$I,'свод (худуд)'!$B24,манзилли!$AB:$AB,"&gt;31.12.2020",манзилли!$AA:$AA,"&gt;31.12.2020",манзилли!$AA:$AA,"&lt;01.01.2023")</f>
        <v>52</v>
      </c>
      <c r="AK24" s="28">
        <f>+COUNTIFS('Қўшимча ишга тушган'!$I:$I,'свод (худуд)'!$B24,'Қўшимча ишга тушган'!$AO:$AO,"&lt;01.10.2023")</f>
        <v>0</v>
      </c>
      <c r="AL24" s="29">
        <f>(+SUMIFS('Қўшимча ишга тушган'!$T:$T,'Қўшимча ишга тушган'!$I:$I,'свод (худуд)'!$B24,'Қўшимча ишга тушган'!$AO:$AO,"&lt;01.10.2023"))</f>
        <v>0</v>
      </c>
      <c r="AM24" s="29">
        <f>(+SUMIFS('Қўшимча ишга тушган'!$V:$V,'Қўшимча ишга тушган'!$I:$I,'свод (худуд)'!$B24,'Қўшимча ишга тушган'!$AO:$AO,"&lt;01.10.2023"))</f>
        <v>0</v>
      </c>
      <c r="AN24" s="29">
        <f>(+SUMIFS('Қўшимча ишга тушган'!$Z:$Z,'Қўшимча ишга тушган'!$I:$I,'свод (худуд)'!$B24,'Қўшимча ишга тушган'!$AO:$AO,"&lt;01.10.2023"))</f>
        <v>0</v>
      </c>
      <c r="AO24" s="29">
        <f>(+SUMIFS('Қўшимча ишга тушган'!$AB:$AB,'Қўшимча ишга тушган'!$I:$I,'свод (худуд)'!$B24,'Қўшимча ишга тушган'!$AO:$AO,"&lt;01.10.2023"))</f>
        <v>0</v>
      </c>
      <c r="AP24" s="29">
        <f>(+SUMIFS('Қўшимча ишга тушган'!$AD:$AD,'Қўшимча ишга тушган'!$I:$I,'свод (худуд)'!$B24,'Қўшимча ишга тушган'!$AO:$AO,"&lt;01.10.2023"))</f>
        <v>0</v>
      </c>
      <c r="AQ24" s="30">
        <f>+SUMIFS('Қўшимча ишга тушган'!$AM:$AM,'Қўшимча ишга тушган'!$I:$I,'свод (худуд)'!$B24,'Қўшимча ишга тушган'!$AO:$AO,"&lt;01.10.2023")</f>
        <v>0</v>
      </c>
      <c r="AR24" s="28">
        <f>+COUNTIFS(манзилли!$I:$I,'свод (худуд)'!$B24,манзилли!$AA:$AA,"&lt;01.02.2021",манзилли!$AB:$AB,"")</f>
        <v>0</v>
      </c>
      <c r="AS24" s="29">
        <f>(+SUMIFS(манзилли!$K:$K,манзилли!$I:$I,'свод (худуд)'!$B24,манзилли!$AA:$AA,"&lt;01.02.2021",манзилли!$AB:$AB,""))</f>
        <v>0</v>
      </c>
      <c r="AT24" s="29">
        <f>(+SUMIFS(манзилли!$M:$M,манзилли!$I:$I,'свод (худуд)'!$B24,манзилли!$AA:$AA,"&lt;01.02.2021",манзилли!$AB:$AB,""))</f>
        <v>0</v>
      </c>
      <c r="AU24" s="29">
        <f>(+SUMIFS(манзилли!$Q:$Q,манзилли!$I:$I,'свод (худуд)'!$B24,манзилли!$AA:$AA,"&lt;01.02.2021",манзилли!$AB:$AB,""))</f>
        <v>0</v>
      </c>
      <c r="AV24" s="29">
        <f>(+SUMIFS(манзилли!$S:$S,манзилли!$I:$I,'свод (худуд)'!$B24,манзилли!$AA:$AA,"&lt;01.02.2021",манзилли!$AB:$AB,""))</f>
        <v>0</v>
      </c>
      <c r="AW24" s="29">
        <f>(+SUMIFS(манзилли!$U:$U,манзилли!$I:$I,'свод (худуд)'!$B24,манзилли!$AA:$AA,"&lt;01.02.2021",манзилли!$AB:$AB,""))</f>
        <v>0</v>
      </c>
      <c r="AX24" s="30">
        <f>+SUMIFS(манзилли!$Y:$Y,манзилли!$I:$I,'свод (худуд)'!$B24,манзилли!$AA:$AA,"&lt;01.02.2021",манзилли!$AB:$AB,"")</f>
        <v>0</v>
      </c>
      <c r="AY24" s="28">
        <f>+COUNTIFS(манзилли!$I:$I,'свод (худуд)'!$B24,манзилли!$AA:$AA,"&lt;01.01.2022",манзилли!$AB:$AB,"")</f>
        <v>223</v>
      </c>
      <c r="AZ24" s="29">
        <f>(+SUMIFS(манзилли!$K:$K,манзилли!$I:$I,'свод (худуд)'!$B24,манзилли!$AA:$AA,"&lt;01.01.2022",манзилли!$AB:$AB,""))</f>
        <v>1328421.1000000001</v>
      </c>
      <c r="BA24" s="29">
        <f>(+SUMIFS(манзилли!$M:$M,манзилли!$I:$I,'свод (худуд)'!$B24,манзилли!$AA:$AA,"&lt;01.01.2022",манзилли!$AB:$AB,""))</f>
        <v>508783</v>
      </c>
      <c r="BB24" s="29">
        <f>(+SUMIFS(манзилли!$Q:$Q,манзилли!$I:$I,'свод (худуд)'!$B24,манзилли!$AA:$AA,"&lt;01.01.2022",манзилли!$AB:$AB,""))</f>
        <v>414296</v>
      </c>
      <c r="BC24" s="29">
        <f>(+SUMIFS(манзилли!$S:$S,манзилли!$I:$I,'свод (худуд)'!$B24,манзилли!$AA:$AA,"&lt;01.01.2022",манзилли!$AB:$AB,""))</f>
        <v>25612</v>
      </c>
      <c r="BD24" s="29">
        <f>(+SUMIFS(манзилли!$U:$U,манзилли!$I:$I,'свод (худуд)'!$B24,манзилли!$AA:$AA,"&lt;01.01.2022",манзилли!$AB:$AB,""))</f>
        <v>12885</v>
      </c>
      <c r="BE24" s="30">
        <f>+SUMIFS(манзилли!$Y:$Y,манзилли!$I:$I,'свод (худуд)'!$B24,манзилли!$AA:$AA,"&lt;01.01.2022",манзилли!$AB:$AB,"")</f>
        <v>3113</v>
      </c>
      <c r="BF24" s="31">
        <f>+COUNTIFS(манзилли!$I:$I,'свод (худуд)'!$B24,манзилли!$AA:$AA,"&lt;01.01.2023",манзилли!$AA:$AA,"&gt;=01.01.2022")</f>
        <v>36</v>
      </c>
      <c r="BG24" s="29">
        <f>(+SUMIFS(манзилли!$K:$K,манзилли!$I:$I,'свод (худуд)'!$B24,манзилли!$AA:$AA,"&lt;01.01.2023",манзилли!$AA:$AA,"&gt;=01.01.2022"))</f>
        <v>260802.8</v>
      </c>
      <c r="BH24" s="29">
        <f>(+SUMIFS(манзилли!$M:$M,манзилли!$I:$I,'свод (худуд)'!$B24,манзилли!$AA:$AA,"&lt;01.01.2023",манзилли!$AA:$AA,"&gt;=01.01.2022"))</f>
        <v>81410</v>
      </c>
      <c r="BI24" s="29">
        <f>(+SUMIFS(манзилли!$Q:$Q,манзилли!$I:$I,'свод (худуд)'!$B24,манзилли!$AA:$AA,"&lt;01.01.2023",манзилли!$AA:$AA,"&gt;=01.01.2022"))</f>
        <v>124150</v>
      </c>
      <c r="BJ24" s="29">
        <f>(+SUMIFS(манзилли!$S:$S,манзилли!$I:$I,'свод (худуд)'!$B24,манзилли!$AA:$AA,"&lt;01.01.2023",манзилли!$AA:$AA,"&gt;=01.01.2022"))</f>
        <v>3856</v>
      </c>
      <c r="BK24" s="29">
        <f>(+SUMIFS(манзилли!$U:$U,манзилли!$I:$I,'свод (худуд)'!$B24,манзилли!$AA:$AA,"&lt;01.01.2023",манзилли!$AA:$AA,"&gt;=01.01.2022"))</f>
        <v>1500</v>
      </c>
      <c r="BL24" s="30">
        <f>+SUMIFS(манзилли!$Y:$Y,манзилли!$I:$I,'свод (худуд)'!$B24,манзилли!$AA:$AA,"&lt;01.01.2023",манзилли!$AA:$AA,"&gt;=01.01.2022")</f>
        <v>750</v>
      </c>
    </row>
    <row r="25" spans="1:64" s="3" customFormat="1" ht="35.25" customHeight="1" thickBot="1">
      <c r="A25" s="35">
        <v>3</v>
      </c>
      <c r="B25" s="36" t="s">
        <v>10</v>
      </c>
      <c r="C25" s="37">
        <f>+COUNTIFS(манзилли!$I:$I,'свод (худуд)'!$B25)</f>
        <v>365</v>
      </c>
      <c r="D25" s="38">
        <f>(+SUMIFS(манзилли!$K:$K,манзилли!$I:$I,'свод (худуд)'!$B25))</f>
        <v>1977424.0937999999</v>
      </c>
      <c r="E25" s="38">
        <f>(+SUMIFS(манзилли!$M:$M,манзилли!$I:$I,'свод (худуд)'!$B25))</f>
        <v>946169.78114000009</v>
      </c>
      <c r="F25" s="38">
        <f>(+SUMIFS(манзилли!$Q:$Q,манзилли!$I:$I,'свод (худуд)'!$B25))</f>
        <v>662828.51266000001</v>
      </c>
      <c r="G25" s="38">
        <f>(+SUMIFS(манзилли!$S:$S,манзилли!$I:$I,'свод (худуд)'!$B25))</f>
        <v>11766</v>
      </c>
      <c r="H25" s="38">
        <f>(+SUMIFS(манзилли!$U:$U,манзилли!$I:$I,'свод (худуд)'!$B25))</f>
        <v>23300</v>
      </c>
      <c r="I25" s="39">
        <f>+SUMIFS(манзилли!$Y:$Y,манзилли!$I:$I,'свод (худуд)'!$B25)</f>
        <v>4157</v>
      </c>
      <c r="J25" s="58">
        <f>+(COUNTIFS(манзилли!$L:$L,"&gt;0",манзилли!$I:$I,'свод (худуд)'!$B25)+COUNTIFS('Қўшимча ишга тушган'!$T:$T,"&gt;0",'Қўшимча ишга тушган'!$I:$I,'свод (худуд)'!$B25))</f>
        <v>230</v>
      </c>
      <c r="K25" s="63">
        <f>(+SUMIFS(манзилли!$L:$L,манзилли!$I:$I,'свод (худуд)'!$B25)+SUMIFS('Қўшимча ишга тушган'!$T:$T,'Қўшимча ишга тушган'!$I:$I,'свод (худуд)'!$B25))</f>
        <v>526154.76</v>
      </c>
      <c r="L25" s="62">
        <f>+(SUMIFS(манзилли!$N:$N,манзилли!$I:$I,'свод (худуд)'!$B25)+SUMIFS('Қўшимча ишга тушган'!$V:$V,'Қўшимча ишга тушган'!$I:$I,'свод (худуд)'!$B25))</f>
        <v>237292.79999999999</v>
      </c>
      <c r="M25" s="59">
        <f>(+SUMIFS(манзилли!$R:$R,манзилли!$I:$I,'свод (худуд)'!$B25)+SUMIFS('Қўшимча ишга тушган'!$Z:$Z,'Қўшимча ишга тушган'!$I:$I,'свод (худуд)'!$B25))</f>
        <v>230959.8</v>
      </c>
      <c r="N25" s="59">
        <f>(+SUMIFS(манзилли!$T:$T,манзилли!$I:$I,'свод (худуд)'!$B25)+SUMIFS('Қўшимча ишга тушган'!$AB:$AB,'Қўшимча ишга тушган'!$I:$I,'свод (худуд)'!$B25))</f>
        <v>5670.8</v>
      </c>
      <c r="O25" s="63">
        <f>(+SUMIFS(манзилли!$V:$V,манзилли!$I:$I,'свод (худуд)'!$B25)+SUMIFS('Қўшимча ишга тушган'!$AD:$AD,'Қўшимча ишга тушган'!$I:$I,'свод (худуд)'!$B25))</f>
        <v>0</v>
      </c>
      <c r="P25" s="40">
        <f>+COUNTIFS(манзилли!$I:$I,'свод (худуд)'!$B25,манзилли!$AA:$AA,"&gt;31.12.2020",манзилли!$AA:$AA,"&lt;01.01.2022")</f>
        <v>260</v>
      </c>
      <c r="Q25" s="38">
        <f>(+SUMIFS(манзилли!$K:$K,манзилли!$I:$I,'свод (худуд)'!$B25,манзилли!$AA:$AA,"&gt;31.12.2020",манзилли!$AA:$AA,"&lt;01.01.2022"))</f>
        <v>1227667.0937999999</v>
      </c>
      <c r="R25" s="38">
        <f>(+SUMIFS(манзилли!$M:$M,манзилли!$I:$I,'свод (худуд)'!$B25,манзилли!$AA:$AA,"&gt;31.12.2020",манзилли!$AA:$AA,"&lt;01.01.2022"))</f>
        <v>687529.78114000009</v>
      </c>
      <c r="S25" s="38">
        <f>(+SUMIFS(манзилли!$Q:$Q,манзилли!$I:$I,'свод (худуд)'!$B25,манзилли!$AA:$AA,"&gt;31.12.2020",манзилли!$AA:$AA,"&lt;01.01.2022"))</f>
        <v>373424.51266000001</v>
      </c>
      <c r="T25" s="38">
        <f>(+SUMIFS(манзилли!$S:$S,манзилли!$I:$I,'свод (худуд)'!$B25,манзилли!$AA:$AA,"&gt;31.12.2020",манзилли!$AA:$AA,"&lt;01.01.2022"))</f>
        <v>5376</v>
      </c>
      <c r="U25" s="38">
        <f>(+SUMIFS(манзилли!$U:$U,манзилли!$I:$I,'свод (худуд)'!$B25,манзилли!$AA:$AA,"&gt;31.12.2020",манзилли!$AA:$AA,"&lt;01.01.2022"))</f>
        <v>9800</v>
      </c>
      <c r="V25" s="39">
        <f>+SUMIFS(манзилли!$Y:$Y,манзилли!$I:$I,'свод (худуд)'!$B25,манзилли!$AA:$AA,"&gt;31.12.2020",манзилли!$AA:$AA,"&lt;01.01.2022")</f>
        <v>3007</v>
      </c>
      <c r="W25" s="37">
        <f t="shared" si="13"/>
        <v>24</v>
      </c>
      <c r="X25" s="38">
        <f t="shared" si="14"/>
        <v>58284.5</v>
      </c>
      <c r="Y25" s="38">
        <f t="shared" si="15"/>
        <v>35991</v>
      </c>
      <c r="Z25" s="38">
        <f t="shared" si="16"/>
        <v>21779</v>
      </c>
      <c r="AA25" s="38">
        <f t="shared" si="17"/>
        <v>49</v>
      </c>
      <c r="AB25" s="38">
        <f t="shared" si="18"/>
        <v>0</v>
      </c>
      <c r="AC25" s="39">
        <f t="shared" si="19"/>
        <v>193</v>
      </c>
      <c r="AD25" s="37">
        <f>+COUNTIFS(манзилли!$I:$I,'свод (худуд)'!$B25,манзилли!$AB:$AB,"&gt;31.12.2020",манзилли!$AA:$AA,"&gt;31.12.2020",манзилли!$AA:$AA,"&lt;01.01.2023")</f>
        <v>24</v>
      </c>
      <c r="AE25" s="38">
        <f>(+SUMIFS(манзилли!$L:$L,манзилли!$I:$I,'свод (худуд)'!$B25,манзилли!$AB:$AB,"&gt;31.12.2020",манзилли!$AA:$AA,"&gt;31.12.2020",манзилли!$AA:$AA,"&lt;01.01.2023"))</f>
        <v>58284.5</v>
      </c>
      <c r="AF25" s="38">
        <f>(+SUMIFS(манзилли!$N:$N,манзилли!$I:$I,'свод (худуд)'!$B25,манзилли!$AB:$AB,"&gt;31.12.2020",манзилли!$AA:$AA,"&gt;31.12.2020",манзилли!$AA:$AA,"&lt;01.01.2023"))</f>
        <v>35991</v>
      </c>
      <c r="AG25" s="38">
        <f>(+SUMIFS(манзилли!$R:$R,манзилли!$I:$I,'свод (худуд)'!$B25,манзилли!$AB:$AB,"&gt;31.12.2020",манзилли!$AA:$AA,"&gt;31.12.2020",манзилли!$AA:$AA,"&lt;01.01.2023"))</f>
        <v>21779</v>
      </c>
      <c r="AH25" s="38">
        <f>(+SUMIFS(манзилли!$T:$T,манзилли!$I:$I,'свод (худуд)'!$B25,манзилли!$AB:$AB,"&gt;31.12.2020",манзилли!$AA:$AA,"&gt;31.12.2020",манзилли!$AA:$AA,"&lt;01.01.2023"))</f>
        <v>49</v>
      </c>
      <c r="AI25" s="38">
        <f>(+SUMIFS(манзилли!$V:$V,манзилли!$I:$I,'свод (худуд)'!$B25,манзилли!$AB:$AB,"&gt;31.12.2020",манзилли!$AA:$AA,"&gt;31.12.2020",манзилли!$AA:$AA,"&lt;01.01.2023"))</f>
        <v>0</v>
      </c>
      <c r="AJ25" s="39">
        <f>+SUMIFS(манзилли!$Z:$Z,манзилли!$I:$I,'свод (худуд)'!$B25,манзилли!$AB:$AB,"&gt;31.12.2020",манзилли!$AA:$AA,"&gt;31.12.2020",манзилли!$AA:$AA,"&lt;01.01.2023")</f>
        <v>193</v>
      </c>
      <c r="AK25" s="37">
        <f>+COUNTIFS('Қўшимча ишга тушган'!$I:$I,'свод (худуд)'!$B25,'Қўшимча ишга тушган'!$AO:$AO,"&lt;01.10.2023")</f>
        <v>0</v>
      </c>
      <c r="AL25" s="38">
        <f>(+SUMIFS('Қўшимча ишга тушган'!$T:$T,'Қўшимча ишга тушган'!$I:$I,'свод (худуд)'!$B25,'Қўшимча ишга тушган'!$AO:$AO,"&lt;01.10.2023"))</f>
        <v>0</v>
      </c>
      <c r="AM25" s="38">
        <f>(+SUMIFS('Қўшимча ишга тушган'!$V:$V,'Қўшимча ишга тушган'!$I:$I,'свод (худуд)'!$B25,'Қўшимча ишга тушган'!$AO:$AO,"&lt;01.10.2023"))</f>
        <v>0</v>
      </c>
      <c r="AN25" s="38">
        <f>(+SUMIFS('Қўшимча ишга тушган'!$Z:$Z,'Қўшимча ишга тушган'!$I:$I,'свод (худуд)'!$B25,'Қўшимча ишга тушган'!$AO:$AO,"&lt;01.10.2023"))</f>
        <v>0</v>
      </c>
      <c r="AO25" s="38">
        <f>(+SUMIFS('Қўшимча ишга тушган'!$AB:$AB,'Қўшимча ишга тушган'!$I:$I,'свод (худуд)'!$B25,'Қўшимча ишга тушган'!$AO:$AO,"&lt;01.10.2023"))</f>
        <v>0</v>
      </c>
      <c r="AP25" s="38">
        <f>(+SUMIFS('Қўшимча ишга тушган'!$AD:$AD,'Қўшимча ишга тушган'!$I:$I,'свод (худуд)'!$B25,'Қўшимча ишга тушган'!$AO:$AO,"&lt;01.10.2023"))</f>
        <v>0</v>
      </c>
      <c r="AQ25" s="39">
        <f>+SUMIFS('Қўшимча ишга тушган'!$AM:$AM,'Қўшимча ишга тушган'!$I:$I,'свод (худуд)'!$B25,'Қўшимча ишга тушган'!$AO:$AO,"&lt;01.10.2023")</f>
        <v>0</v>
      </c>
      <c r="AR25" s="37">
        <f>+COUNTIFS(манзилли!$I:$I,'свод (худуд)'!$B25,манзилли!$AA:$AA,"&lt;01.02.2021",манзилли!$AB:$AB,"")</f>
        <v>0</v>
      </c>
      <c r="AS25" s="38">
        <f>(+SUMIFS(манзилли!$K:$K,манзилли!$I:$I,'свод (худуд)'!$B25,манзилли!$AA:$AA,"&lt;01.02.2021",манзилли!$AB:$AB,""))</f>
        <v>0</v>
      </c>
      <c r="AT25" s="38">
        <f>(+SUMIFS(манзилли!$M:$M,манзилли!$I:$I,'свод (худуд)'!$B25,манзилли!$AA:$AA,"&lt;01.02.2021",манзилли!$AB:$AB,""))</f>
        <v>0</v>
      </c>
      <c r="AU25" s="38">
        <f>(+SUMIFS(манзилли!$Q:$Q,манзилли!$I:$I,'свод (худуд)'!$B25,манзилли!$AA:$AA,"&lt;01.02.2021",манзилли!$AB:$AB,""))</f>
        <v>0</v>
      </c>
      <c r="AV25" s="38">
        <f>(+SUMIFS(манзилли!$S:$S,манзилли!$I:$I,'свод (худуд)'!$B25,манзилли!$AA:$AA,"&lt;01.02.2021",манзилли!$AB:$AB,""))</f>
        <v>0</v>
      </c>
      <c r="AW25" s="38">
        <f>(+SUMIFS(манзилли!$U:$U,манзилли!$I:$I,'свод (худуд)'!$B25,манзилли!$AA:$AA,"&lt;01.02.2021",манзилли!$AB:$AB,""))</f>
        <v>0</v>
      </c>
      <c r="AX25" s="39">
        <f>+SUMIFS(манзилли!$Y:$Y,манзилли!$I:$I,'свод (худуд)'!$B25,манзилли!$AA:$AA,"&lt;01.02.2021",манзилли!$AB:$AB,"")</f>
        <v>0</v>
      </c>
      <c r="AY25" s="37">
        <f>+COUNTIFS(манзилли!$I:$I,'свод (худуд)'!$B25,манзилли!$AA:$AA,"&lt;01.01.2022",манзилли!$AB:$AB,"")</f>
        <v>212</v>
      </c>
      <c r="AZ25" s="38">
        <f>(+SUMIFS(манзилли!$K:$K,манзилли!$I:$I,'свод (худуд)'!$B25,манзилли!$AA:$AA,"&lt;01.01.2022",манзилли!$AB:$AB,""))</f>
        <v>1001285.1037999999</v>
      </c>
      <c r="BA25" s="38">
        <f>(+SUMIFS(манзилли!$M:$M,манзилли!$I:$I,'свод (худуд)'!$B25,манзилли!$AA:$AA,"&lt;01.01.2022",манзилли!$AB:$AB,""))</f>
        <v>525713.49114000006</v>
      </c>
      <c r="BB25" s="38">
        <f>(+SUMIFS(манзилли!$Q:$Q,манзилли!$I:$I,'свод (худуд)'!$B25,манзилли!$AA:$AA,"&lt;01.01.2022",манзилли!$AB:$AB,""))</f>
        <v>309373.81266</v>
      </c>
      <c r="BC25" s="38">
        <f>(+SUMIFS(манзилли!$S:$S,манзилли!$I:$I,'свод (худуд)'!$B25,манзилли!$AA:$AA,"&lt;01.01.2022",манзилли!$AB:$AB,""))</f>
        <v>5326</v>
      </c>
      <c r="BD25" s="38">
        <f>(+SUMIFS(манзилли!$U:$U,манзилли!$I:$I,'свод (худуд)'!$B25,манзилли!$AA:$AA,"&lt;01.01.2022",манзилли!$AB:$AB,""))</f>
        <v>9800</v>
      </c>
      <c r="BE25" s="39">
        <f>+SUMIFS(манзилли!$Y:$Y,манзилли!$I:$I,'свод (худуд)'!$B25,манзилли!$AA:$AA,"&lt;01.01.2022",манзилли!$AB:$AB,"")</f>
        <v>2464</v>
      </c>
      <c r="BF25" s="40">
        <f>+COUNTIFS(манзилли!$I:$I,'свод (худуд)'!$B25,манзилли!$AA:$AA,"&lt;01.01.2023",манзилли!$AA:$AA,"&gt;=01.01.2022")</f>
        <v>41</v>
      </c>
      <c r="BG25" s="38">
        <f>(+SUMIFS(манзилли!$K:$K,манзилли!$I:$I,'свод (худуд)'!$B25,манзилли!$AA:$AA,"&lt;01.01.2023",манзилли!$AA:$AA,"&gt;=01.01.2022"))</f>
        <v>643046</v>
      </c>
      <c r="BH25" s="38">
        <f>(+SUMIFS(манзилли!$M:$M,манзилли!$I:$I,'свод (худуд)'!$B25,манзилли!$AA:$AA,"&lt;01.01.2023",манзилли!$AA:$AA,"&gt;=01.01.2022"))</f>
        <v>196600</v>
      </c>
      <c r="BI25" s="38">
        <f>(+SUMIFS(манзилли!$Q:$Q,манзилли!$I:$I,'свод (худуд)'!$B25,манзилли!$AA:$AA,"&lt;01.01.2023",манзилли!$AA:$AA,"&gt;=01.01.2022"))</f>
        <v>248160</v>
      </c>
      <c r="BJ25" s="38">
        <f>(+SUMIFS(манзилли!$S:$S,манзилли!$I:$I,'свод (худуд)'!$B25,манзилли!$AA:$AA,"&lt;01.01.2023",манзилли!$AA:$AA,"&gt;=01.01.2022"))</f>
        <v>6200</v>
      </c>
      <c r="BK25" s="38">
        <f>(+SUMIFS(манзилли!$U:$U,манзилли!$I:$I,'свод (худуд)'!$B25,манзилли!$AA:$AA,"&lt;01.01.2023",манзилли!$AA:$AA,"&gt;=01.01.2022"))</f>
        <v>13500</v>
      </c>
      <c r="BL25" s="39">
        <f>+SUMIFS(манзилли!$Y:$Y,манзилли!$I:$I,'свод (худуд)'!$B25,манзилли!$AA:$AA,"&lt;01.01.2023",манзилли!$AA:$AA,"&gt;=01.01.2022")</f>
        <v>811</v>
      </c>
    </row>
    <row r="26" spans="1:64" s="2" customFormat="1" ht="45.75" customHeight="1" thickBot="1">
      <c r="A26" s="135" t="s">
        <v>77</v>
      </c>
      <c r="B26" s="136"/>
      <c r="C26" s="42">
        <f>+SUM(C23:C25)</f>
        <v>968</v>
      </c>
      <c r="D26" s="43">
        <f t="shared" ref="D26:BE26" si="20">+SUM(D23:D25)</f>
        <v>8565835.2516947351</v>
      </c>
      <c r="E26" s="43">
        <f t="shared" si="20"/>
        <v>3294405.9390347372</v>
      </c>
      <c r="F26" s="43">
        <f t="shared" si="20"/>
        <v>1631107.51266</v>
      </c>
      <c r="G26" s="43">
        <f t="shared" si="20"/>
        <v>214321</v>
      </c>
      <c r="H26" s="43">
        <f t="shared" si="20"/>
        <v>139395</v>
      </c>
      <c r="I26" s="43">
        <f t="shared" si="20"/>
        <v>20232</v>
      </c>
      <c r="J26" s="57">
        <f t="shared" si="20"/>
        <v>590</v>
      </c>
      <c r="K26" s="57">
        <f t="shared" si="20"/>
        <v>1528094.28</v>
      </c>
      <c r="L26" s="57">
        <f t="shared" si="20"/>
        <v>309283.19999999995</v>
      </c>
      <c r="M26" s="57">
        <f t="shared" si="20"/>
        <v>573966</v>
      </c>
      <c r="N26" s="57">
        <f t="shared" si="20"/>
        <v>63244.400000000009</v>
      </c>
      <c r="O26" s="57">
        <f t="shared" si="20"/>
        <v>0</v>
      </c>
      <c r="P26" s="43">
        <f t="shared" si="20"/>
        <v>699</v>
      </c>
      <c r="Q26" s="43">
        <f t="shared" si="20"/>
        <v>6587027.9516947372</v>
      </c>
      <c r="R26" s="43">
        <f t="shared" si="20"/>
        <v>2629395.9390347367</v>
      </c>
      <c r="S26" s="43">
        <f t="shared" si="20"/>
        <v>1061254.51266</v>
      </c>
      <c r="T26" s="43">
        <f t="shared" si="20"/>
        <v>163990</v>
      </c>
      <c r="U26" s="43">
        <f t="shared" si="20"/>
        <v>117995</v>
      </c>
      <c r="V26" s="43">
        <f t="shared" si="20"/>
        <v>14954</v>
      </c>
      <c r="W26" s="43">
        <f>+SUM(W23:W25)</f>
        <v>39</v>
      </c>
      <c r="X26" s="43">
        <f t="shared" ref="X26:AC26" si="21">+SUM(X23:X25)</f>
        <v>74169.5</v>
      </c>
      <c r="Y26" s="43">
        <f t="shared" si="21"/>
        <v>45461</v>
      </c>
      <c r="Z26" s="43">
        <f t="shared" si="21"/>
        <v>27174</v>
      </c>
      <c r="AA26" s="43">
        <f t="shared" si="21"/>
        <v>149</v>
      </c>
      <c r="AB26" s="43">
        <f t="shared" si="21"/>
        <v>0</v>
      </c>
      <c r="AC26" s="43">
        <f t="shared" si="21"/>
        <v>257</v>
      </c>
      <c r="AD26" s="43">
        <f>+SUM(AD23:AD25)</f>
        <v>39</v>
      </c>
      <c r="AE26" s="43">
        <f t="shared" ref="AE26:AJ26" si="22">+SUM(AE23:AE25)</f>
        <v>74169.5</v>
      </c>
      <c r="AF26" s="43">
        <f t="shared" si="22"/>
        <v>45461</v>
      </c>
      <c r="AG26" s="43">
        <f t="shared" si="22"/>
        <v>27174</v>
      </c>
      <c r="AH26" s="43">
        <f t="shared" si="22"/>
        <v>149</v>
      </c>
      <c r="AI26" s="43">
        <f t="shared" si="22"/>
        <v>0</v>
      </c>
      <c r="AJ26" s="43">
        <f t="shared" si="22"/>
        <v>257</v>
      </c>
      <c r="AK26" s="43">
        <f>+SUM(AK23:AK25)</f>
        <v>0</v>
      </c>
      <c r="AL26" s="43">
        <f t="shared" si="20"/>
        <v>0</v>
      </c>
      <c r="AM26" s="43">
        <f t="shared" si="20"/>
        <v>0</v>
      </c>
      <c r="AN26" s="43">
        <f t="shared" si="20"/>
        <v>0</v>
      </c>
      <c r="AO26" s="43">
        <f t="shared" si="20"/>
        <v>0</v>
      </c>
      <c r="AP26" s="43">
        <f t="shared" si="20"/>
        <v>0</v>
      </c>
      <c r="AQ26" s="43">
        <f t="shared" si="20"/>
        <v>0</v>
      </c>
      <c r="AR26" s="43">
        <f t="shared" si="20"/>
        <v>0</v>
      </c>
      <c r="AS26" s="43">
        <f t="shared" si="20"/>
        <v>0</v>
      </c>
      <c r="AT26" s="43">
        <f t="shared" si="20"/>
        <v>0</v>
      </c>
      <c r="AU26" s="43">
        <f t="shared" si="20"/>
        <v>0</v>
      </c>
      <c r="AV26" s="43">
        <f t="shared" si="20"/>
        <v>0</v>
      </c>
      <c r="AW26" s="43">
        <f t="shared" si="20"/>
        <v>0</v>
      </c>
      <c r="AX26" s="43">
        <f t="shared" si="20"/>
        <v>0</v>
      </c>
      <c r="AY26" s="43">
        <f t="shared" si="20"/>
        <v>605</v>
      </c>
      <c r="AZ26" s="43">
        <f t="shared" si="20"/>
        <v>6292001.1616947362</v>
      </c>
      <c r="BA26" s="43">
        <f t="shared" si="20"/>
        <v>2442104.6490347367</v>
      </c>
      <c r="BB26" s="43">
        <f t="shared" si="20"/>
        <v>960919.81266000005</v>
      </c>
      <c r="BC26" s="43">
        <f t="shared" si="20"/>
        <v>163354</v>
      </c>
      <c r="BD26" s="43">
        <f t="shared" si="20"/>
        <v>117995</v>
      </c>
      <c r="BE26" s="43">
        <f t="shared" si="20"/>
        <v>14117</v>
      </c>
      <c r="BF26" s="43">
        <f t="shared" ref="BF26:BL26" si="23">+SUM(BF23:BF25)</f>
        <v>131</v>
      </c>
      <c r="BG26" s="43">
        <f t="shared" si="23"/>
        <v>1770195.8</v>
      </c>
      <c r="BH26" s="43">
        <f t="shared" si="23"/>
        <v>567027</v>
      </c>
      <c r="BI26" s="43">
        <f t="shared" si="23"/>
        <v>474900</v>
      </c>
      <c r="BJ26" s="43">
        <f t="shared" si="23"/>
        <v>49946</v>
      </c>
      <c r="BK26" s="43">
        <f t="shared" si="23"/>
        <v>21400</v>
      </c>
      <c r="BL26" s="43">
        <f t="shared" si="23"/>
        <v>4488</v>
      </c>
    </row>
    <row r="27" spans="1:64">
      <c r="C27" s="6">
        <f t="shared" ref="C27:AP27" si="24">+C26-C6</f>
        <v>0</v>
      </c>
      <c r="D27" s="6">
        <f t="shared" si="24"/>
        <v>0</v>
      </c>
      <c r="E27" s="6">
        <f t="shared" si="24"/>
        <v>0</v>
      </c>
      <c r="F27" s="6">
        <f t="shared" si="24"/>
        <v>0</v>
      </c>
      <c r="G27" s="6">
        <f t="shared" si="24"/>
        <v>0</v>
      </c>
      <c r="H27" s="6">
        <f t="shared" si="24"/>
        <v>0</v>
      </c>
      <c r="I27" s="6">
        <f t="shared" si="24"/>
        <v>0</v>
      </c>
      <c r="J27" s="6">
        <f t="shared" si="24"/>
        <v>0</v>
      </c>
      <c r="K27" s="6">
        <f t="shared" si="24"/>
        <v>0</v>
      </c>
      <c r="L27" s="6">
        <f t="shared" si="24"/>
        <v>0</v>
      </c>
      <c r="M27" s="6">
        <f t="shared" si="24"/>
        <v>0</v>
      </c>
      <c r="N27" s="6">
        <f t="shared" si="24"/>
        <v>0</v>
      </c>
      <c r="O27" s="6">
        <f t="shared" si="24"/>
        <v>0</v>
      </c>
      <c r="P27" s="6">
        <f t="shared" si="24"/>
        <v>0</v>
      </c>
      <c r="Q27" s="6">
        <f t="shared" si="24"/>
        <v>0</v>
      </c>
      <c r="R27" s="6">
        <f t="shared" si="24"/>
        <v>0</v>
      </c>
      <c r="S27" s="6">
        <f t="shared" si="24"/>
        <v>0</v>
      </c>
      <c r="T27" s="6">
        <f t="shared" si="24"/>
        <v>0</v>
      </c>
      <c r="U27" s="6">
        <f t="shared" si="24"/>
        <v>0</v>
      </c>
      <c r="V27" s="6">
        <f t="shared" si="24"/>
        <v>0</v>
      </c>
      <c r="W27" s="6">
        <f t="shared" si="24"/>
        <v>0</v>
      </c>
      <c r="X27" s="6">
        <f t="shared" si="24"/>
        <v>0</v>
      </c>
      <c r="Y27" s="6">
        <f t="shared" si="24"/>
        <v>0</v>
      </c>
      <c r="Z27" s="6">
        <f t="shared" si="24"/>
        <v>0</v>
      </c>
      <c r="AA27" s="6">
        <f t="shared" si="24"/>
        <v>0</v>
      </c>
      <c r="AB27" s="6">
        <f t="shared" si="24"/>
        <v>0</v>
      </c>
      <c r="AC27" s="6">
        <f t="shared" si="24"/>
        <v>0</v>
      </c>
      <c r="AD27" s="6">
        <f t="shared" ref="AD27:AJ27" si="25">+AD26-AD6</f>
        <v>0</v>
      </c>
      <c r="AE27" s="6">
        <f t="shared" si="25"/>
        <v>0</v>
      </c>
      <c r="AF27" s="6">
        <f t="shared" si="25"/>
        <v>0</v>
      </c>
      <c r="AG27" s="6">
        <f t="shared" si="25"/>
        <v>0</v>
      </c>
      <c r="AH27" s="6">
        <f t="shared" si="25"/>
        <v>0</v>
      </c>
      <c r="AI27" s="6">
        <f t="shared" si="25"/>
        <v>0</v>
      </c>
      <c r="AJ27" s="6">
        <f t="shared" si="25"/>
        <v>0</v>
      </c>
      <c r="AK27" s="6">
        <f t="shared" si="24"/>
        <v>0</v>
      </c>
      <c r="AL27" s="6">
        <f t="shared" si="24"/>
        <v>0</v>
      </c>
      <c r="AM27" s="6">
        <f t="shared" si="24"/>
        <v>0</v>
      </c>
      <c r="AN27" s="6">
        <f t="shared" si="24"/>
        <v>0</v>
      </c>
      <c r="AO27" s="6">
        <f t="shared" si="24"/>
        <v>0</v>
      </c>
      <c r="AP27" s="6">
        <f t="shared" si="24"/>
        <v>0</v>
      </c>
      <c r="AQ27" s="6">
        <f t="shared" ref="AQ27:BL27" si="26">+AQ26-AQ6</f>
        <v>0</v>
      </c>
      <c r="AR27" s="6">
        <f t="shared" si="26"/>
        <v>0</v>
      </c>
      <c r="AS27" s="6">
        <f t="shared" si="26"/>
        <v>0</v>
      </c>
      <c r="AT27" s="6">
        <f t="shared" si="26"/>
        <v>0</v>
      </c>
      <c r="AU27" s="6">
        <f t="shared" si="26"/>
        <v>0</v>
      </c>
      <c r="AV27" s="6">
        <f t="shared" si="26"/>
        <v>0</v>
      </c>
      <c r="AW27" s="6">
        <f t="shared" si="26"/>
        <v>0</v>
      </c>
      <c r="AX27" s="6">
        <f t="shared" si="26"/>
        <v>0</v>
      </c>
      <c r="AY27" s="6">
        <f t="shared" si="26"/>
        <v>0</v>
      </c>
      <c r="AZ27" s="6">
        <f t="shared" si="26"/>
        <v>0</v>
      </c>
      <c r="BA27" s="6">
        <f t="shared" si="26"/>
        <v>0</v>
      </c>
      <c r="BB27" s="6">
        <f t="shared" si="26"/>
        <v>0</v>
      </c>
      <c r="BC27" s="6">
        <f t="shared" si="26"/>
        <v>0</v>
      </c>
      <c r="BD27" s="6">
        <f t="shared" si="26"/>
        <v>0</v>
      </c>
      <c r="BE27" s="6">
        <f t="shared" si="26"/>
        <v>0</v>
      </c>
      <c r="BF27" s="6">
        <f t="shared" si="26"/>
        <v>0</v>
      </c>
      <c r="BG27" s="6">
        <f t="shared" si="26"/>
        <v>0</v>
      </c>
      <c r="BH27" s="6">
        <f t="shared" si="26"/>
        <v>0</v>
      </c>
      <c r="BI27" s="6">
        <f t="shared" si="26"/>
        <v>0</v>
      </c>
      <c r="BJ27" s="6">
        <f t="shared" si="26"/>
        <v>0</v>
      </c>
      <c r="BK27" s="6">
        <f t="shared" si="26"/>
        <v>0</v>
      </c>
      <c r="BL27" s="6">
        <f t="shared" si="26"/>
        <v>0</v>
      </c>
    </row>
    <row r="28" spans="1:64" ht="16.5">
      <c r="B28" s="17"/>
      <c r="C28" s="6">
        <f>+C26-C6</f>
        <v>0</v>
      </c>
      <c r="D28" s="6">
        <f t="shared" ref="D28:BE28" si="27">+D26-D6</f>
        <v>0</v>
      </c>
      <c r="E28" s="6">
        <f t="shared" si="27"/>
        <v>0</v>
      </c>
      <c r="F28" s="6">
        <f t="shared" si="27"/>
        <v>0</v>
      </c>
      <c r="G28" s="6">
        <f t="shared" si="27"/>
        <v>0</v>
      </c>
      <c r="H28" s="6">
        <f t="shared" si="27"/>
        <v>0</v>
      </c>
      <c r="I28" s="6">
        <f t="shared" si="27"/>
        <v>0</v>
      </c>
      <c r="J28" s="6">
        <f t="shared" si="27"/>
        <v>0</v>
      </c>
      <c r="K28" s="6">
        <f t="shared" si="27"/>
        <v>0</v>
      </c>
      <c r="L28" s="6">
        <f t="shared" si="27"/>
        <v>0</v>
      </c>
      <c r="M28" s="6">
        <f t="shared" si="27"/>
        <v>0</v>
      </c>
      <c r="N28" s="6">
        <f t="shared" si="27"/>
        <v>0</v>
      </c>
      <c r="O28" s="6">
        <f t="shared" si="27"/>
        <v>0</v>
      </c>
      <c r="P28" s="6">
        <f t="shared" si="27"/>
        <v>0</v>
      </c>
      <c r="Q28" s="6">
        <f t="shared" si="27"/>
        <v>0</v>
      </c>
      <c r="R28" s="6">
        <f t="shared" si="27"/>
        <v>0</v>
      </c>
      <c r="S28" s="6">
        <f t="shared" si="27"/>
        <v>0</v>
      </c>
      <c r="T28" s="6">
        <f t="shared" si="27"/>
        <v>0</v>
      </c>
      <c r="U28" s="6">
        <f t="shared" si="27"/>
        <v>0</v>
      </c>
      <c r="V28" s="6">
        <f t="shared" si="27"/>
        <v>0</v>
      </c>
      <c r="W28" s="6">
        <f t="shared" si="27"/>
        <v>0</v>
      </c>
      <c r="X28" s="6">
        <f t="shared" si="27"/>
        <v>0</v>
      </c>
      <c r="Y28" s="6">
        <f t="shared" si="27"/>
        <v>0</v>
      </c>
      <c r="Z28" s="6">
        <f t="shared" si="27"/>
        <v>0</v>
      </c>
      <c r="AA28" s="6">
        <f t="shared" si="27"/>
        <v>0</v>
      </c>
      <c r="AB28" s="6">
        <f t="shared" si="27"/>
        <v>0</v>
      </c>
      <c r="AC28" s="6">
        <f t="shared" si="27"/>
        <v>0</v>
      </c>
      <c r="AD28" s="6">
        <f t="shared" si="27"/>
        <v>0</v>
      </c>
      <c r="AE28" s="6">
        <f t="shared" si="27"/>
        <v>0</v>
      </c>
      <c r="AF28" s="6">
        <f t="shared" si="27"/>
        <v>0</v>
      </c>
      <c r="AG28" s="6">
        <f t="shared" si="27"/>
        <v>0</v>
      </c>
      <c r="AH28" s="6">
        <f t="shared" si="27"/>
        <v>0</v>
      </c>
      <c r="AI28" s="6">
        <f t="shared" si="27"/>
        <v>0</v>
      </c>
      <c r="AJ28" s="6">
        <f t="shared" si="27"/>
        <v>0</v>
      </c>
      <c r="AK28" s="6">
        <f t="shared" si="27"/>
        <v>0</v>
      </c>
      <c r="AL28" s="6">
        <f t="shared" si="27"/>
        <v>0</v>
      </c>
      <c r="AM28" s="6">
        <f t="shared" si="27"/>
        <v>0</v>
      </c>
      <c r="AN28" s="6">
        <f t="shared" si="27"/>
        <v>0</v>
      </c>
      <c r="AO28" s="6">
        <f t="shared" si="27"/>
        <v>0</v>
      </c>
      <c r="AP28" s="6">
        <f t="shared" si="27"/>
        <v>0</v>
      </c>
      <c r="AQ28" s="6">
        <f t="shared" si="27"/>
        <v>0</v>
      </c>
      <c r="AR28" s="6">
        <f t="shared" si="27"/>
        <v>0</v>
      </c>
      <c r="AS28" s="6">
        <f t="shared" si="27"/>
        <v>0</v>
      </c>
      <c r="AT28" s="6">
        <f t="shared" si="27"/>
        <v>0</v>
      </c>
      <c r="AU28" s="6">
        <f t="shared" si="27"/>
        <v>0</v>
      </c>
      <c r="AV28" s="6">
        <f t="shared" si="27"/>
        <v>0</v>
      </c>
      <c r="AW28" s="6">
        <f t="shared" si="27"/>
        <v>0</v>
      </c>
      <c r="AX28" s="6">
        <f t="shared" si="27"/>
        <v>0</v>
      </c>
      <c r="AY28" s="6">
        <f t="shared" si="27"/>
        <v>0</v>
      </c>
      <c r="AZ28" s="6">
        <f t="shared" si="27"/>
        <v>0</v>
      </c>
      <c r="BA28" s="6">
        <f t="shared" si="27"/>
        <v>0</v>
      </c>
      <c r="BB28" s="6">
        <f t="shared" si="27"/>
        <v>0</v>
      </c>
      <c r="BC28" s="6">
        <f t="shared" si="27"/>
        <v>0</v>
      </c>
      <c r="BD28" s="6">
        <f t="shared" si="27"/>
        <v>0</v>
      </c>
      <c r="BE28" s="6">
        <f t="shared" si="27"/>
        <v>0</v>
      </c>
      <c r="BF28" s="6">
        <f t="shared" ref="BF28:BL28" si="28">+BF26-BF6</f>
        <v>0</v>
      </c>
      <c r="BG28" s="6">
        <f t="shared" si="28"/>
        <v>0</v>
      </c>
      <c r="BH28" s="6">
        <f t="shared" si="28"/>
        <v>0</v>
      </c>
      <c r="BI28" s="6">
        <f t="shared" si="28"/>
        <v>0</v>
      </c>
      <c r="BJ28" s="6">
        <f t="shared" si="28"/>
        <v>0</v>
      </c>
      <c r="BK28" s="6">
        <f t="shared" si="28"/>
        <v>0</v>
      </c>
      <c r="BL28" s="6">
        <f t="shared" si="28"/>
        <v>0</v>
      </c>
    </row>
  </sheetData>
  <mergeCells count="52">
    <mergeCell ref="AD2:AQ2"/>
    <mergeCell ref="AZ4:AZ5"/>
    <mergeCell ref="BA4:BD4"/>
    <mergeCell ref="AY2:BE3"/>
    <mergeCell ref="AE4:AE5"/>
    <mergeCell ref="AF4:AI4"/>
    <mergeCell ref="A1:BL1"/>
    <mergeCell ref="P2:V3"/>
    <mergeCell ref="J4:J5"/>
    <mergeCell ref="K4:K5"/>
    <mergeCell ref="A2:A5"/>
    <mergeCell ref="B2:B5"/>
    <mergeCell ref="C2:I3"/>
    <mergeCell ref="J2:O3"/>
    <mergeCell ref="C4:C5"/>
    <mergeCell ref="D4:D5"/>
    <mergeCell ref="AR4:AR5"/>
    <mergeCell ref="AS4:AS5"/>
    <mergeCell ref="E4:H4"/>
    <mergeCell ref="AK3:AQ3"/>
    <mergeCell ref="AR2:AX2"/>
    <mergeCell ref="BE4:BE5"/>
    <mergeCell ref="A26:B26"/>
    <mergeCell ref="AQ4:AQ5"/>
    <mergeCell ref="I4:I5"/>
    <mergeCell ref="AC4:AC5"/>
    <mergeCell ref="AK4:AK5"/>
    <mergeCell ref="AL4:AL5"/>
    <mergeCell ref="L4:O4"/>
    <mergeCell ref="P4:P5"/>
    <mergeCell ref="Q4:Q5"/>
    <mergeCell ref="R4:U4"/>
    <mergeCell ref="V4:V5"/>
    <mergeCell ref="AJ4:AJ5"/>
    <mergeCell ref="X4:X5"/>
    <mergeCell ref="AD4:AD5"/>
    <mergeCell ref="W4:W5"/>
    <mergeCell ref="A22:BL22"/>
    <mergeCell ref="Y4:AB4"/>
    <mergeCell ref="BF2:BL3"/>
    <mergeCell ref="BF4:BF5"/>
    <mergeCell ref="BG4:BG5"/>
    <mergeCell ref="BH4:BK4"/>
    <mergeCell ref="BL4:BL5"/>
    <mergeCell ref="W2:AC3"/>
    <mergeCell ref="AR3:AX3"/>
    <mergeCell ref="AM4:AP4"/>
    <mergeCell ref="A6:B6"/>
    <mergeCell ref="AD3:AJ3"/>
    <mergeCell ref="AT4:AW4"/>
    <mergeCell ref="AX4:AX5"/>
    <mergeCell ref="AY4:AY5"/>
  </mergeCells>
  <printOptions horizontalCentered="1"/>
  <pageMargins left="0.19685039370078741" right="0.19685039370078741" top="0.39370078740157483" bottom="0.19685039370078741" header="0.19685039370078741" footer="0.19685039370078741"/>
  <pageSetup paperSize="9" scale="42" fitToHeight="10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28"/>
  <sheetViews>
    <sheetView showZeros="0" view="pageBreakPreview" zoomScale="70" zoomScaleNormal="55" zoomScaleSheetLayoutView="70" workbookViewId="0">
      <selection activeCell="AD23" sqref="AD23:AJ25"/>
    </sheetView>
  </sheetViews>
  <sheetFormatPr defaultColWidth="9.140625" defaultRowHeight="15" outlineLevelCol="1"/>
  <cols>
    <col min="1" max="1" width="5.140625" style="1" customWidth="1"/>
    <col min="2" max="2" width="31.140625" style="4" customWidth="1"/>
    <col min="3" max="3" width="8.5703125" style="1" customWidth="1"/>
    <col min="4" max="4" width="15.42578125" style="1" customWidth="1"/>
    <col min="5" max="6" width="13.140625" style="1" hidden="1" customWidth="1" outlineLevel="1"/>
    <col min="7" max="8" width="15.140625" style="1" hidden="1" customWidth="1" outlineLevel="1"/>
    <col min="9" max="9" width="11.85546875" style="1" customWidth="1" collapsed="1"/>
    <col min="10" max="10" width="8.42578125" style="1" customWidth="1"/>
    <col min="11" max="11" width="15.42578125" style="1" customWidth="1"/>
    <col min="12" max="13" width="13.140625" style="1" hidden="1" customWidth="1" outlineLevel="1"/>
    <col min="14" max="15" width="15.140625" style="1" hidden="1" customWidth="1" outlineLevel="1"/>
    <col min="16" max="16" width="8.5703125" style="1" customWidth="1" collapsed="1"/>
    <col min="17" max="17" width="15.42578125" style="1" customWidth="1"/>
    <col min="18" max="19" width="13.140625" style="1" hidden="1" customWidth="1" outlineLevel="1"/>
    <col min="20" max="21" width="15.140625" style="1" hidden="1" customWidth="1" outlineLevel="1"/>
    <col min="22" max="22" width="11.85546875" style="1" customWidth="1" collapsed="1"/>
    <col min="23" max="23" width="8.5703125" style="1" customWidth="1"/>
    <col min="24" max="24" width="15.42578125" style="1" customWidth="1"/>
    <col min="25" max="26" width="13.140625" style="1" hidden="1" customWidth="1" outlineLevel="1"/>
    <col min="27" max="28" width="15.140625" style="1" hidden="1" customWidth="1" outlineLevel="1"/>
    <col min="29" max="29" width="11.85546875" style="1" customWidth="1" collapsed="1"/>
    <col min="30" max="30" width="8.5703125" style="1" customWidth="1"/>
    <col min="31" max="31" width="15.42578125" style="1" customWidth="1"/>
    <col min="32" max="33" width="13.140625" style="1" hidden="1" customWidth="1" outlineLevel="1"/>
    <col min="34" max="35" width="15.140625" style="1" hidden="1" customWidth="1" outlineLevel="1"/>
    <col min="36" max="36" width="11.85546875" style="1" customWidth="1" collapsed="1"/>
    <col min="37" max="37" width="8.5703125" style="1" customWidth="1"/>
    <col min="38" max="38" width="15.42578125" style="1" customWidth="1"/>
    <col min="39" max="40" width="13.140625" style="1" hidden="1" customWidth="1" outlineLevel="1"/>
    <col min="41" max="42" width="15.140625" style="1" hidden="1" customWidth="1" outlineLevel="1"/>
    <col min="43" max="43" width="11.85546875" style="1" customWidth="1" collapsed="1"/>
    <col min="44" max="44" width="8.5703125" style="1" customWidth="1"/>
    <col min="45" max="45" width="15.42578125" style="1" customWidth="1"/>
    <col min="46" max="47" width="13.140625" style="1" hidden="1" customWidth="1" outlineLevel="1"/>
    <col min="48" max="49" width="15.140625" style="1" hidden="1" customWidth="1" outlineLevel="1"/>
    <col min="50" max="50" width="11.85546875" style="1" customWidth="1" collapsed="1"/>
    <col min="51" max="51" width="8.5703125" style="1" customWidth="1"/>
    <col min="52" max="52" width="15.42578125" style="1" customWidth="1"/>
    <col min="53" max="54" width="13.140625" style="1" hidden="1" customWidth="1" outlineLevel="1"/>
    <col min="55" max="56" width="15.140625" style="1" hidden="1" customWidth="1" outlineLevel="1"/>
    <col min="57" max="57" width="11.85546875" style="1" customWidth="1" collapsed="1"/>
    <col min="58" max="58" width="8.5703125" style="1" customWidth="1"/>
    <col min="59" max="59" width="15.42578125" style="1" customWidth="1"/>
    <col min="60" max="61" width="13.140625" style="1" hidden="1" customWidth="1" outlineLevel="1"/>
    <col min="62" max="63" width="15.140625" style="1" hidden="1" customWidth="1" outlineLevel="1"/>
    <col min="64" max="64" width="11.85546875" style="1" customWidth="1" collapsed="1"/>
    <col min="65" max="16384" width="9.140625" style="1"/>
  </cols>
  <sheetData>
    <row r="1" spans="1:64" ht="74.25" customHeight="1" thickBot="1">
      <c r="A1" s="140" t="s">
        <v>2019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</row>
    <row r="2" spans="1:64" s="5" customFormat="1" ht="26.25" customHeight="1" thickBot="1">
      <c r="A2" s="127" t="s">
        <v>72</v>
      </c>
      <c r="B2" s="127" t="s">
        <v>443</v>
      </c>
      <c r="C2" s="127" t="s">
        <v>79</v>
      </c>
      <c r="D2" s="127"/>
      <c r="E2" s="127"/>
      <c r="F2" s="127"/>
      <c r="G2" s="127"/>
      <c r="H2" s="127"/>
      <c r="I2" s="127"/>
      <c r="J2" s="127" t="s">
        <v>80</v>
      </c>
      <c r="K2" s="127"/>
      <c r="L2" s="127"/>
      <c r="M2" s="127"/>
      <c r="N2" s="127"/>
      <c r="O2" s="127"/>
      <c r="P2" s="127" t="s">
        <v>1769</v>
      </c>
      <c r="Q2" s="127"/>
      <c r="R2" s="127"/>
      <c r="S2" s="127"/>
      <c r="T2" s="127"/>
      <c r="U2" s="127"/>
      <c r="V2" s="127"/>
      <c r="W2" s="128" t="s">
        <v>2041</v>
      </c>
      <c r="X2" s="129"/>
      <c r="Y2" s="129"/>
      <c r="Z2" s="129"/>
      <c r="AA2" s="129"/>
      <c r="AB2" s="129"/>
      <c r="AC2" s="130"/>
      <c r="AD2" s="137" t="s">
        <v>1770</v>
      </c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9"/>
      <c r="AR2" s="141" t="s">
        <v>2075</v>
      </c>
      <c r="AS2" s="142"/>
      <c r="AT2" s="142"/>
      <c r="AU2" s="142"/>
      <c r="AV2" s="142"/>
      <c r="AW2" s="142"/>
      <c r="AX2" s="143"/>
      <c r="AY2" s="127" t="s">
        <v>73</v>
      </c>
      <c r="AZ2" s="127"/>
      <c r="BA2" s="127"/>
      <c r="BB2" s="127"/>
      <c r="BC2" s="127"/>
      <c r="BD2" s="127"/>
      <c r="BE2" s="127"/>
      <c r="BF2" s="127" t="s">
        <v>1780</v>
      </c>
      <c r="BG2" s="127"/>
      <c r="BH2" s="127"/>
      <c r="BI2" s="127"/>
      <c r="BJ2" s="127"/>
      <c r="BK2" s="127"/>
      <c r="BL2" s="127"/>
    </row>
    <row r="3" spans="1:64" s="5" customFormat="1" ht="50.25" customHeight="1" thickBot="1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31"/>
      <c r="X3" s="132"/>
      <c r="Y3" s="132"/>
      <c r="Z3" s="132"/>
      <c r="AA3" s="132"/>
      <c r="AB3" s="132"/>
      <c r="AC3" s="133"/>
      <c r="AD3" s="127" t="s">
        <v>2043</v>
      </c>
      <c r="AE3" s="127"/>
      <c r="AF3" s="127"/>
      <c r="AG3" s="127"/>
      <c r="AH3" s="127"/>
      <c r="AI3" s="127"/>
      <c r="AJ3" s="127"/>
      <c r="AK3" s="127" t="s">
        <v>2042</v>
      </c>
      <c r="AL3" s="127"/>
      <c r="AM3" s="127"/>
      <c r="AN3" s="127"/>
      <c r="AO3" s="127"/>
      <c r="AP3" s="127"/>
      <c r="AQ3" s="127"/>
      <c r="AR3" s="134" t="s">
        <v>74</v>
      </c>
      <c r="AS3" s="134"/>
      <c r="AT3" s="134"/>
      <c r="AU3" s="134"/>
      <c r="AV3" s="134"/>
      <c r="AW3" s="134"/>
      <c r="AX3" s="134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</row>
    <row r="4" spans="1:64" s="5" customFormat="1" ht="15" customHeight="1" thickBot="1">
      <c r="A4" s="127"/>
      <c r="B4" s="127"/>
      <c r="C4" s="127" t="s">
        <v>75</v>
      </c>
      <c r="D4" s="127" t="s">
        <v>1765</v>
      </c>
      <c r="E4" s="127" t="s">
        <v>82</v>
      </c>
      <c r="F4" s="127"/>
      <c r="G4" s="127"/>
      <c r="H4" s="127"/>
      <c r="I4" s="127" t="s">
        <v>81</v>
      </c>
      <c r="J4" s="127" t="s">
        <v>75</v>
      </c>
      <c r="K4" s="127" t="s">
        <v>1765</v>
      </c>
      <c r="L4" s="127" t="s">
        <v>82</v>
      </c>
      <c r="M4" s="127"/>
      <c r="N4" s="127"/>
      <c r="O4" s="127"/>
      <c r="P4" s="122" t="s">
        <v>75</v>
      </c>
      <c r="Q4" s="122" t="s">
        <v>1765</v>
      </c>
      <c r="R4" s="137" t="s">
        <v>82</v>
      </c>
      <c r="S4" s="138"/>
      <c r="T4" s="138"/>
      <c r="U4" s="139"/>
      <c r="V4" s="122" t="s">
        <v>76</v>
      </c>
      <c r="W4" s="122" t="s">
        <v>75</v>
      </c>
      <c r="X4" s="122" t="s">
        <v>1765</v>
      </c>
      <c r="Y4" s="127" t="s">
        <v>82</v>
      </c>
      <c r="Z4" s="127"/>
      <c r="AA4" s="127"/>
      <c r="AB4" s="127"/>
      <c r="AC4" s="127" t="s">
        <v>81</v>
      </c>
      <c r="AD4" s="127" t="s">
        <v>75</v>
      </c>
      <c r="AE4" s="127" t="s">
        <v>1765</v>
      </c>
      <c r="AF4" s="127" t="s">
        <v>82</v>
      </c>
      <c r="AG4" s="127"/>
      <c r="AH4" s="127"/>
      <c r="AI4" s="127"/>
      <c r="AJ4" s="127" t="s">
        <v>81</v>
      </c>
      <c r="AK4" s="127" t="s">
        <v>75</v>
      </c>
      <c r="AL4" s="127" t="s">
        <v>1765</v>
      </c>
      <c r="AM4" s="127" t="s">
        <v>82</v>
      </c>
      <c r="AN4" s="127"/>
      <c r="AO4" s="127"/>
      <c r="AP4" s="127"/>
      <c r="AQ4" s="127" t="s">
        <v>81</v>
      </c>
      <c r="AR4" s="127" t="s">
        <v>75</v>
      </c>
      <c r="AS4" s="127" t="s">
        <v>1765</v>
      </c>
      <c r="AT4" s="127" t="s">
        <v>82</v>
      </c>
      <c r="AU4" s="127"/>
      <c r="AV4" s="127"/>
      <c r="AW4" s="127"/>
      <c r="AX4" s="127" t="s">
        <v>81</v>
      </c>
      <c r="AY4" s="127" t="s">
        <v>75</v>
      </c>
      <c r="AZ4" s="127" t="s">
        <v>1765</v>
      </c>
      <c r="BA4" s="127" t="s">
        <v>82</v>
      </c>
      <c r="BB4" s="127"/>
      <c r="BC4" s="127"/>
      <c r="BD4" s="127"/>
      <c r="BE4" s="127" t="s">
        <v>81</v>
      </c>
      <c r="BF4" s="127" t="s">
        <v>75</v>
      </c>
      <c r="BG4" s="127" t="s">
        <v>1765</v>
      </c>
      <c r="BH4" s="127" t="s">
        <v>82</v>
      </c>
      <c r="BI4" s="127"/>
      <c r="BJ4" s="127"/>
      <c r="BK4" s="127"/>
      <c r="BL4" s="127" t="s">
        <v>76</v>
      </c>
    </row>
    <row r="5" spans="1:64" s="5" customFormat="1" ht="51.75" customHeight="1" thickBot="1">
      <c r="A5" s="127"/>
      <c r="B5" s="127"/>
      <c r="C5" s="127"/>
      <c r="D5" s="127"/>
      <c r="E5" s="83" t="s">
        <v>1766</v>
      </c>
      <c r="F5" s="83" t="s">
        <v>83</v>
      </c>
      <c r="G5" s="83" t="s">
        <v>1767</v>
      </c>
      <c r="H5" s="83" t="s">
        <v>1768</v>
      </c>
      <c r="I5" s="127"/>
      <c r="J5" s="127"/>
      <c r="K5" s="127"/>
      <c r="L5" s="83" t="s">
        <v>1766</v>
      </c>
      <c r="M5" s="83" t="s">
        <v>83</v>
      </c>
      <c r="N5" s="83" t="s">
        <v>1767</v>
      </c>
      <c r="O5" s="83" t="s">
        <v>1768</v>
      </c>
      <c r="P5" s="123"/>
      <c r="Q5" s="123"/>
      <c r="R5" s="83" t="s">
        <v>1766</v>
      </c>
      <c r="S5" s="83" t="s">
        <v>83</v>
      </c>
      <c r="T5" s="83" t="s">
        <v>1767</v>
      </c>
      <c r="U5" s="83" t="s">
        <v>1768</v>
      </c>
      <c r="V5" s="123"/>
      <c r="W5" s="123"/>
      <c r="X5" s="123"/>
      <c r="Y5" s="83" t="s">
        <v>1766</v>
      </c>
      <c r="Z5" s="83" t="s">
        <v>83</v>
      </c>
      <c r="AA5" s="83" t="s">
        <v>1767</v>
      </c>
      <c r="AB5" s="83" t="s">
        <v>1768</v>
      </c>
      <c r="AC5" s="127"/>
      <c r="AD5" s="127"/>
      <c r="AE5" s="127"/>
      <c r="AF5" s="83" t="s">
        <v>1766</v>
      </c>
      <c r="AG5" s="83" t="s">
        <v>83</v>
      </c>
      <c r="AH5" s="83" t="s">
        <v>1767</v>
      </c>
      <c r="AI5" s="83" t="s">
        <v>1768</v>
      </c>
      <c r="AJ5" s="127"/>
      <c r="AK5" s="127"/>
      <c r="AL5" s="127"/>
      <c r="AM5" s="83" t="s">
        <v>1766</v>
      </c>
      <c r="AN5" s="83" t="s">
        <v>83</v>
      </c>
      <c r="AO5" s="83" t="s">
        <v>1767</v>
      </c>
      <c r="AP5" s="83" t="s">
        <v>1768</v>
      </c>
      <c r="AQ5" s="127"/>
      <c r="AR5" s="127"/>
      <c r="AS5" s="127"/>
      <c r="AT5" s="83" t="s">
        <v>1766</v>
      </c>
      <c r="AU5" s="83" t="s">
        <v>83</v>
      </c>
      <c r="AV5" s="83" t="s">
        <v>1767</v>
      </c>
      <c r="AW5" s="83" t="s">
        <v>1768</v>
      </c>
      <c r="AX5" s="127"/>
      <c r="AY5" s="127"/>
      <c r="AZ5" s="127"/>
      <c r="BA5" s="83" t="s">
        <v>1766</v>
      </c>
      <c r="BB5" s="83" t="s">
        <v>83</v>
      </c>
      <c r="BC5" s="83" t="s">
        <v>1767</v>
      </c>
      <c r="BD5" s="83" t="s">
        <v>1768</v>
      </c>
      <c r="BE5" s="127"/>
      <c r="BF5" s="127"/>
      <c r="BG5" s="127"/>
      <c r="BH5" s="83" t="s">
        <v>1766</v>
      </c>
      <c r="BI5" s="83" t="s">
        <v>83</v>
      </c>
      <c r="BJ5" s="83" t="s">
        <v>1767</v>
      </c>
      <c r="BK5" s="83" t="s">
        <v>1768</v>
      </c>
      <c r="BL5" s="127"/>
    </row>
    <row r="6" spans="1:64" s="44" customFormat="1" ht="45.75" customHeight="1" thickBot="1">
      <c r="A6" s="135" t="s">
        <v>77</v>
      </c>
      <c r="B6" s="136"/>
      <c r="C6" s="42">
        <f t="shared" ref="C6:AP6" si="0">+SUM(C7:C21)</f>
        <v>968</v>
      </c>
      <c r="D6" s="43">
        <f t="shared" si="0"/>
        <v>8565835.251694737</v>
      </c>
      <c r="E6" s="43">
        <f t="shared" si="0"/>
        <v>3294405.9390347367</v>
      </c>
      <c r="F6" s="43">
        <f t="shared" si="0"/>
        <v>1631107.51266</v>
      </c>
      <c r="G6" s="43">
        <f t="shared" si="0"/>
        <v>214321</v>
      </c>
      <c r="H6" s="43">
        <f t="shared" si="0"/>
        <v>139395</v>
      </c>
      <c r="I6" s="43">
        <f t="shared" si="0"/>
        <v>20232</v>
      </c>
      <c r="J6" s="57">
        <f t="shared" si="0"/>
        <v>590</v>
      </c>
      <c r="K6" s="57">
        <f t="shared" si="0"/>
        <v>1528094.28</v>
      </c>
      <c r="L6" s="57">
        <f t="shared" si="0"/>
        <v>309283.20000000001</v>
      </c>
      <c r="M6" s="57">
        <f t="shared" si="0"/>
        <v>573966</v>
      </c>
      <c r="N6" s="57">
        <f t="shared" si="0"/>
        <v>63244.4</v>
      </c>
      <c r="O6" s="57">
        <f t="shared" si="0"/>
        <v>0</v>
      </c>
      <c r="P6" s="43">
        <f t="shared" si="0"/>
        <v>699</v>
      </c>
      <c r="Q6" s="43">
        <f t="shared" si="0"/>
        <v>6587027.9516947363</v>
      </c>
      <c r="R6" s="43">
        <f t="shared" si="0"/>
        <v>2629395.9390347367</v>
      </c>
      <c r="S6" s="43">
        <f t="shared" si="0"/>
        <v>1061254.51266</v>
      </c>
      <c r="T6" s="43">
        <f t="shared" si="0"/>
        <v>163990</v>
      </c>
      <c r="U6" s="43">
        <f t="shared" si="0"/>
        <v>117995</v>
      </c>
      <c r="V6" s="43">
        <f t="shared" si="0"/>
        <v>14954</v>
      </c>
      <c r="W6" s="43">
        <f t="shared" si="0"/>
        <v>39</v>
      </c>
      <c r="X6" s="43">
        <f t="shared" si="0"/>
        <v>74169.5</v>
      </c>
      <c r="Y6" s="43">
        <f t="shared" si="0"/>
        <v>45461</v>
      </c>
      <c r="Z6" s="43">
        <f t="shared" si="0"/>
        <v>27174</v>
      </c>
      <c r="AA6" s="43">
        <f t="shared" si="0"/>
        <v>149</v>
      </c>
      <c r="AB6" s="43">
        <f t="shared" si="0"/>
        <v>0</v>
      </c>
      <c r="AC6" s="43">
        <f t="shared" ref="AC6" si="1">+SUM(AC7:AC21)</f>
        <v>257</v>
      </c>
      <c r="AD6" s="43">
        <f t="shared" ref="AD6:AJ6" si="2">+SUM(AD7:AD21)</f>
        <v>39</v>
      </c>
      <c r="AE6" s="43">
        <f t="shared" si="2"/>
        <v>74169.5</v>
      </c>
      <c r="AF6" s="43">
        <f t="shared" si="2"/>
        <v>45461</v>
      </c>
      <c r="AG6" s="43">
        <f t="shared" si="2"/>
        <v>27174</v>
      </c>
      <c r="AH6" s="43">
        <f t="shared" si="2"/>
        <v>149</v>
      </c>
      <c r="AI6" s="43">
        <f t="shared" si="2"/>
        <v>0</v>
      </c>
      <c r="AJ6" s="43">
        <f t="shared" si="2"/>
        <v>257</v>
      </c>
      <c r="AK6" s="43">
        <f t="shared" si="0"/>
        <v>0</v>
      </c>
      <c r="AL6" s="43">
        <f t="shared" si="0"/>
        <v>0</v>
      </c>
      <c r="AM6" s="43">
        <f t="shared" si="0"/>
        <v>0</v>
      </c>
      <c r="AN6" s="43">
        <f t="shared" si="0"/>
        <v>0</v>
      </c>
      <c r="AO6" s="43">
        <f t="shared" si="0"/>
        <v>0</v>
      </c>
      <c r="AP6" s="43">
        <f t="shared" si="0"/>
        <v>0</v>
      </c>
      <c r="AQ6" s="43">
        <f t="shared" ref="AQ6:BL6" si="3">+SUM(AQ7:AQ21)</f>
        <v>0</v>
      </c>
      <c r="AR6" s="43">
        <f t="shared" si="3"/>
        <v>0</v>
      </c>
      <c r="AS6" s="43">
        <f t="shared" si="3"/>
        <v>0</v>
      </c>
      <c r="AT6" s="43">
        <f t="shared" si="3"/>
        <v>0</v>
      </c>
      <c r="AU6" s="43">
        <f t="shared" si="3"/>
        <v>0</v>
      </c>
      <c r="AV6" s="43">
        <f t="shared" si="3"/>
        <v>0</v>
      </c>
      <c r="AW6" s="43">
        <f t="shared" si="3"/>
        <v>0</v>
      </c>
      <c r="AX6" s="43">
        <f t="shared" si="3"/>
        <v>0</v>
      </c>
      <c r="AY6" s="43">
        <f t="shared" si="3"/>
        <v>605</v>
      </c>
      <c r="AZ6" s="43">
        <f t="shared" si="3"/>
        <v>6292001.1616947362</v>
      </c>
      <c r="BA6" s="43">
        <f t="shared" si="3"/>
        <v>2442104.6490347367</v>
      </c>
      <c r="BB6" s="43">
        <f t="shared" si="3"/>
        <v>960919.81266000005</v>
      </c>
      <c r="BC6" s="43">
        <f t="shared" si="3"/>
        <v>163354</v>
      </c>
      <c r="BD6" s="43">
        <f t="shared" si="3"/>
        <v>117995</v>
      </c>
      <c r="BE6" s="43">
        <f t="shared" si="3"/>
        <v>14117</v>
      </c>
      <c r="BF6" s="43">
        <f t="shared" si="3"/>
        <v>131</v>
      </c>
      <c r="BG6" s="43">
        <f t="shared" si="3"/>
        <v>1770195.8</v>
      </c>
      <c r="BH6" s="43">
        <f t="shared" si="3"/>
        <v>567027</v>
      </c>
      <c r="BI6" s="43">
        <f t="shared" si="3"/>
        <v>474900</v>
      </c>
      <c r="BJ6" s="43">
        <f t="shared" si="3"/>
        <v>49946</v>
      </c>
      <c r="BK6" s="43">
        <f t="shared" si="3"/>
        <v>21400</v>
      </c>
      <c r="BL6" s="43">
        <f t="shared" si="3"/>
        <v>4488</v>
      </c>
    </row>
    <row r="7" spans="1:64" s="3" customFormat="1" ht="35.25" customHeight="1">
      <c r="A7" s="20">
        <v>1</v>
      </c>
      <c r="B7" s="21" t="s">
        <v>7</v>
      </c>
      <c r="C7" s="22">
        <f>+COUNTIFS(манзилли!$AD:$AD,'свод (банк)'!$B7)</f>
        <v>135</v>
      </c>
      <c r="D7" s="23">
        <f>(+SUMIFS(манзилли!$K:$K,манзилли!$AD:$AD,'свод (банк)'!$B7))</f>
        <v>853621</v>
      </c>
      <c r="E7" s="23">
        <f>(+SUMIFS(манзилли!$M:$M,манзилли!$AD:$AD,'свод (банк)'!$B7))</f>
        <v>282178</v>
      </c>
      <c r="F7" s="23">
        <f>(+SUMIFS(манзилли!$Q:$Q,манзилли!$AD:$AD,'свод (банк)'!$B7))</f>
        <v>262747</v>
      </c>
      <c r="G7" s="23">
        <f>(+SUMIFS(манзилли!$S:$S,манзилли!$AD:$AD,'свод (банк)'!$B7))</f>
        <v>28820</v>
      </c>
      <c r="H7" s="23">
        <f>(+SUMIFS(манзилли!$U:$U,манзилли!$AD:$AD,'свод (банк)'!$B7))</f>
        <v>1100</v>
      </c>
      <c r="I7" s="24">
        <f>+SUMIFS(манзилли!$Y:$Y,манзилли!$AD:$AD,'свод (банк)'!$B7)</f>
        <v>2303</v>
      </c>
      <c r="J7" s="22">
        <f>+(COUNTIFS(манзилли!$L:$L,"&gt;0",манзилли!$AD:$AD,'свод (банк)'!$B7)+COUNTIFS('Қўшимча ишга тушган'!$T:$T,"&gt;0",'Қўшимча ишга тушган'!$AQ:$AQ,'свод (банк)'!$B7))</f>
        <v>110</v>
      </c>
      <c r="K7" s="23">
        <f>(+SUMIFS(манзилли!$L:$L,манзилли!$AD:$AD,'свод (банк)'!$B7)+SUMIFS('Қўшимча ишга тушган'!$T:$T,'Қўшимча ишга тушган'!$AQ:$AQ,'свод (банк)'!$B7))</f>
        <v>290038.5</v>
      </c>
      <c r="L7" s="23">
        <f>+(SUMIFS(манзилли!$N:$N,манзилли!$AD:$AD,'свод (банк)'!$B7)+SUMIFS('Қўшимча ишга тушган'!$V:$V,'Қўшимча ишга тушган'!$AQ:$AQ,'свод (банк)'!$B7))</f>
        <v>61607.1</v>
      </c>
      <c r="M7" s="23">
        <f>(+SUMIFS(манзилли!$R:$R,манзилли!$AD:$AD,'свод (банк)'!$B7)+SUMIFS('Қўшимча ишга тушган'!$Z:$Z,'Қўшимча ишга тушган'!$AQ:$AQ,'свод (банк)'!$B7))</f>
        <v>133725.5</v>
      </c>
      <c r="N7" s="23">
        <f>(+SUMIFS(манзилли!$T:$T,манзилли!$AD:$AD,'свод (банк)'!$B7)+SUMIFS('Қўшимча ишга тушган'!$AB:$AB,'Қўшимча ишга тушган'!$AQ:$AQ,'свод (банк)'!$B7))</f>
        <v>9304.5</v>
      </c>
      <c r="O7" s="24">
        <f>(+SUMIFS(манзилли!$V:$V,манзилли!$AD:$AD,'свод (банк)'!$B7)+SUMIFS('Қўшимча ишга тушган'!$AD:$AD,'Қўшимча ишга тушган'!$AQ:$AQ,'свод (банк)'!$B7))</f>
        <v>0</v>
      </c>
      <c r="P7" s="25">
        <f>+COUNTIFS(манзилли!$AD:$AD,'свод (банк)'!$B7,манзилли!$AA:$AA,"&gt;31.12.2020",манзилли!$AA:$AA,"&lt;01.01.2022")</f>
        <v>86</v>
      </c>
      <c r="Q7" s="23">
        <f>(+SUMIFS(манзилли!$K:$K,манзилли!$AD:$AD,'свод (банк)'!$B7,манзилли!$AA:$AA,"&gt;31.12.2020",манзилли!$AA:$AA,"&lt;01.01.2022"))</f>
        <v>664757</v>
      </c>
      <c r="R7" s="23">
        <f>(+SUMIFS(манзилли!$M:$M,манзилли!$AD:$AD,'свод (банк)'!$B7,манзилли!$AA:$AA,"&gt;31.12.2020",манзилли!$AA:$AA,"&lt;01.01.2022"))</f>
        <v>228138</v>
      </c>
      <c r="S7" s="23">
        <f>(+SUMIFS(манзилли!$Q:$Q,манзилли!$AD:$AD,'свод (банк)'!$B7,манзилли!$AA:$AA,"&gt;31.12.2020",манзилли!$AA:$AA,"&lt;01.01.2022"))</f>
        <v>186123</v>
      </c>
      <c r="T7" s="23">
        <f>(+SUMIFS(манзилли!$S:$S,манзилли!$AD:$AD,'свод (банк)'!$B7,манзилли!$AA:$AA,"&gt;31.12.2020",манзилли!$AA:$AA,"&lt;01.01.2022"))</f>
        <v>24220</v>
      </c>
      <c r="U7" s="23">
        <f>(+SUMIFS(манзилли!$U:$U,манзилли!$AD:$AD,'свод (банк)'!$B7,манзилли!$AA:$AA,"&gt;31.12.2020",манзилли!$AA:$AA,"&lt;01.01.2022"))</f>
        <v>100</v>
      </c>
      <c r="V7" s="23">
        <f>+SUMIFS(манзилли!$Y:$Y,манзилли!$AD:$AD,'свод (банк)'!$B7,манзилли!$AA:$AA,"&gt;31.12.2020",манзилли!$AA:$AA,"&lt;01.01.2022")</f>
        <v>1196</v>
      </c>
      <c r="W7" s="22">
        <f>+AD7+AK7</f>
        <v>4</v>
      </c>
      <c r="X7" s="23">
        <f t="shared" ref="X7:AC21" si="4">+AE7+AL7</f>
        <v>3400</v>
      </c>
      <c r="Y7" s="23">
        <f t="shared" si="4"/>
        <v>2550</v>
      </c>
      <c r="Z7" s="23">
        <f t="shared" si="4"/>
        <v>850</v>
      </c>
      <c r="AA7" s="23">
        <f t="shared" si="4"/>
        <v>0</v>
      </c>
      <c r="AB7" s="23">
        <f t="shared" si="4"/>
        <v>0</v>
      </c>
      <c r="AC7" s="23">
        <f t="shared" si="4"/>
        <v>24</v>
      </c>
      <c r="AD7" s="22">
        <f>+COUNTIFS(манзилли!$AD:$AD,'свод (банк)'!$B7,манзилли!$AB:$AB,"&gt;31.12.2020",манзилли!$AA:$AA,"&gt;31.12.2020",манзилли!$AA:$AA,"&lt;01.01.2023")</f>
        <v>4</v>
      </c>
      <c r="AE7" s="23">
        <f>(+SUMIFS(манзилли!$L:$L,манзилли!$AD:$AD,'свод (банк)'!$B7,манзилли!$AB:$AB,"&gt;31.12.2020",манзилли!$AA:$AA,"&gt;31.12.2020",манзилли!$AA:$AA,"&lt;01.01.2023"))</f>
        <v>3400</v>
      </c>
      <c r="AF7" s="23">
        <f>(+SUMIFS(манзилли!$N:$N,манзилли!$AD:$AD,'свод (банк)'!$B7,манзилли!$AB:$AB,"&gt;31.12.2020",манзилли!$AA:$AA,"&gt;31.12.2020",манзилли!$AA:$AA,"&lt;01.01.2023"))</f>
        <v>2550</v>
      </c>
      <c r="AG7" s="23">
        <f>(+SUMIFS(манзилли!$R:$R,манзилли!$AD:$AD,'свод (банк)'!$B7,манзилли!$AB:$AB,"&gt;31.12.2020",манзилли!$AA:$AA,"&gt;31.12.2020",манзилли!$AA:$AA,"&lt;01.01.2023"))</f>
        <v>850</v>
      </c>
      <c r="AH7" s="23">
        <f>(+SUMIFS(манзилли!$T:$T,манзилли!$AD:$AD,'свод (банк)'!$B7,манзилли!$AB:$AB,"&gt;31.12.2020",манзилли!$AA:$AA,"&gt;31.12.2020",манзилли!$AA:$AA,"&lt;01.01.2023"))</f>
        <v>0</v>
      </c>
      <c r="AI7" s="23">
        <f>(+SUMIFS(манзилли!$V:$V,манзилли!$AD:$AD,'свод (банк)'!$B7,манзилли!$AB:$AB,"&gt;31.12.2020",манзилли!$AA:$AA,"&gt;31.12.2020",манзилли!$AA:$AA,"&lt;01.01.2023"))</f>
        <v>0</v>
      </c>
      <c r="AJ7" s="23">
        <f>+SUMIFS(манзилли!$Z:$Z,манзилли!$AD:$AD,'свод (банк)'!$B7,манзилли!$AB:$AB,"&gt;31.12.2020",манзилли!$AA:$AA,"&gt;31.12.2020",манзилли!$AA:$AA,"&lt;01.01.2023")</f>
        <v>24</v>
      </c>
      <c r="AK7" s="22">
        <f>+COUNTIFS('Қўшимча ишга тушган'!$AQ:$AQ,'свод (банк)'!B7,'Қўшимча ишга тушган'!$AO:$AO,"&lt;01.10.2023")</f>
        <v>0</v>
      </c>
      <c r="AL7" s="23">
        <f>(+SUMIFS('Қўшимча ишга тушган'!$T:$T,'Қўшимча ишга тушган'!$AQ:$AQ,'свод (банк)'!$B7,'Қўшимча ишга тушган'!$AO:$AO,"&lt;01.10.2023"))</f>
        <v>0</v>
      </c>
      <c r="AM7" s="23">
        <f>(+SUMIFS('Қўшимча ишга тушган'!$V:$V,'Қўшимча ишга тушган'!$AQ:$AQ,'свод (банк)'!$B7,'Қўшимча ишга тушган'!$AO:$AO,"&lt;01.10.2023"))</f>
        <v>0</v>
      </c>
      <c r="AN7" s="23">
        <f>(+SUMIFS('Қўшимча ишга тушган'!$Z:$Z,'Қўшимча ишга тушган'!$AQ:$AQ,'свод (банк)'!$B7,'Қўшимча ишга тушган'!$AO:$AO,"&lt;01.10.2023"))</f>
        <v>0</v>
      </c>
      <c r="AO7" s="23">
        <f>(+SUMIFS('Қўшимча ишга тушган'!$AB:$AB,'Қўшимча ишга тушган'!$AQ:$AQ,'свод (банк)'!$B7,'Қўшимча ишга тушган'!$AO:$AO,"&lt;01.10.2023"))</f>
        <v>0</v>
      </c>
      <c r="AP7" s="23">
        <f>(+SUMIFS('Қўшимча ишга тушган'!$AD:$AD,'Қўшимча ишга тушган'!$AQ:$AQ,'свод (банк)'!$B7,'Қўшимча ишга тушган'!$AO:$AO,"&lt;01.10.2023"))</f>
        <v>0</v>
      </c>
      <c r="AQ7" s="23">
        <f>+SUMIFS('Қўшимча ишга тушган'!$AM:$AM,'Қўшимча ишга тушган'!$AQ:$AQ,'свод (банк)'!$B7,'Қўшимча ишга тушган'!$AO:$AO,"&lt;01.10.2023")</f>
        <v>0</v>
      </c>
      <c r="AR7" s="22">
        <f>+COUNTIFS(манзилли!$AD:$AD,'свод (банк)'!$B7,манзилли!$AA:$AA,"&lt;01.02.2021",манзилли!$AB:$AB,"")</f>
        <v>0</v>
      </c>
      <c r="AS7" s="23">
        <f>(+SUMIFS(манзилли!$K:$K,манзилли!$AD:$AD,'свод (банк)'!$B7,манзилли!$AA:$AA,"&lt;01.02.2021",манзилли!$AB:$AB,""))</f>
        <v>0</v>
      </c>
      <c r="AT7" s="23">
        <f>(+SUMIFS(манзилли!$M:$M,манзилли!$AD:$AD,'свод (банк)'!$B7,манзилли!$AA:$AA,"&lt;01.02.2021",манзилли!$AB:$AB,""))</f>
        <v>0</v>
      </c>
      <c r="AU7" s="23">
        <f>(+SUMIFS(манзилли!$Q:$Q,манзилли!$AD:$AD,'свод (банк)'!$B7,манзилли!$AA:$AA,"&lt;01.02.2021",манзилли!$AB:$AB,""))</f>
        <v>0</v>
      </c>
      <c r="AV7" s="23">
        <f>(+SUMIFS(манзилли!$S:$S,манзилли!$AD:$AD,'свод (банк)'!$B7,манзилли!$AA:$AA,"&lt;01.02.2021",манзилли!$AB:$AB,""))</f>
        <v>0</v>
      </c>
      <c r="AW7" s="23">
        <f>(+SUMIFS(манзилли!$U:$U,манзилли!$AD:$AD,'свод (банк)'!$B7,манзилли!$AA:$AA,"&lt;01.02.2021",манзилли!$AB:$AB,""))</f>
        <v>0</v>
      </c>
      <c r="AX7" s="23">
        <f>+SUMIFS(манзилли!$Y:$Y,манзилли!$AD:$AD,'свод (банк)'!$B7,манзилли!$AA:$AA,"&lt;01.02.2021",манзилли!$AB:$AB,"")</f>
        <v>0</v>
      </c>
      <c r="AY7" s="22">
        <f>+COUNTIFS(манзилли!$AD:$AD,'свод (банк)'!$B7,манзилли!$AA:$AA,"&lt;01.01.2022",манзилли!$AB:$AB,"")</f>
        <v>63</v>
      </c>
      <c r="AZ7" s="23">
        <f>(+SUMIFS(манзилли!$K:$K,манзилли!$AD:$AD,'свод (банк)'!$B7,манзилли!$AA:$AA,"&lt;01.01.2022",манзилли!$AB:$AB,""))</f>
        <v>589127</v>
      </c>
      <c r="BA7" s="23">
        <f>(+SUMIFS(манзилли!$M:$M,манзилли!$AD:$AD,'свод (банк)'!$B7,манзилли!$AA:$AA,"&lt;01.01.2022",манзилли!$AB:$AB,""))</f>
        <v>181193</v>
      </c>
      <c r="BB7" s="23">
        <f>(+SUMIFS(манзилли!$Q:$Q,манзилли!$AD:$AD,'свод (банк)'!$B7,манзилли!$AA:$AA,"&lt;01.01.2022",манзилли!$AB:$AB,""))</f>
        <v>157438</v>
      </c>
      <c r="BC7" s="23">
        <f>(+SUMIFS(манзилли!$S:$S,манзилли!$AD:$AD,'свод (банк)'!$B7,манзилли!$AA:$AA,"&lt;01.01.2022",манзилли!$AB:$AB,""))</f>
        <v>24220</v>
      </c>
      <c r="BD7" s="23">
        <f>(+SUMIFS(манзилли!$U:$U,манзилли!$AD:$AD,'свод (банк)'!$B7,манзилли!$AA:$AA,"&lt;01.01.2022",манзилли!$AB:$AB,""))</f>
        <v>100</v>
      </c>
      <c r="BE7" s="24">
        <f>+SUMIFS(манзилли!$Y:$Y,манзилли!$AD:$AD,'свод (банк)'!$B7,манзилли!$AA:$AA,"&lt;01.01.2022",манзилли!$AB:$AB,"")</f>
        <v>1036</v>
      </c>
      <c r="BF7" s="22">
        <f>+COUNTIFS(манзилли!$AD:$AD,'свод (банк)'!$B7,манзилли!$AA:$AA,"&lt;01.01.2023",манзилли!$AA:$AA,"&gt;=01.01.2022")</f>
        <v>13</v>
      </c>
      <c r="BG7" s="23">
        <f>(+SUMIFS(манзилли!$K:$K,манзилли!$AD:$AD,'свод (банк)'!$B7,манзилли!$AA:$AA,"&lt;01.01.2023",манзилли!$AA:$AA,"&gt;=01.01.2022"))</f>
        <v>162930</v>
      </c>
      <c r="BH7" s="23">
        <f>(+SUMIFS(манзилли!$M:$M,манзилли!$AD:$AD,'свод (банк)'!$B7,манзилли!$AA:$AA,"&lt;01.01.2023",манзилли!$AA:$AA,"&gt;=01.01.2022"))</f>
        <v>43350</v>
      </c>
      <c r="BI7" s="23">
        <f>(+SUMIFS(манзилли!$Q:$Q,манзилли!$AD:$AD,'свод (банк)'!$B7,манзилли!$AA:$AA,"&lt;01.01.2023",манзилли!$AA:$AA,"&gt;=01.01.2022"))</f>
        <v>61900</v>
      </c>
      <c r="BJ7" s="23">
        <f>(+SUMIFS(манзилли!$S:$S,манзилли!$AD:$AD,'свод (банк)'!$B7,манзилли!$AA:$AA,"&lt;01.01.2023",манзилли!$AA:$AA,"&gt;=01.01.2022"))</f>
        <v>4600</v>
      </c>
      <c r="BK7" s="23">
        <f>(+SUMIFS(манзилли!$U:$U,манзилли!$AD:$AD,'свод (банк)'!$B7,манзилли!$AA:$AA,"&lt;01.01.2023",манзилли!$AA:$AA,"&gt;=01.01.2022"))</f>
        <v>1000</v>
      </c>
      <c r="BL7" s="24">
        <f>+SUMIFS(манзилли!$Y:$Y,манзилли!$AD:$AD,'свод (банк)'!$B7,манзилли!$AA:$AA,"&lt;01.01.2023",манзилли!$AA:$AA,"&gt;=01.01.2022")</f>
        <v>916</v>
      </c>
    </row>
    <row r="8" spans="1:64" s="3" customFormat="1" ht="35.25" customHeight="1">
      <c r="A8" s="26">
        <f>+A7+1</f>
        <v>2</v>
      </c>
      <c r="B8" s="27" t="s">
        <v>8</v>
      </c>
      <c r="C8" s="28">
        <f>+COUNTIFS(манзилли!$AD:$AD,'свод (банк)'!$B8)</f>
        <v>36</v>
      </c>
      <c r="D8" s="29">
        <f>(+SUMIFS(манзилли!$K:$K,манзилли!$AD:$AD,'свод (банк)'!$B8))</f>
        <v>217772</v>
      </c>
      <c r="E8" s="29">
        <f>(+SUMIFS(манзилли!$M:$M,манзилли!$AD:$AD,'свод (банк)'!$B8))</f>
        <v>133202</v>
      </c>
      <c r="F8" s="29">
        <f>(+SUMIFS(манзилли!$Q:$Q,манзилли!$AD:$AD,'свод (банк)'!$B8))</f>
        <v>84570</v>
      </c>
      <c r="G8" s="29">
        <f>(+SUMIFS(манзилли!$S:$S,манзилли!$AD:$AD,'свод (банк)'!$B8))</f>
        <v>0</v>
      </c>
      <c r="H8" s="29">
        <f>(+SUMIFS(манзилли!$U:$U,манзилли!$AD:$AD,'свод (банк)'!$B8))</f>
        <v>0</v>
      </c>
      <c r="I8" s="30">
        <f>+SUMIFS(манзилли!$Y:$Y,манзилли!$AD:$AD,'свод (банк)'!$B8)</f>
        <v>600</v>
      </c>
      <c r="J8" s="28">
        <f>+(COUNTIFS(манзилли!$L:$L,"&gt;0",манзилли!$AD:$AD,'свод (банк)'!$B8)+COUNTIFS('Қўшимча ишга тушган'!$T:$T,"&gt;0",'Қўшимча ишга тушган'!$AQ:$AQ,'свод (банк)'!$B8))</f>
        <v>17</v>
      </c>
      <c r="K8" s="29">
        <f>(+SUMIFS(манзилли!$L:$L,манзилли!$AD:$AD,'свод (банк)'!$B8)+SUMIFS('Қўшимча ишга тушган'!$T:$T,'Қўшимча ишга тушган'!$AQ:$AQ,'свод (банк)'!$B8))</f>
        <v>96173</v>
      </c>
      <c r="L8" s="29">
        <f>+(SUMIFS(манзилли!$N:$N,манзилли!$AD:$AD,'свод (банк)'!$B8)+SUMIFS('Қўшимча ишга тушган'!$V:$V,'Қўшимча ишга тушган'!$AQ:$AQ,'свод (банк)'!$B8))</f>
        <v>89067</v>
      </c>
      <c r="M8" s="29">
        <f>(+SUMIFS(манзилли!$R:$R,манзилли!$AD:$AD,'свод (банк)'!$B8)+SUMIFS('Қўшимча ишга тушган'!$Z:$Z,'Қўшимча ишга тушган'!$AQ:$AQ,'свод (банк)'!$B8))</f>
        <v>6086</v>
      </c>
      <c r="N8" s="29">
        <f>(+SUMIFS(манзилли!$T:$T,манзилли!$AD:$AD,'свод (банк)'!$B8)+SUMIFS('Қўшимча ишга тушган'!$AB:$AB,'Қўшимча ишга тушган'!$AQ:$AQ,'свод (банк)'!$B8))</f>
        <v>100</v>
      </c>
      <c r="O8" s="30">
        <f>(+SUMIFS(манзилли!$V:$V,манзилли!$AD:$AD,'свод (банк)'!$B8)+SUMIFS('Қўшимча ишга тушган'!$AD:$AD,'Қўшимча ишга тушган'!$AQ:$AQ,'свод (банк)'!$B8))</f>
        <v>0</v>
      </c>
      <c r="P8" s="31">
        <f>+COUNTIFS(манзилли!$AD:$AD,'свод (банк)'!$B8,манзилли!$AA:$AA,"&gt;31.12.2020",манзилли!$AA:$AA,"&lt;01.01.2022")</f>
        <v>27</v>
      </c>
      <c r="Q8" s="29">
        <f>(+SUMIFS(манзилли!$K:$K,манзилли!$AD:$AD,'свод (банк)'!$B8,манзилли!$AA:$AA,"&gt;31.12.2020",манзилли!$AA:$AA,"&lt;01.01.2022"))</f>
        <v>164922</v>
      </c>
      <c r="R8" s="29">
        <f>(+SUMIFS(манзилли!$M:$M,манзилли!$AD:$AD,'свод (банк)'!$B8,манзилли!$AA:$AA,"&gt;31.12.2020",манзилли!$AA:$AA,"&lt;01.01.2022"))</f>
        <v>117572.00000000001</v>
      </c>
      <c r="S8" s="29">
        <f>(+SUMIFS(манзилли!$Q:$Q,манзилли!$AD:$AD,'свод (банк)'!$B8,манзилли!$AA:$AA,"&gt;31.12.2020",манзилли!$AA:$AA,"&lt;01.01.2022"))</f>
        <v>47350</v>
      </c>
      <c r="T8" s="29">
        <f>(+SUMIFS(манзилли!$S:$S,манзилли!$AD:$AD,'свод (банк)'!$B8,манзилли!$AA:$AA,"&gt;31.12.2020",манзилли!$AA:$AA,"&lt;01.01.2022"))</f>
        <v>0</v>
      </c>
      <c r="U8" s="29">
        <f>(+SUMIFS(манзилли!$U:$U,манзилли!$AD:$AD,'свод (банк)'!$B8,манзилли!$AA:$AA,"&gt;31.12.2020",манзилли!$AA:$AA,"&lt;01.01.2022"))</f>
        <v>0</v>
      </c>
      <c r="V8" s="30">
        <f>+SUMIFS(манзилли!$Y:$Y,манзилли!$AD:$AD,'свод (банк)'!$B8,манзилли!$AA:$AA,"&gt;31.12.2020",манзилли!$AA:$AA,"&lt;01.01.2022")</f>
        <v>491</v>
      </c>
      <c r="W8" s="28">
        <f t="shared" ref="W8:W21" si="5">+AD8+AK8</f>
        <v>3</v>
      </c>
      <c r="X8" s="29">
        <f t="shared" si="4"/>
        <v>6600</v>
      </c>
      <c r="Y8" s="29">
        <f t="shared" si="4"/>
        <v>3500</v>
      </c>
      <c r="Z8" s="29">
        <f t="shared" si="4"/>
        <v>3100</v>
      </c>
      <c r="AA8" s="29">
        <f t="shared" si="4"/>
        <v>0</v>
      </c>
      <c r="AB8" s="29">
        <f t="shared" si="4"/>
        <v>0</v>
      </c>
      <c r="AC8" s="30">
        <f t="shared" si="4"/>
        <v>14</v>
      </c>
      <c r="AD8" s="28">
        <f>+COUNTIFS(манзилли!$AD:$AD,'свод (банк)'!$B8,манзилли!$AB:$AB,"&gt;31.12.2020",манзилли!$AA:$AA,"&gt;31.12.2020",манзилли!$AA:$AA,"&lt;01.01.2023")</f>
        <v>3</v>
      </c>
      <c r="AE8" s="29">
        <f>(+SUMIFS(манзилли!$L:$L,манзилли!$AD:$AD,'свод (банк)'!$B8,манзилли!$AB:$AB,"&gt;31.12.2020",манзилли!$AA:$AA,"&gt;31.12.2020",манзилли!$AA:$AA,"&lt;01.01.2023"))</f>
        <v>6600</v>
      </c>
      <c r="AF8" s="29">
        <f>(+SUMIFS(манзилли!$N:$N,манзилли!$AD:$AD,'свод (банк)'!$B8,манзилли!$AB:$AB,"&gt;31.12.2020",манзилли!$AA:$AA,"&gt;31.12.2020",манзилли!$AA:$AA,"&lt;01.01.2023"))</f>
        <v>3500</v>
      </c>
      <c r="AG8" s="29">
        <f>(+SUMIFS(манзилли!$R:$R,манзилли!$AD:$AD,'свод (банк)'!$B8,манзилли!$AB:$AB,"&gt;31.12.2020",манзилли!$AA:$AA,"&gt;31.12.2020",манзилли!$AA:$AA,"&lt;01.01.2023"))</f>
        <v>3100</v>
      </c>
      <c r="AH8" s="29">
        <f>(+SUMIFS(манзилли!$T:$T,манзилли!$AD:$AD,'свод (банк)'!$B8,манзилли!$AB:$AB,"&gt;31.12.2020",манзилли!$AA:$AA,"&gt;31.12.2020",манзилли!$AA:$AA,"&lt;01.01.2023"))</f>
        <v>0</v>
      </c>
      <c r="AI8" s="29">
        <f>(+SUMIFS(манзилли!$V:$V,манзилли!$AD:$AD,'свод (банк)'!$B8,манзилли!$AB:$AB,"&gt;31.12.2020",манзилли!$AA:$AA,"&gt;31.12.2020",манзилли!$AA:$AA,"&lt;01.01.2023"))</f>
        <v>0</v>
      </c>
      <c r="AJ8" s="30">
        <f>+SUMIFS(манзилли!$Z:$Z,манзилли!$AD:$AD,'свод (банк)'!$B8,манзилли!$AB:$AB,"&gt;31.12.2020",манзилли!$AA:$AA,"&gt;31.12.2020",манзилли!$AA:$AA,"&lt;01.01.2023")</f>
        <v>14</v>
      </c>
      <c r="AK8" s="28">
        <f>+COUNTIFS('Қўшимча ишга тушган'!$AQ:$AQ,'свод (банк)'!B8,'Қўшимча ишга тушган'!$AO:$AO,"&lt;01.10.2023")</f>
        <v>0</v>
      </c>
      <c r="AL8" s="29">
        <f>(+SUMIFS('Қўшимча ишга тушган'!$T:$T,'Қўшимча ишга тушган'!$AQ:$AQ,'свод (банк)'!$B8,'Қўшимча ишга тушган'!$AO:$AO,"&lt;01.10.2023"))</f>
        <v>0</v>
      </c>
      <c r="AM8" s="29">
        <f>(+SUMIFS('Қўшимча ишга тушган'!$V:$V,'Қўшимча ишга тушган'!$AQ:$AQ,'свод (банк)'!$B8,'Қўшимча ишга тушган'!$AO:$AO,"&lt;01.10.2023"))</f>
        <v>0</v>
      </c>
      <c r="AN8" s="29">
        <f>(+SUMIFS('Қўшимча ишга тушган'!$Z:$Z,'Қўшимча ишга тушган'!$AQ:$AQ,'свод (банк)'!$B8,'Қўшимча ишга тушган'!$AO:$AO,"&lt;01.10.2023"))</f>
        <v>0</v>
      </c>
      <c r="AO8" s="29">
        <f>(+SUMIFS('Қўшимча ишга тушган'!$AB:$AB,'Қўшимча ишга тушган'!$AQ:$AQ,'свод (банк)'!$B8,'Қўшимча ишга тушган'!$AO:$AO,"&lt;01.10.2023"))</f>
        <v>0</v>
      </c>
      <c r="AP8" s="29">
        <f>(+SUMIFS('Қўшимча ишга тушган'!$AD:$AD,'Қўшимча ишга тушган'!$AQ:$AQ,'свод (банк)'!$B8,'Қўшимча ишга тушган'!$AO:$AO,"&lt;01.10.2023"))</f>
        <v>0</v>
      </c>
      <c r="AQ8" s="30">
        <f>+SUMIFS('Қўшимча ишга тушган'!$AM:$AM,'Қўшимча ишга тушган'!$AQ:$AQ,'свод (банк)'!$B8,'Қўшимча ишга тушган'!$AO:$AO,"&lt;01.10.2023")</f>
        <v>0</v>
      </c>
      <c r="AR8" s="28">
        <f>+COUNTIFS(манзилли!$AD:$AD,'свод (банк)'!$B8,манзилли!$AA:$AA,"&lt;01.02.2021",манзилли!$AB:$AB,"")</f>
        <v>0</v>
      </c>
      <c r="AS8" s="29">
        <f>(+SUMIFS(манзилли!$K:$K,манзилли!$AD:$AD,'свод (банк)'!$B8,манзилли!$AA:$AA,"&lt;01.02.2021",манзилли!$AB:$AB,""))</f>
        <v>0</v>
      </c>
      <c r="AT8" s="29">
        <f>(+SUMIFS(манзилли!$M:$M,манзилли!$AD:$AD,'свод (банк)'!$B8,манзилли!$AA:$AA,"&lt;01.02.2021",манзилли!$AB:$AB,""))</f>
        <v>0</v>
      </c>
      <c r="AU8" s="29">
        <f>(+SUMIFS(манзилли!$Q:$Q,манзилли!$AD:$AD,'свод (банк)'!$B8,манзилли!$AA:$AA,"&lt;01.02.2021",манзилли!$AB:$AB,""))</f>
        <v>0</v>
      </c>
      <c r="AV8" s="29">
        <f>(+SUMIFS(манзилли!$S:$S,манзилли!$AD:$AD,'свод (банк)'!$B8,манзилли!$AA:$AA,"&lt;01.02.2021",манзилли!$AB:$AB,""))</f>
        <v>0</v>
      </c>
      <c r="AW8" s="29">
        <f>(+SUMIFS(манзилли!$U:$U,манзилли!$AD:$AD,'свод (банк)'!$B8,манзилли!$AA:$AA,"&lt;01.02.2021",манзилли!$AB:$AB,""))</f>
        <v>0</v>
      </c>
      <c r="AX8" s="30">
        <f>+SUMIFS(манзилли!$Y:$Y,манзилли!$AD:$AD,'свод (банк)'!$B8,манзилли!$AA:$AA,"&lt;01.02.2021",манзилли!$AB:$AB,"")</f>
        <v>0</v>
      </c>
      <c r="AY8" s="28">
        <f>+COUNTIFS(манзилли!$AD:$AD,'свод (банк)'!$B8,манзилли!$AA:$AA,"&lt;01.01.2022",манзилли!$AB:$AB,"")</f>
        <v>23</v>
      </c>
      <c r="AZ8" s="29">
        <f>(+SUMIFS(манзилли!$K:$K,манзилли!$AD:$AD,'свод (банк)'!$B8,манзилли!$AA:$AA,"&lt;01.01.2022",манзилли!$AB:$AB,""))</f>
        <v>73650</v>
      </c>
      <c r="BA8" s="29">
        <f>(+SUMIFS(манзилли!$M:$M,манзилли!$AD:$AD,'свод (банк)'!$B8,манзилли!$AA:$AA,"&lt;01.01.2022",манзилли!$AB:$AB,""))</f>
        <v>29400</v>
      </c>
      <c r="BB8" s="29">
        <f>(+SUMIFS(манзилли!$Q:$Q,манзилли!$AD:$AD,'свод (банк)'!$B8,манзилли!$AA:$AA,"&lt;01.01.2022",манзилли!$AB:$AB,""))</f>
        <v>44250</v>
      </c>
      <c r="BC8" s="29">
        <f>(+SUMIFS(манзилли!$S:$S,манзилли!$AD:$AD,'свод (банк)'!$B8,манзилли!$AA:$AA,"&lt;01.01.2022",манзилли!$AB:$AB,""))</f>
        <v>0</v>
      </c>
      <c r="BD8" s="29">
        <f>(+SUMIFS(манзилли!$U:$U,манзилли!$AD:$AD,'свод (банк)'!$B8,манзилли!$AA:$AA,"&lt;01.01.2022",манзилли!$AB:$AB,""))</f>
        <v>0</v>
      </c>
      <c r="BE8" s="30">
        <f>+SUMIFS(манзилли!$Y:$Y,манзилли!$AD:$AD,'свод (банк)'!$B8,манзилли!$AA:$AA,"&lt;01.01.2022",манзилли!$AB:$AB,"")</f>
        <v>325</v>
      </c>
      <c r="BF8" s="28">
        <f>+COUNTIFS(манзилли!$AD:$AD,'свод (банк)'!$B8,манзилли!$AA:$AA,"&lt;01.01.2023",манзилли!$AA:$AA,"&gt;=01.01.2022")</f>
        <v>5</v>
      </c>
      <c r="BG8" s="29">
        <f>(+SUMIFS(манзилли!$K:$K,манзилли!$AD:$AD,'свод (банк)'!$B8,манзилли!$AA:$AA,"&lt;01.01.2023",манзилли!$AA:$AA,"&gt;=01.01.2022"))</f>
        <v>50400</v>
      </c>
      <c r="BH8" s="29">
        <f>(+SUMIFS(манзилли!$M:$M,манзилли!$AD:$AD,'свод (банк)'!$B8,манзилли!$AA:$AA,"&lt;01.01.2023",манзилли!$AA:$AA,"&gt;=01.01.2022"))</f>
        <v>14800</v>
      </c>
      <c r="BI8" s="29">
        <f>(+SUMIFS(манзилли!$Q:$Q,манзилли!$AD:$AD,'свод (банк)'!$B8,манзилли!$AA:$AA,"&lt;01.01.2023",манзилли!$AA:$AA,"&gt;=01.01.2022"))</f>
        <v>35600</v>
      </c>
      <c r="BJ8" s="29">
        <f>(+SUMIFS(манзилли!$S:$S,манзилли!$AD:$AD,'свод (банк)'!$B8,манзилли!$AA:$AA,"&lt;01.01.2023",манзилли!$AA:$AA,"&gt;=01.01.2022"))</f>
        <v>0</v>
      </c>
      <c r="BK8" s="29">
        <f>(+SUMIFS(манзилли!$U:$U,манзилли!$AD:$AD,'свод (банк)'!$B8,манзилли!$AA:$AA,"&lt;01.01.2023",манзилли!$AA:$AA,"&gt;=01.01.2022"))</f>
        <v>0</v>
      </c>
      <c r="BL8" s="30">
        <f>+SUMIFS(манзилли!$Y:$Y,манзилли!$AD:$AD,'свод (банк)'!$B8,манзилли!$AA:$AA,"&lt;01.01.2023",манзилли!$AA:$AA,"&gt;=01.01.2022")</f>
        <v>80</v>
      </c>
    </row>
    <row r="9" spans="1:64" s="3" customFormat="1" ht="35.25" customHeight="1">
      <c r="A9" s="26">
        <f t="shared" ref="A9:A21" si="6">+A8+1</f>
        <v>3</v>
      </c>
      <c r="B9" s="27" t="s">
        <v>0</v>
      </c>
      <c r="C9" s="28">
        <f>+COUNTIFS(манзилли!$AD:$AD,'свод (банк)'!$B9)</f>
        <v>44</v>
      </c>
      <c r="D9" s="29">
        <f>(+SUMIFS(манзилли!$K:$K,манзилли!$AD:$AD,'свод (банк)'!$B9))</f>
        <v>464960</v>
      </c>
      <c r="E9" s="29">
        <f>(+SUMIFS(манзилли!$M:$M,манзилли!$AD:$AD,'свод (банк)'!$B9))</f>
        <v>150698</v>
      </c>
      <c r="F9" s="29">
        <f>(+SUMIFS(манзилли!$Q:$Q,манзилли!$AD:$AD,'свод (банк)'!$B9))</f>
        <v>44840</v>
      </c>
      <c r="G9" s="29">
        <f>(+SUMIFS(манзилли!$S:$S,манзилли!$AD:$AD,'свод (банк)'!$B9))</f>
        <v>26740</v>
      </c>
      <c r="H9" s="29">
        <f>(+SUMIFS(манзилли!$U:$U,манзилли!$AD:$AD,'свод (банк)'!$B9))</f>
        <v>0</v>
      </c>
      <c r="I9" s="30">
        <f>+SUMIFS(манзилли!$Y:$Y,манзилли!$AD:$AD,'свод (банк)'!$B9)</f>
        <v>897</v>
      </c>
      <c r="J9" s="28">
        <f>+(COUNTIFS(манзилли!$L:$L,"&gt;0",манзилли!$AD:$AD,'свод (банк)'!$B9)+COUNTIFS('Қўшимча ишга тушган'!$T:$T,"&gt;0",'Қўшимча ишга тушган'!$AQ:$AQ,'свод (банк)'!$B9))</f>
        <v>23</v>
      </c>
      <c r="K9" s="29">
        <f>(+SUMIFS(манзилли!$L:$L,манзилли!$AD:$AD,'свод (банк)'!$B9)+SUMIFS('Қўшимча ишга тушган'!$T:$T,'Қўшимча ишга тушган'!$AQ:$AQ,'свод (банк)'!$B9))</f>
        <v>45977.299999999996</v>
      </c>
      <c r="L9" s="29">
        <f>+(SUMIFS(манзилли!$N:$N,манзилли!$AD:$AD,'свод (банк)'!$B9)+SUMIFS('Қўшимча ишга тушган'!$V:$V,'Қўшимча ишга тушган'!$AQ:$AQ,'свод (банк)'!$B9))</f>
        <v>2150</v>
      </c>
      <c r="M9" s="29">
        <f>(+SUMIFS(манзилли!$R:$R,манзилли!$AD:$AD,'свод (банк)'!$B9)+SUMIFS('Қўшимча ишга тушган'!$Z:$Z,'Қўшимча ишга тушган'!$AQ:$AQ,'свод (банк)'!$B9))</f>
        <v>8316</v>
      </c>
      <c r="N9" s="29">
        <f>(+SUMIFS(манзилли!$T:$T,манзилли!$AD:$AD,'свод (банк)'!$B9)+SUMIFS('Қўшимча ишга тушган'!$AB:$AB,'Қўшимча ишга тушган'!$AQ:$AQ,'свод (банк)'!$B9))</f>
        <v>3481.5</v>
      </c>
      <c r="O9" s="30">
        <f>(+SUMIFS(манзилли!$V:$V,манзилли!$AD:$AD,'свод (банк)'!$B9)+SUMIFS('Қўшимча ишга тушган'!$AD:$AD,'Қўшимча ишга тушган'!$AQ:$AQ,'свод (банк)'!$B9))</f>
        <v>0</v>
      </c>
      <c r="P9" s="31">
        <f>+COUNTIFS(манзилли!$AD:$AD,'свод (банк)'!$B9,манзилли!$AA:$AA,"&gt;31.12.2020",манзилли!$AA:$AA,"&lt;01.01.2022")</f>
        <v>26</v>
      </c>
      <c r="Q9" s="29">
        <f>(+SUMIFS(манзилли!$K:$K,манзилли!$AD:$AD,'свод (банк)'!$B9,манзилли!$AA:$AA,"&gt;31.12.2020",манзилли!$AA:$AA,"&lt;01.01.2022"))</f>
        <v>218710</v>
      </c>
      <c r="R9" s="29">
        <f>(+SUMIFS(манзилли!$M:$M,манзилли!$AD:$AD,'свод (банк)'!$B9,манзилли!$AA:$AA,"&gt;31.12.2020",манзилли!$AA:$AA,"&lt;01.01.2022"))</f>
        <v>72008</v>
      </c>
      <c r="S9" s="29">
        <f>(+SUMIFS(манзилли!$Q:$Q,манзилли!$AD:$AD,'свод (банк)'!$B9,манзилли!$AA:$AA,"&gt;31.12.2020",манзилли!$AA:$AA,"&lt;01.01.2022"))</f>
        <v>21600</v>
      </c>
      <c r="T9" s="29">
        <f>(+SUMIFS(манзилли!$S:$S,манзилли!$AD:$AD,'свод (банк)'!$B9,манзилли!$AA:$AA,"&gt;31.12.2020",манзилли!$AA:$AA,"&lt;01.01.2022"))</f>
        <v>12340</v>
      </c>
      <c r="U9" s="29">
        <f>(+SUMIFS(манзилли!$U:$U,манзилли!$AD:$AD,'свод (банк)'!$B9,манзилли!$AA:$AA,"&gt;31.12.2020",манзилли!$AA:$AA,"&lt;01.01.2022"))</f>
        <v>0</v>
      </c>
      <c r="V9" s="30">
        <f>+SUMIFS(манзилли!$Y:$Y,манзилли!$AD:$AD,'свод (банк)'!$B9,манзилли!$AA:$AA,"&gt;31.12.2020",манзилли!$AA:$AA,"&lt;01.01.2022")</f>
        <v>347</v>
      </c>
      <c r="W9" s="28">
        <f t="shared" si="5"/>
        <v>0</v>
      </c>
      <c r="X9" s="29">
        <f t="shared" si="4"/>
        <v>0</v>
      </c>
      <c r="Y9" s="29">
        <f t="shared" si="4"/>
        <v>0</v>
      </c>
      <c r="Z9" s="29">
        <f t="shared" si="4"/>
        <v>0</v>
      </c>
      <c r="AA9" s="29">
        <f t="shared" si="4"/>
        <v>0</v>
      </c>
      <c r="AB9" s="29">
        <f t="shared" si="4"/>
        <v>0</v>
      </c>
      <c r="AC9" s="30">
        <f t="shared" si="4"/>
        <v>0</v>
      </c>
      <c r="AD9" s="28">
        <f>+COUNTIFS(манзилли!$AD:$AD,'свод (банк)'!$B9,манзилли!$AB:$AB,"&gt;31.12.2020",манзилли!$AA:$AA,"&gt;31.12.2020",манзилли!$AA:$AA,"&lt;01.01.2023")</f>
        <v>0</v>
      </c>
      <c r="AE9" s="29">
        <f>(+SUMIFS(манзилли!$L:$L,манзилли!$AD:$AD,'свод (банк)'!$B9,манзилли!$AB:$AB,"&gt;31.12.2020",манзилли!$AA:$AA,"&gt;31.12.2020",манзилли!$AA:$AA,"&lt;01.01.2023"))</f>
        <v>0</v>
      </c>
      <c r="AF9" s="29">
        <f>(+SUMIFS(манзилли!$N:$N,манзилли!$AD:$AD,'свод (банк)'!$B9,манзилли!$AB:$AB,"&gt;31.12.2020",манзилли!$AA:$AA,"&gt;31.12.2020",манзилли!$AA:$AA,"&lt;01.01.2023"))</f>
        <v>0</v>
      </c>
      <c r="AG9" s="29">
        <f>(+SUMIFS(манзилли!$R:$R,манзилли!$AD:$AD,'свод (банк)'!$B9,манзилли!$AB:$AB,"&gt;31.12.2020",манзилли!$AA:$AA,"&gt;31.12.2020",манзилли!$AA:$AA,"&lt;01.01.2023"))</f>
        <v>0</v>
      </c>
      <c r="AH9" s="29">
        <f>(+SUMIFS(манзилли!$T:$T,манзилли!$AD:$AD,'свод (банк)'!$B9,манзилли!$AB:$AB,"&gt;31.12.2020",манзилли!$AA:$AA,"&gt;31.12.2020",манзилли!$AA:$AA,"&lt;01.01.2023"))</f>
        <v>0</v>
      </c>
      <c r="AI9" s="29">
        <f>(+SUMIFS(манзилли!$V:$V,манзилли!$AD:$AD,'свод (банк)'!$B9,манзилли!$AB:$AB,"&gt;31.12.2020",манзилли!$AA:$AA,"&gt;31.12.2020",манзилли!$AA:$AA,"&lt;01.01.2023"))</f>
        <v>0</v>
      </c>
      <c r="AJ9" s="30">
        <f>+SUMIFS(манзилли!$Z:$Z,манзилли!$AD:$AD,'свод (банк)'!$B9,манзилли!$AB:$AB,"&gt;31.12.2020",манзилли!$AA:$AA,"&gt;31.12.2020",манзилли!$AA:$AA,"&lt;01.01.2023")</f>
        <v>0</v>
      </c>
      <c r="AK9" s="28">
        <f>+COUNTIFS('Қўшимча ишга тушган'!$AQ:$AQ,'свод (банк)'!B9,'Қўшимча ишга тушган'!$AO:$AO,"&lt;01.10.2023")</f>
        <v>0</v>
      </c>
      <c r="AL9" s="29">
        <f>(+SUMIFS('Қўшимча ишга тушган'!$T:$T,'Қўшимча ишга тушган'!$AQ:$AQ,'свод (банк)'!$B9,'Қўшимча ишга тушган'!$AO:$AO,"&lt;01.10.2023"))</f>
        <v>0</v>
      </c>
      <c r="AM9" s="29">
        <f>(+SUMIFS('Қўшимча ишга тушган'!$V:$V,'Қўшимча ишга тушган'!$AQ:$AQ,'свод (банк)'!$B9,'Қўшимча ишга тушган'!$AO:$AO,"&lt;01.10.2023"))</f>
        <v>0</v>
      </c>
      <c r="AN9" s="29">
        <f>(+SUMIFS('Қўшимча ишга тушган'!$Z:$Z,'Қўшимча ишга тушган'!$AQ:$AQ,'свод (банк)'!$B9,'Қўшимча ишга тушган'!$AO:$AO,"&lt;01.10.2023"))</f>
        <v>0</v>
      </c>
      <c r="AO9" s="29">
        <f>(+SUMIFS('Қўшимча ишга тушган'!$AB:$AB,'Қўшимча ишга тушган'!$AQ:$AQ,'свод (банк)'!$B9,'Қўшимча ишга тушган'!$AO:$AO,"&lt;01.10.2023"))</f>
        <v>0</v>
      </c>
      <c r="AP9" s="29">
        <f>(+SUMIFS('Қўшимча ишга тушган'!$AD:$AD,'Қўшимча ишга тушган'!$AQ:$AQ,'свод (банк)'!$B9,'Қўшимча ишга тушган'!$AO:$AO,"&lt;01.10.2023"))</f>
        <v>0</v>
      </c>
      <c r="AQ9" s="30">
        <f>+SUMIFS('Қўшимча ишга тушган'!$AM:$AM,'Қўшимча ишга тушган'!$AQ:$AQ,'свод (банк)'!$B9,'Қўшимча ишга тушган'!$AO:$AO,"&lt;01.10.2023")</f>
        <v>0</v>
      </c>
      <c r="AR9" s="28">
        <f>+COUNTIFS(манзилли!$AD:$AD,'свод (банк)'!$B9,манзилли!$AA:$AA,"&lt;01.02.2021",манзилли!$AB:$AB,"")</f>
        <v>0</v>
      </c>
      <c r="AS9" s="29">
        <f>(+SUMIFS(манзилли!$K:$K,манзилли!$AD:$AD,'свод (банк)'!$B9,манзилли!$AA:$AA,"&lt;01.02.2021",манзилли!$AB:$AB,""))</f>
        <v>0</v>
      </c>
      <c r="AT9" s="29">
        <f>(+SUMIFS(манзилли!$M:$M,манзилли!$AD:$AD,'свод (банк)'!$B9,манзилли!$AA:$AA,"&lt;01.02.2021",манзилли!$AB:$AB,""))</f>
        <v>0</v>
      </c>
      <c r="AU9" s="29">
        <f>(+SUMIFS(манзилли!$Q:$Q,манзилли!$AD:$AD,'свод (банк)'!$B9,манзилли!$AA:$AA,"&lt;01.02.2021",манзилли!$AB:$AB,""))</f>
        <v>0</v>
      </c>
      <c r="AV9" s="29">
        <f>(+SUMIFS(манзилли!$S:$S,манзилли!$AD:$AD,'свод (банк)'!$B9,манзилли!$AA:$AA,"&lt;01.02.2021",манзилли!$AB:$AB,""))</f>
        <v>0</v>
      </c>
      <c r="AW9" s="29">
        <f>(+SUMIFS(манзилли!$U:$U,манзилли!$AD:$AD,'свод (банк)'!$B9,манзилли!$AA:$AA,"&lt;01.02.2021",манзилли!$AB:$AB,""))</f>
        <v>0</v>
      </c>
      <c r="AX9" s="30">
        <f>+SUMIFS(манзилли!$Y:$Y,манзилли!$AD:$AD,'свод (банк)'!$B9,манзилли!$AA:$AA,"&lt;01.02.2021",манзилли!$AB:$AB,"")</f>
        <v>0</v>
      </c>
      <c r="AY9" s="28">
        <f>+COUNTIFS(манзилли!$AD:$AD,'свод (банк)'!$B9,манзилли!$AA:$AA,"&lt;01.01.2022",манзилли!$AB:$AB,"")</f>
        <v>23</v>
      </c>
      <c r="AZ9" s="29">
        <f>(+SUMIFS(манзилли!$K:$K,манзилли!$AD:$AD,'свод (банк)'!$B9,манзилли!$AA:$AA,"&lt;01.01.2022",манзилли!$AB:$AB,""))</f>
        <v>216310</v>
      </c>
      <c r="BA9" s="29">
        <f>(+SUMIFS(манзилли!$M:$M,манзилли!$AD:$AD,'свод (банк)'!$B9,манзилли!$AA:$AA,"&lt;01.01.2022",манзилли!$AB:$AB,""))</f>
        <v>71108</v>
      </c>
      <c r="BB9" s="29">
        <f>(+SUMIFS(манзилли!$Q:$Q,манзилли!$AD:$AD,'свод (банк)'!$B9,манзилли!$AA:$AA,"&lt;01.01.2022",манзилли!$AB:$AB,""))</f>
        <v>20100</v>
      </c>
      <c r="BC9" s="29">
        <f>(+SUMIFS(манзилли!$S:$S,манзилли!$AD:$AD,'свод (банк)'!$B9,манзилли!$AA:$AA,"&lt;01.01.2022",манзилли!$AB:$AB,""))</f>
        <v>12340</v>
      </c>
      <c r="BD9" s="29">
        <f>(+SUMIFS(манзилли!$U:$U,манзилли!$AD:$AD,'свод (банк)'!$B9,манзилли!$AA:$AA,"&lt;01.01.2022",манзилли!$AB:$AB,""))</f>
        <v>0</v>
      </c>
      <c r="BE9" s="30">
        <f>+SUMIFS(манзилли!$Y:$Y,манзилли!$AD:$AD,'свод (банк)'!$B9,манзилли!$AA:$AA,"&lt;01.01.2022",манзилли!$AB:$AB,"")</f>
        <v>336</v>
      </c>
      <c r="BF9" s="28">
        <f>+COUNTIFS(манзилли!$AD:$AD,'свод (банк)'!$B9,манзилли!$AA:$AA,"&lt;01.01.2023",манзилли!$AA:$AA,"&gt;=01.01.2022")</f>
        <v>15</v>
      </c>
      <c r="BG9" s="29">
        <f>(+SUMIFS(манзилли!$K:$K,манзилли!$AD:$AD,'свод (банк)'!$B9,манзилли!$AA:$AA,"&lt;01.01.2023",манзилли!$AA:$AA,"&gt;=01.01.2022"))</f>
        <v>242300</v>
      </c>
      <c r="BH9" s="29">
        <f>(+SUMIFS(манзилли!$M:$M,манзилли!$AD:$AD,'свод (банк)'!$B9,манзилли!$AA:$AA,"&lt;01.01.2023",манзилли!$AA:$AA,"&gt;=01.01.2022"))</f>
        <v>77340</v>
      </c>
      <c r="BI9" s="29">
        <f>(+SUMIFS(манзилли!$Q:$Q,манзилли!$AD:$AD,'свод (банк)'!$B9,манзилли!$AA:$AA,"&lt;01.01.2023",манзилли!$AA:$AA,"&gt;=01.01.2022"))</f>
        <v>20640</v>
      </c>
      <c r="BJ9" s="29">
        <f>(+SUMIFS(манзилли!$S:$S,манзилли!$AD:$AD,'свод (банк)'!$B9,манзилли!$AA:$AA,"&lt;01.01.2023",манзилли!$AA:$AA,"&gt;=01.01.2022"))</f>
        <v>14400</v>
      </c>
      <c r="BK9" s="29">
        <f>(+SUMIFS(манзилли!$U:$U,манзилли!$AD:$AD,'свод (банк)'!$B9,манзилли!$AA:$AA,"&lt;01.01.2023",манзилли!$AA:$AA,"&gt;=01.01.2022"))</f>
        <v>0</v>
      </c>
      <c r="BL9" s="30">
        <f>+SUMIFS(манзилли!$Y:$Y,манзилли!$AD:$AD,'свод (банк)'!$B9,манзилли!$AA:$AA,"&lt;01.01.2023",манзилли!$AA:$AA,"&gt;=01.01.2022")</f>
        <v>537</v>
      </c>
    </row>
    <row r="10" spans="1:64" s="3" customFormat="1" ht="35.25" customHeight="1">
      <c r="A10" s="26">
        <f t="shared" si="6"/>
        <v>4</v>
      </c>
      <c r="B10" s="27" t="s">
        <v>3</v>
      </c>
      <c r="C10" s="28">
        <f>+COUNTIFS(манзилли!$AD:$AD,'свод (банк)'!$B10)</f>
        <v>63</v>
      </c>
      <c r="D10" s="29">
        <f>(+SUMIFS(манзилли!$K:$K,манзилли!$AD:$AD,'свод (банк)'!$B10))</f>
        <v>453801.89999999997</v>
      </c>
      <c r="E10" s="29">
        <f>(+SUMIFS(манзилли!$M:$M,манзилли!$AD:$AD,'свод (банк)'!$B10))</f>
        <v>227752.5</v>
      </c>
      <c r="F10" s="29">
        <f>(+SUMIFS(манзилли!$Q:$Q,манзилли!$AD:$AD,'свод (банк)'!$B10))</f>
        <v>107510</v>
      </c>
      <c r="G10" s="29">
        <f>(+SUMIFS(манзилли!$S:$S,манзилли!$AD:$AD,'свод (банк)'!$B10))</f>
        <v>5198</v>
      </c>
      <c r="H10" s="29">
        <f>(+SUMIFS(манзилли!$U:$U,манзилли!$AD:$AD,'свод (банк)'!$B10))</f>
        <v>6200</v>
      </c>
      <c r="I10" s="30">
        <f>+SUMIFS(манзилли!$Y:$Y,манзилли!$AD:$AD,'свод (банк)'!$B10)</f>
        <v>820</v>
      </c>
      <c r="J10" s="28">
        <f>+(COUNTIFS(манзилли!$L:$L,"&gt;0",манзилли!$AD:$AD,'свод (банк)'!$B10)+COUNTIFS('Қўшимча ишга тушган'!$T:$T,"&gt;0",'Қўшимча ишга тушган'!$AQ:$AQ,'свод (банк)'!$B10))</f>
        <v>43</v>
      </c>
      <c r="K10" s="29">
        <f>(+SUMIFS(манзилли!$L:$L,манзилли!$AD:$AD,'свод (банк)'!$B10)+SUMIFS('Қўшимча ишга тушган'!$T:$T,'Қўшимча ишга тушган'!$AQ:$AQ,'свод (банк)'!$B10))</f>
        <v>86589.98</v>
      </c>
      <c r="L10" s="29">
        <f>+(SUMIFS(манзилли!$N:$N,манзилли!$AD:$AD,'свод (банк)'!$B10)+SUMIFS('Қўшимча ишга тушган'!$V:$V,'Қўшимча ишга тушган'!$AQ:$AQ,'свод (банк)'!$B10))</f>
        <v>11270</v>
      </c>
      <c r="M10" s="29">
        <f>(+SUMIFS(манзилли!$R:$R,манзилли!$AD:$AD,'свод (банк)'!$B10)+SUMIFS('Қўшимча ишга тушган'!$Z:$Z,'Қўшимча ишга тушган'!$AQ:$AQ,'свод (банк)'!$B10))</f>
        <v>48681</v>
      </c>
      <c r="N10" s="29">
        <f>(+SUMIFS(манзилли!$T:$T,манзилли!$AD:$AD,'свод (банк)'!$B10)+SUMIFS('Қўшимча ишга тушган'!$AB:$AB,'Қўшимча ишга тушган'!$AQ:$AQ,'свод (банк)'!$B10))</f>
        <v>2633.9</v>
      </c>
      <c r="O10" s="30">
        <f>(+SUMIFS(манзилли!$V:$V,манзилли!$AD:$AD,'свод (банк)'!$B10)+SUMIFS('Қўшимча ишга тушган'!$AD:$AD,'Қўшимча ишга тушган'!$AQ:$AQ,'свод (банк)'!$B10))</f>
        <v>0</v>
      </c>
      <c r="P10" s="31">
        <f>+COUNTIFS(манзилли!$AD:$AD,'свод (банк)'!$B10,манзилли!$AA:$AA,"&gt;31.12.2020",манзилли!$AA:$AA,"&lt;01.01.2022")</f>
        <v>47</v>
      </c>
      <c r="Q10" s="29">
        <f>(+SUMIFS(манзилли!$K:$K,манзилли!$AD:$AD,'свод (банк)'!$B10,манзилли!$AA:$AA,"&gt;31.12.2020",манзилли!$AA:$AA,"&lt;01.01.2022"))</f>
        <v>358064.89999999997</v>
      </c>
      <c r="R10" s="29">
        <f>(+SUMIFS(манзилли!$M:$M,манзилли!$AD:$AD,'свод (банк)'!$B10,манзилли!$AA:$AA,"&gt;31.12.2020",манзилли!$AA:$AA,"&lt;01.01.2022"))</f>
        <v>195052.5</v>
      </c>
      <c r="S10" s="29">
        <f>(+SUMIFS(манзилли!$Q:$Q,манзилли!$AD:$AD,'свод (банк)'!$B10,манзилли!$AA:$AA,"&gt;31.12.2020",манзилли!$AA:$AA,"&lt;01.01.2022"))</f>
        <v>57760</v>
      </c>
      <c r="T10" s="29">
        <f>(+SUMIFS(манзилли!$S:$S,манзилли!$AD:$AD,'свод (банк)'!$B10,манзилли!$AA:$AA,"&gt;31.12.2020",манзилли!$AA:$AA,"&lt;01.01.2022"))</f>
        <v>3908</v>
      </c>
      <c r="U10" s="29">
        <f>(+SUMIFS(манзилли!$U:$U,манзилли!$AD:$AD,'свод (банк)'!$B10,манзилли!$AA:$AA,"&gt;31.12.2020",манзилли!$AA:$AA,"&lt;01.01.2022"))</f>
        <v>6200</v>
      </c>
      <c r="V10" s="30">
        <f>+SUMIFS(манзилли!$Y:$Y,манзилли!$AD:$AD,'свод (банк)'!$B10,манзилли!$AA:$AA,"&gt;31.12.2020",манзилли!$AA:$AA,"&lt;01.01.2022")</f>
        <v>658</v>
      </c>
      <c r="W10" s="28">
        <f t="shared" si="5"/>
        <v>0</v>
      </c>
      <c r="X10" s="29">
        <f t="shared" si="4"/>
        <v>0</v>
      </c>
      <c r="Y10" s="29">
        <f t="shared" si="4"/>
        <v>0</v>
      </c>
      <c r="Z10" s="29">
        <f t="shared" si="4"/>
        <v>0</v>
      </c>
      <c r="AA10" s="29">
        <f t="shared" si="4"/>
        <v>0</v>
      </c>
      <c r="AB10" s="29">
        <f t="shared" si="4"/>
        <v>0</v>
      </c>
      <c r="AC10" s="30">
        <f t="shared" si="4"/>
        <v>0</v>
      </c>
      <c r="AD10" s="28">
        <f>+COUNTIFS(манзилли!$AD:$AD,'свод (банк)'!$B10,манзилли!$AB:$AB,"&gt;31.12.2020",манзилли!$AA:$AA,"&gt;31.12.2020",манзилли!$AA:$AA,"&lt;01.01.2023")</f>
        <v>0</v>
      </c>
      <c r="AE10" s="29">
        <f>(+SUMIFS(манзилли!$L:$L,манзилли!$AD:$AD,'свод (банк)'!$B10,манзилли!$AB:$AB,"&gt;31.12.2020",манзилли!$AA:$AA,"&gt;31.12.2020",манзилли!$AA:$AA,"&lt;01.01.2023"))</f>
        <v>0</v>
      </c>
      <c r="AF10" s="29">
        <f>(+SUMIFS(манзилли!$N:$N,манзилли!$AD:$AD,'свод (банк)'!$B10,манзилли!$AB:$AB,"&gt;31.12.2020",манзилли!$AA:$AA,"&gt;31.12.2020",манзилли!$AA:$AA,"&lt;01.01.2023"))</f>
        <v>0</v>
      </c>
      <c r="AG10" s="29">
        <f>(+SUMIFS(манзилли!$R:$R,манзилли!$AD:$AD,'свод (банк)'!$B10,манзилли!$AB:$AB,"&gt;31.12.2020",манзилли!$AA:$AA,"&gt;31.12.2020",манзилли!$AA:$AA,"&lt;01.01.2023"))</f>
        <v>0</v>
      </c>
      <c r="AH10" s="29">
        <f>(+SUMIFS(манзилли!$T:$T,манзилли!$AD:$AD,'свод (банк)'!$B10,манзилли!$AB:$AB,"&gt;31.12.2020",манзилли!$AA:$AA,"&gt;31.12.2020",манзилли!$AA:$AA,"&lt;01.01.2023"))</f>
        <v>0</v>
      </c>
      <c r="AI10" s="29">
        <f>(+SUMIFS(манзилли!$V:$V,манзилли!$AD:$AD,'свод (банк)'!$B10,манзилли!$AB:$AB,"&gt;31.12.2020",манзилли!$AA:$AA,"&gt;31.12.2020",манзилли!$AA:$AA,"&lt;01.01.2023"))</f>
        <v>0</v>
      </c>
      <c r="AJ10" s="30">
        <f>+SUMIFS(манзилли!$Z:$Z,манзилли!$AD:$AD,'свод (банк)'!$B10,манзилли!$AB:$AB,"&gt;31.12.2020",манзилли!$AA:$AA,"&gt;31.12.2020",манзилли!$AA:$AA,"&lt;01.01.2023")</f>
        <v>0</v>
      </c>
      <c r="AK10" s="28">
        <f>+COUNTIFS('Қўшимча ишга тушган'!$AQ:$AQ,'свод (банк)'!B10,'Қўшимча ишга тушган'!$AO:$AO,"&lt;01.10.2023")</f>
        <v>0</v>
      </c>
      <c r="AL10" s="29">
        <f>(+SUMIFS('Қўшимча ишга тушган'!$T:$T,'Қўшимча ишга тушган'!$AQ:$AQ,'свод (банк)'!$B10,'Қўшимча ишга тушган'!$AO:$AO,"&lt;01.10.2023"))</f>
        <v>0</v>
      </c>
      <c r="AM10" s="29">
        <f>(+SUMIFS('Қўшимча ишга тушган'!$V:$V,'Қўшимча ишга тушган'!$AQ:$AQ,'свод (банк)'!$B10,'Қўшимча ишга тушган'!$AO:$AO,"&lt;01.10.2023"))</f>
        <v>0</v>
      </c>
      <c r="AN10" s="29">
        <f>(+SUMIFS('Қўшимча ишга тушган'!$Z:$Z,'Қўшимча ишга тушган'!$AQ:$AQ,'свод (банк)'!$B10,'Қўшимча ишга тушган'!$AO:$AO,"&lt;01.10.2023"))</f>
        <v>0</v>
      </c>
      <c r="AO10" s="29">
        <f>(+SUMIFS('Қўшимча ишга тушган'!$AB:$AB,'Қўшимча ишга тушган'!$AQ:$AQ,'свод (банк)'!$B10,'Қўшимча ишга тушган'!$AO:$AO,"&lt;01.10.2023"))</f>
        <v>0</v>
      </c>
      <c r="AP10" s="29">
        <f>(+SUMIFS('Қўшимча ишга тушган'!$AD:$AD,'Қўшимча ишга тушган'!$AQ:$AQ,'свод (банк)'!$B10,'Қўшимча ишга тушган'!$AO:$AO,"&lt;01.10.2023"))</f>
        <v>0</v>
      </c>
      <c r="AQ10" s="30">
        <f>+SUMIFS('Қўшимча ишга тушган'!$AM:$AM,'Қўшимча ишга тушган'!$AQ:$AQ,'свод (банк)'!$B10,'Қўшимча ишга тушган'!$AO:$AO,"&lt;01.10.2023")</f>
        <v>0</v>
      </c>
      <c r="AR10" s="28">
        <f>+COUNTIFS(манзилли!$AD:$AD,'свод (банк)'!$B10,манзилли!$AA:$AA,"&lt;01.02.2021",манзилли!$AB:$AB,"")</f>
        <v>0</v>
      </c>
      <c r="AS10" s="29">
        <f>(+SUMIFS(манзилли!$K:$K,манзилли!$AD:$AD,'свод (банк)'!$B10,манзилли!$AA:$AA,"&lt;01.02.2021",манзилли!$AB:$AB,""))</f>
        <v>0</v>
      </c>
      <c r="AT10" s="29">
        <f>(+SUMIFS(манзилли!$M:$M,манзилли!$AD:$AD,'свод (банк)'!$B10,манзилли!$AA:$AA,"&lt;01.02.2021",манзилли!$AB:$AB,""))</f>
        <v>0</v>
      </c>
      <c r="AU10" s="29">
        <f>(+SUMIFS(манзилли!$Q:$Q,манзилли!$AD:$AD,'свод (банк)'!$B10,манзилли!$AA:$AA,"&lt;01.02.2021",манзилли!$AB:$AB,""))</f>
        <v>0</v>
      </c>
      <c r="AV10" s="29">
        <f>(+SUMIFS(манзилли!$S:$S,манзилли!$AD:$AD,'свод (банк)'!$B10,манзилли!$AA:$AA,"&lt;01.02.2021",манзилли!$AB:$AB,""))</f>
        <v>0</v>
      </c>
      <c r="AW10" s="29">
        <f>(+SUMIFS(манзилли!$U:$U,манзилли!$AD:$AD,'свод (банк)'!$B10,манзилли!$AA:$AA,"&lt;01.02.2021",манзилли!$AB:$AB,""))</f>
        <v>0</v>
      </c>
      <c r="AX10" s="30">
        <f>+SUMIFS(манзилли!$Y:$Y,манзилли!$AD:$AD,'свод (банк)'!$B10,манзилли!$AA:$AA,"&lt;01.02.2021",манзилли!$AB:$AB,"")</f>
        <v>0</v>
      </c>
      <c r="AY10" s="28">
        <f>+COUNTIFS(манзилли!$AD:$AD,'свод (банк)'!$B10,манзилли!$AA:$AA,"&lt;01.01.2022",манзилли!$AB:$AB,"")</f>
        <v>42</v>
      </c>
      <c r="AZ10" s="29">
        <f>(+SUMIFS(манзилли!$K:$K,манзилли!$AD:$AD,'свод (банк)'!$B10,манзилли!$AA:$AA,"&lt;01.01.2022",манзилли!$AB:$AB,""))</f>
        <v>346496.1</v>
      </c>
      <c r="BA10" s="29">
        <f>(+SUMIFS(манзилли!$M:$M,манзилли!$AD:$AD,'свод (банк)'!$B10,манзилли!$AA:$AA,"&lt;01.01.2022",манзилли!$AB:$AB,""))</f>
        <v>191352.5</v>
      </c>
      <c r="BB10" s="29">
        <f>(+SUMIFS(манзилли!$Q:$Q,манзилли!$AD:$AD,'свод (банк)'!$B10,манзилли!$AA:$AA,"&lt;01.01.2022",манзилли!$AB:$AB,""))</f>
        <v>53970</v>
      </c>
      <c r="BC10" s="29">
        <f>(+SUMIFS(манзилли!$S:$S,манзилли!$AD:$AD,'свод (банк)'!$B10,манзилли!$AA:$AA,"&lt;01.01.2022",манзилли!$AB:$AB,""))</f>
        <v>3512</v>
      </c>
      <c r="BD10" s="29">
        <f>(+SUMIFS(манзилли!$U:$U,манзилли!$AD:$AD,'свод (банк)'!$B10,манзилли!$AA:$AA,"&lt;01.01.2022",манзилли!$AB:$AB,""))</f>
        <v>6200</v>
      </c>
      <c r="BE10" s="30">
        <f>+SUMIFS(манзилли!$Y:$Y,манзилли!$AD:$AD,'свод (банк)'!$B10,манзилли!$AA:$AA,"&lt;01.01.2022",манзилли!$AB:$AB,"")</f>
        <v>633</v>
      </c>
      <c r="BF10" s="28">
        <f>+COUNTIFS(манзилли!$AD:$AD,'свод (банк)'!$B10,манзилли!$AA:$AA,"&lt;01.01.2023",манзилли!$AA:$AA,"&gt;=01.01.2022")</f>
        <v>5</v>
      </c>
      <c r="BG10" s="29">
        <f>(+SUMIFS(манзилли!$K:$K,манзилли!$AD:$AD,'свод (банк)'!$B10,манзилли!$AA:$AA,"&lt;01.01.2023",манзилли!$AA:$AA,"&gt;=01.01.2022"))</f>
        <v>70887</v>
      </c>
      <c r="BH10" s="29">
        <f>(+SUMIFS(манзилли!$M:$M,манзилли!$AD:$AD,'свод (банк)'!$B10,манзилли!$AA:$AA,"&lt;01.01.2023",манзилли!$AA:$AA,"&gt;=01.01.2022"))</f>
        <v>20600</v>
      </c>
      <c r="BI10" s="29">
        <f>(+SUMIFS(манзилли!$Q:$Q,манзилли!$AD:$AD,'свод (банк)'!$B10,манзилли!$AA:$AA,"&lt;01.01.2023",манзилли!$AA:$AA,"&gt;=01.01.2022"))</f>
        <v>37000</v>
      </c>
      <c r="BJ10" s="29">
        <f>(+SUMIFS(манзилли!$S:$S,манзилли!$AD:$AD,'свод (банк)'!$B10,манзилли!$AA:$AA,"&lt;01.01.2023",манзилли!$AA:$AA,"&gt;=01.01.2022"))</f>
        <v>1290</v>
      </c>
      <c r="BK10" s="29">
        <f>(+SUMIFS(манзилли!$U:$U,манзилли!$AD:$AD,'свод (банк)'!$B10,манзилли!$AA:$AA,"&lt;01.01.2023",манзилли!$AA:$AA,"&gt;=01.01.2022"))</f>
        <v>0</v>
      </c>
      <c r="BL10" s="30">
        <f>+SUMIFS(манзилли!$Y:$Y,манзилли!$AD:$AD,'свод (банк)'!$B10,манзилли!$AA:$AA,"&lt;01.01.2023",манзилли!$AA:$AA,"&gt;=01.01.2022")</f>
        <v>74</v>
      </c>
    </row>
    <row r="11" spans="1:64" s="3" customFormat="1" ht="35.25" customHeight="1">
      <c r="A11" s="26">
        <f t="shared" si="6"/>
        <v>5</v>
      </c>
      <c r="B11" s="27" t="s">
        <v>446</v>
      </c>
      <c r="C11" s="28">
        <f>+COUNTIFS(манзилли!$AD:$AD,'свод (банк)'!$B11)</f>
        <v>18</v>
      </c>
      <c r="D11" s="29">
        <f>(+SUMIFS(манзилли!$K:$K,манзилли!$AD:$AD,'свод (банк)'!$B11))</f>
        <v>124720</v>
      </c>
      <c r="E11" s="29">
        <f>(+SUMIFS(манзилли!$M:$M,манзилли!$AD:$AD,'свод (банк)'!$B11))</f>
        <v>86400</v>
      </c>
      <c r="F11" s="29">
        <f>(+SUMIFS(манзилли!$Q:$Q,манзилли!$AD:$AD,'свод (банк)'!$B11))</f>
        <v>13150</v>
      </c>
      <c r="G11" s="29">
        <f>(+SUMIFS(манзилли!$S:$S,манзилли!$AD:$AD,'свод (банк)'!$B11))</f>
        <v>0</v>
      </c>
      <c r="H11" s="29">
        <f>(+SUMIFS(манзилли!$U:$U,манзилли!$AD:$AD,'свод (банк)'!$B11))</f>
        <v>1500</v>
      </c>
      <c r="I11" s="30">
        <f>+SUMIFS(манзилли!$Y:$Y,манзилли!$AD:$AD,'свод (банк)'!$B11)</f>
        <v>265</v>
      </c>
      <c r="J11" s="28">
        <f>+(COUNTIFS(манзилли!$L:$L,"&gt;0",манзилли!$AD:$AD,'свод (банк)'!$B11)+COUNTIFS('Қўшимча ишга тушган'!$T:$T,"&gt;0",'Қўшимча ишга тушган'!$AQ:$AQ,'свод (банк)'!$B11))</f>
        <v>8</v>
      </c>
      <c r="K11" s="29">
        <f>(+SUMIFS(манзилли!$L:$L,манзилли!$AD:$AD,'свод (банк)'!$B11)+SUMIFS('Қўшимча ишга тушган'!$T:$T,'Қўшимча ишга тушган'!$AQ:$AQ,'свод (банк)'!$B11))</f>
        <v>17433.8</v>
      </c>
      <c r="L11" s="29">
        <f>+(SUMIFS(манзилли!$N:$N,манзилли!$AD:$AD,'свод (банк)'!$B11)+SUMIFS('Қўшимча ишга тушган'!$V:$V,'Қўшимча ишга тушган'!$AQ:$AQ,'свод (банк)'!$B11))</f>
        <v>6970</v>
      </c>
      <c r="M11" s="29">
        <f>(+SUMIFS(манзилли!$R:$R,манзилли!$AD:$AD,'свод (банк)'!$B11)+SUMIFS('Қўшимча ишга тушган'!$Z:$Z,'Қўшимча ишга тушган'!$AQ:$AQ,'свод (банк)'!$B11))</f>
        <v>3025</v>
      </c>
      <c r="N11" s="29">
        <f>(+SUMIFS(манзилли!$T:$T,манзилли!$AD:$AD,'свод (банк)'!$B11)+SUMIFS('Қўшимча ишга тушган'!$AB:$AB,'Қўшимча ишга тушган'!$AQ:$AQ,'свод (банк)'!$B11))</f>
        <v>721.5</v>
      </c>
      <c r="O11" s="30">
        <f>(+SUMIFS(манзилли!$V:$V,манзилли!$AD:$AD,'свод (банк)'!$B11)+SUMIFS('Қўшимча ишга тушган'!$AD:$AD,'Қўшимча ишга тушган'!$AQ:$AQ,'свод (банк)'!$B11))</f>
        <v>0</v>
      </c>
      <c r="P11" s="31">
        <f>+COUNTIFS(манзилли!$AD:$AD,'свод (банк)'!$B11,манзилли!$AA:$AA,"&gt;31.12.2020",манзилли!$AA:$AA,"&lt;01.01.2022")</f>
        <v>11</v>
      </c>
      <c r="Q11" s="29">
        <f>(+SUMIFS(манзилли!$K:$K,манзилли!$AD:$AD,'свод (банк)'!$B11,манзилли!$AA:$AA,"&gt;31.12.2020",манзилли!$AA:$AA,"&lt;01.01.2022"))</f>
        <v>89500</v>
      </c>
      <c r="R11" s="29">
        <f>(+SUMIFS(манзилли!$M:$M,манзилли!$AD:$AD,'свод (банк)'!$B11,манзилли!$AA:$AA,"&gt;31.12.2020",манзилли!$AA:$AA,"&lt;01.01.2022"))</f>
        <v>80200</v>
      </c>
      <c r="S11" s="29">
        <f>(+SUMIFS(манзилли!$Q:$Q,манзилли!$AD:$AD,'свод (банк)'!$B11,манзилли!$AA:$AA,"&gt;31.12.2020",манзилли!$AA:$AA,"&lt;01.01.2022"))</f>
        <v>9300</v>
      </c>
      <c r="T11" s="29">
        <f>(+SUMIFS(манзилли!$S:$S,манзилли!$AD:$AD,'свод (банк)'!$B11,манзилли!$AA:$AA,"&gt;31.12.2020",манзилли!$AA:$AA,"&lt;01.01.2022"))</f>
        <v>0</v>
      </c>
      <c r="U11" s="29">
        <f>(+SUMIFS(манзилли!$U:$U,манзилли!$AD:$AD,'свод (банк)'!$B11,манзилли!$AA:$AA,"&gt;31.12.2020",манзилли!$AA:$AA,"&lt;01.01.2022"))</f>
        <v>0</v>
      </c>
      <c r="V11" s="30">
        <f>+SUMIFS(манзилли!$Y:$Y,манзилли!$AD:$AD,'свод (банк)'!$B11,манзилли!$AA:$AA,"&gt;31.12.2020",манзилли!$AA:$AA,"&lt;01.01.2022")</f>
        <v>163</v>
      </c>
      <c r="W11" s="28">
        <f t="shared" si="5"/>
        <v>1</v>
      </c>
      <c r="X11" s="29">
        <f t="shared" si="4"/>
        <v>2560</v>
      </c>
      <c r="Y11" s="29">
        <f t="shared" si="4"/>
        <v>500</v>
      </c>
      <c r="Z11" s="29">
        <f t="shared" si="4"/>
        <v>2060</v>
      </c>
      <c r="AA11" s="29">
        <f t="shared" si="4"/>
        <v>0</v>
      </c>
      <c r="AB11" s="29">
        <f t="shared" si="4"/>
        <v>0</v>
      </c>
      <c r="AC11" s="30">
        <f t="shared" si="4"/>
        <v>20</v>
      </c>
      <c r="AD11" s="28">
        <f>+COUNTIFS(манзилли!$AD:$AD,'свод (банк)'!$B11,манзилли!$AB:$AB,"&gt;31.12.2020",манзилли!$AA:$AA,"&gt;31.12.2020",манзилли!$AA:$AA,"&lt;01.01.2023")</f>
        <v>1</v>
      </c>
      <c r="AE11" s="29">
        <f>(+SUMIFS(манзилли!$L:$L,манзилли!$AD:$AD,'свод (банк)'!$B11,манзилли!$AB:$AB,"&gt;31.12.2020",манзилли!$AA:$AA,"&gt;31.12.2020",манзилли!$AA:$AA,"&lt;01.01.2023"))</f>
        <v>2560</v>
      </c>
      <c r="AF11" s="29">
        <f>(+SUMIFS(манзилли!$N:$N,манзилли!$AD:$AD,'свод (банк)'!$B11,манзилли!$AB:$AB,"&gt;31.12.2020",манзилли!$AA:$AA,"&gt;31.12.2020",манзилли!$AA:$AA,"&lt;01.01.2023"))</f>
        <v>500</v>
      </c>
      <c r="AG11" s="29">
        <f>(+SUMIFS(манзилли!$R:$R,манзилли!$AD:$AD,'свод (банк)'!$B11,манзилли!$AB:$AB,"&gt;31.12.2020",манзилли!$AA:$AA,"&gt;31.12.2020",манзилли!$AA:$AA,"&lt;01.01.2023"))</f>
        <v>2060</v>
      </c>
      <c r="AH11" s="29">
        <f>(+SUMIFS(манзилли!$T:$T,манзилли!$AD:$AD,'свод (банк)'!$B11,манзилли!$AB:$AB,"&gt;31.12.2020",манзилли!$AA:$AA,"&gt;31.12.2020",манзилли!$AA:$AA,"&lt;01.01.2023"))</f>
        <v>0</v>
      </c>
      <c r="AI11" s="29">
        <f>(+SUMIFS(манзилли!$V:$V,манзилли!$AD:$AD,'свод (банк)'!$B11,манзилли!$AB:$AB,"&gt;31.12.2020",манзилли!$AA:$AA,"&gt;31.12.2020",манзилли!$AA:$AA,"&lt;01.01.2023"))</f>
        <v>0</v>
      </c>
      <c r="AJ11" s="30">
        <f>+SUMIFS(манзилли!$Z:$Z,манзилли!$AD:$AD,'свод (банк)'!$B11,манзилли!$AB:$AB,"&gt;31.12.2020",манзилли!$AA:$AA,"&gt;31.12.2020",манзилли!$AA:$AA,"&lt;01.01.2023")</f>
        <v>20</v>
      </c>
      <c r="AK11" s="28">
        <f>+COUNTIFS('Қўшимча ишга тушган'!$AQ:$AQ,'свод (банк)'!B11,'Қўшимча ишга тушган'!$AO:$AO,"&lt;01.10.2023")</f>
        <v>0</v>
      </c>
      <c r="AL11" s="29">
        <f>(+SUMIFS('Қўшимча ишга тушган'!$T:$T,'Қўшимча ишга тушган'!$AQ:$AQ,'свод (банк)'!$B11,'Қўшимча ишга тушган'!$AO:$AO,"&lt;01.10.2023"))</f>
        <v>0</v>
      </c>
      <c r="AM11" s="29">
        <f>(+SUMIFS('Қўшимча ишга тушган'!$V:$V,'Қўшимча ишга тушган'!$AQ:$AQ,'свод (банк)'!$B11,'Қўшимча ишга тушган'!$AO:$AO,"&lt;01.10.2023"))</f>
        <v>0</v>
      </c>
      <c r="AN11" s="29">
        <f>(+SUMIFS('Қўшимча ишга тушган'!$Z:$Z,'Қўшимча ишга тушган'!$AQ:$AQ,'свод (банк)'!$B11,'Қўшимча ишга тушган'!$AO:$AO,"&lt;01.10.2023"))</f>
        <v>0</v>
      </c>
      <c r="AO11" s="29">
        <f>(+SUMIFS('Қўшимча ишга тушган'!$AB:$AB,'Қўшимча ишга тушган'!$AQ:$AQ,'свод (банк)'!$B11,'Қўшимча ишга тушган'!$AO:$AO,"&lt;01.10.2023"))</f>
        <v>0</v>
      </c>
      <c r="AP11" s="29">
        <f>(+SUMIFS('Қўшимча ишга тушган'!$AD:$AD,'Қўшимча ишга тушган'!$AQ:$AQ,'свод (банк)'!$B11,'Қўшимча ишга тушган'!$AO:$AO,"&lt;01.10.2023"))</f>
        <v>0</v>
      </c>
      <c r="AQ11" s="30">
        <f>+SUMIFS('Қўшимча ишга тушган'!$AM:$AM,'Қўшимча ишга тушган'!$AQ:$AQ,'свод (банк)'!$B11,'Қўшимча ишга тушган'!$AO:$AO,"&lt;01.10.2023")</f>
        <v>0</v>
      </c>
      <c r="AR11" s="28">
        <f>+COUNTIFS(манзилли!$AD:$AD,'свод (банк)'!$B11,манзилли!$AA:$AA,"&lt;01.02.2021",манзилли!$AB:$AB,"")</f>
        <v>0</v>
      </c>
      <c r="AS11" s="29">
        <f>(+SUMIFS(манзилли!$K:$K,манзилли!$AD:$AD,'свод (банк)'!$B11,манзилли!$AA:$AA,"&lt;01.02.2021",манзилли!$AB:$AB,""))</f>
        <v>0</v>
      </c>
      <c r="AT11" s="29">
        <f>(+SUMIFS(манзилли!$M:$M,манзилли!$AD:$AD,'свод (банк)'!$B11,манзилли!$AA:$AA,"&lt;01.02.2021",манзилли!$AB:$AB,""))</f>
        <v>0</v>
      </c>
      <c r="AU11" s="29">
        <f>(+SUMIFS(манзилли!$Q:$Q,манзилли!$AD:$AD,'свод (банк)'!$B11,манзилли!$AA:$AA,"&lt;01.02.2021",манзилли!$AB:$AB,""))</f>
        <v>0</v>
      </c>
      <c r="AV11" s="29">
        <f>(+SUMIFS(манзилли!$S:$S,манзилли!$AD:$AD,'свод (банк)'!$B11,манзилли!$AA:$AA,"&lt;01.02.2021",манзилли!$AB:$AB,""))</f>
        <v>0</v>
      </c>
      <c r="AW11" s="29">
        <f>(+SUMIFS(манзилли!$U:$U,манзилли!$AD:$AD,'свод (банк)'!$B11,манзилли!$AA:$AA,"&lt;01.02.2021",манзилли!$AB:$AB,""))</f>
        <v>0</v>
      </c>
      <c r="AX11" s="30">
        <f>+SUMIFS(манзилли!$Y:$Y,манзилли!$AD:$AD,'свод (банк)'!$B11,манзилли!$AA:$AA,"&lt;01.02.2021",манзилли!$AB:$AB,"")</f>
        <v>0</v>
      </c>
      <c r="AY11" s="28">
        <f>+COUNTIFS(манзилли!$AD:$AD,'свод (банк)'!$B11,манзилли!$AA:$AA,"&lt;01.01.2022",манзилли!$AB:$AB,"")</f>
        <v>10</v>
      </c>
      <c r="AZ11" s="29">
        <f>(+SUMIFS(манзилли!$K:$K,манзилли!$AD:$AD,'свод (банк)'!$B11,манзилли!$AA:$AA,"&lt;01.01.2022",манзилли!$AB:$AB,""))</f>
        <v>87000</v>
      </c>
      <c r="BA11" s="29">
        <f>(+SUMIFS(манзилли!$M:$M,манзилли!$AD:$AD,'свод (банк)'!$B11,манзилли!$AA:$AA,"&lt;01.01.2022",манзилли!$AB:$AB,""))</f>
        <v>79700</v>
      </c>
      <c r="BB11" s="29">
        <f>(+SUMIFS(манзилли!$Q:$Q,манзилли!$AD:$AD,'свод (банк)'!$B11,манзилли!$AA:$AA,"&lt;01.01.2022",манзилли!$AB:$AB,""))</f>
        <v>7300</v>
      </c>
      <c r="BC11" s="29">
        <f>(+SUMIFS(манзилли!$S:$S,манзилли!$AD:$AD,'свод (банк)'!$B11,манзилли!$AA:$AA,"&lt;01.01.2022",манзилли!$AB:$AB,""))</f>
        <v>0</v>
      </c>
      <c r="BD11" s="29">
        <f>(+SUMIFS(манзилли!$U:$U,манзилли!$AD:$AD,'свод (банк)'!$B11,манзилли!$AA:$AA,"&lt;01.01.2022",манзилли!$AB:$AB,""))</f>
        <v>0</v>
      </c>
      <c r="BE11" s="30">
        <f>+SUMIFS(манзилли!$Y:$Y,манзилли!$AD:$AD,'свод (банк)'!$B11,манзилли!$AA:$AA,"&lt;01.01.2022",манзилли!$AB:$AB,"")</f>
        <v>143</v>
      </c>
      <c r="BF11" s="28">
        <f>+COUNTIFS(манзилли!$AD:$AD,'свод (банк)'!$B11,манзилли!$AA:$AA,"&lt;01.01.2023",манзилли!$AA:$AA,"&gt;=01.01.2022")</f>
        <v>3</v>
      </c>
      <c r="BG11" s="29">
        <f>(+SUMIFS(манзилли!$K:$K,манзилли!$AD:$AD,'свод (банк)'!$B11,манзилли!$AA:$AA,"&lt;01.01.2023",манзилли!$AA:$AA,"&gt;=01.01.2022"))</f>
        <v>20950</v>
      </c>
      <c r="BH11" s="29">
        <f>(+SUMIFS(манзилли!$M:$M,манзилли!$AD:$AD,'свод (банк)'!$B11,манзилли!$AA:$AA,"&lt;01.01.2023",манзилли!$AA:$AA,"&gt;=01.01.2022"))</f>
        <v>3800</v>
      </c>
      <c r="BI11" s="29">
        <f>(+SUMIFS(манзилли!$Q:$Q,манзилли!$AD:$AD,'свод (банк)'!$B11,манзилли!$AA:$AA,"&lt;01.01.2023",манзилли!$AA:$AA,"&gt;=01.01.2022"))</f>
        <v>1700</v>
      </c>
      <c r="BJ11" s="29">
        <f>(+SUMIFS(манзилли!$S:$S,манзилли!$AD:$AD,'свод (банк)'!$B11,манзилли!$AA:$AA,"&lt;01.01.2023",манзилли!$AA:$AA,"&gt;=01.01.2022"))</f>
        <v>0</v>
      </c>
      <c r="BK11" s="29">
        <f>(+SUMIFS(манзилли!$U:$U,манзилли!$AD:$AD,'свод (банк)'!$B11,манзилли!$AA:$AA,"&lt;01.01.2023",манзилли!$AA:$AA,"&gt;=01.01.2022"))</f>
        <v>1500</v>
      </c>
      <c r="BL11" s="30">
        <f>+SUMIFS(манзилли!$Y:$Y,манзилли!$AD:$AD,'свод (банк)'!$B11,манзилли!$AA:$AA,"&lt;01.01.2023",манзилли!$AA:$AA,"&gt;=01.01.2022")</f>
        <v>50</v>
      </c>
    </row>
    <row r="12" spans="1:64" s="3" customFormat="1" ht="35.25" customHeight="1">
      <c r="A12" s="26">
        <f t="shared" si="6"/>
        <v>6</v>
      </c>
      <c r="B12" s="27" t="s">
        <v>460</v>
      </c>
      <c r="C12" s="28">
        <f>+COUNTIFS(манзилли!$AD:$AD,'свод (банк)'!$B12)</f>
        <v>67</v>
      </c>
      <c r="D12" s="29">
        <f>(+SUMIFS(манзилли!$K:$K,манзилли!$AD:$AD,'свод (банк)'!$B12))</f>
        <v>269186</v>
      </c>
      <c r="E12" s="29">
        <f>(+SUMIFS(манзилли!$M:$M,манзилли!$AD:$AD,'свод (банк)'!$B12))</f>
        <v>91530</v>
      </c>
      <c r="F12" s="29">
        <f>(+SUMIFS(манзилли!$Q:$Q,манзилли!$AD:$AD,'свод (банк)'!$B12))</f>
        <v>130670</v>
      </c>
      <c r="G12" s="29">
        <f>(+SUMIFS(манзилли!$S:$S,манзилли!$AD:$AD,'свод (банк)'!$B12))</f>
        <v>2370</v>
      </c>
      <c r="H12" s="29">
        <f>(+SUMIFS(манзилли!$U:$U,манзилли!$AD:$AD,'свод (банк)'!$B12))</f>
        <v>1050</v>
      </c>
      <c r="I12" s="30">
        <f>+SUMIFS(манзилли!$Y:$Y,манзилли!$AD:$AD,'свод (банк)'!$B12)</f>
        <v>743</v>
      </c>
      <c r="J12" s="28">
        <f>+(COUNTIFS(манзилли!$L:$L,"&gt;0",манзилли!$AD:$AD,'свод (банк)'!$B12)+COUNTIFS('Қўшимча ишга тушган'!$T:$T,"&gt;0",'Қўшимча ишга тушган'!$AQ:$AQ,'свод (банк)'!$B12))</f>
        <v>28</v>
      </c>
      <c r="K12" s="29">
        <f>(+SUMIFS(манзилли!$L:$L,манзилли!$AD:$AD,'свод (банк)'!$B12)+SUMIFS('Қўшимча ишга тушган'!$T:$T,'Қўшимча ишга тушган'!$AQ:$AQ,'свод (банк)'!$B12))</f>
        <v>47253.5</v>
      </c>
      <c r="L12" s="29">
        <f>+(SUMIFS(манзилли!$N:$N,манзилли!$AD:$AD,'свод (банк)'!$B12)+SUMIFS('Қўшимча ишга тушган'!$V:$V,'Қўшимча ишга тушган'!$AQ:$AQ,'свод (банк)'!$B12))</f>
        <v>5050</v>
      </c>
      <c r="M12" s="29">
        <f>(+SUMIFS(манзилли!$R:$R,манзилли!$AD:$AD,'свод (банк)'!$B12)+SUMIFS('Қўшимча ишга тушган'!$Z:$Z,'Қўшимча ишга тушган'!$AQ:$AQ,'свод (банк)'!$B12))</f>
        <v>32615.5</v>
      </c>
      <c r="N12" s="29">
        <f>(+SUMIFS(манзилли!$T:$T,манзилли!$AD:$AD,'свод (банк)'!$B12)+SUMIFS('Қўшимча ишга тушган'!$AB:$AB,'Қўшимча ишга тушган'!$AQ:$AQ,'свод (банк)'!$B12))</f>
        <v>940</v>
      </c>
      <c r="O12" s="30">
        <f>(+SUMIFS(манзилли!$V:$V,манзилли!$AD:$AD,'свод (банк)'!$B12)+SUMIFS('Қўшимча ишга тушган'!$AD:$AD,'Қўшимча ишга тушган'!$AQ:$AQ,'свод (банк)'!$B12))</f>
        <v>0</v>
      </c>
      <c r="P12" s="31">
        <f>+COUNTIFS(манзилли!$AD:$AD,'свод (банк)'!$B12,манзилли!$AA:$AA,"&gt;31.12.2020",манзилли!$AA:$AA,"&lt;01.01.2022")</f>
        <v>54</v>
      </c>
      <c r="Q12" s="29">
        <f>(+SUMIFS(манзилли!$K:$K,манзилли!$AD:$AD,'свод (банк)'!$B12,манзилли!$AA:$AA,"&gt;31.12.2020",манзилли!$AA:$AA,"&lt;01.01.2022"))</f>
        <v>171546</v>
      </c>
      <c r="R12" s="29">
        <f>(+SUMIFS(манзилли!$M:$M,манзилли!$AD:$AD,'свод (банк)'!$B12,манзилли!$AA:$AA,"&gt;31.12.2020",манзилли!$AA:$AA,"&lt;01.01.2022"))</f>
        <v>56590</v>
      </c>
      <c r="S12" s="29">
        <f>(+SUMIFS(манзилли!$Q:$Q,манзилли!$AD:$AD,'свод (банк)'!$B12,манзилли!$AA:$AA,"&gt;31.12.2020",манзилли!$AA:$AA,"&lt;01.01.2022"))</f>
        <v>88570</v>
      </c>
      <c r="T12" s="29">
        <f>(+SUMIFS(манзилли!$S:$S,манзилли!$AD:$AD,'свод (банк)'!$B12,манзилли!$AA:$AA,"&gt;31.12.2020",манзилли!$AA:$AA,"&lt;01.01.2022"))</f>
        <v>370</v>
      </c>
      <c r="U12" s="29">
        <f>(+SUMIFS(манзилли!$U:$U,манзилли!$AD:$AD,'свод (банк)'!$B12,манзилли!$AA:$AA,"&gt;31.12.2020",манзилли!$AA:$AA,"&lt;01.01.2022"))</f>
        <v>1050</v>
      </c>
      <c r="V12" s="30">
        <f>+SUMIFS(манзилли!$Y:$Y,манзилли!$AD:$AD,'свод (банк)'!$B12,манзилли!$AA:$AA,"&gt;31.12.2020",манзилли!$AA:$AA,"&lt;01.01.2022")</f>
        <v>498</v>
      </c>
      <c r="W12" s="28">
        <f t="shared" si="5"/>
        <v>2</v>
      </c>
      <c r="X12" s="29">
        <f t="shared" si="4"/>
        <v>2150</v>
      </c>
      <c r="Y12" s="29">
        <f t="shared" si="4"/>
        <v>1850</v>
      </c>
      <c r="Z12" s="29">
        <f t="shared" si="4"/>
        <v>300</v>
      </c>
      <c r="AA12" s="29">
        <f t="shared" si="4"/>
        <v>0</v>
      </c>
      <c r="AB12" s="29">
        <f t="shared" si="4"/>
        <v>0</v>
      </c>
      <c r="AC12" s="30">
        <f t="shared" si="4"/>
        <v>6</v>
      </c>
      <c r="AD12" s="28">
        <f>+COUNTIFS(манзилли!$AD:$AD,'свод (банк)'!$B12,манзилли!$AB:$AB,"&gt;31.12.2020",манзилли!$AA:$AA,"&gt;31.12.2020",манзилли!$AA:$AA,"&lt;01.01.2023")</f>
        <v>2</v>
      </c>
      <c r="AE12" s="29">
        <f>(+SUMIFS(манзилли!$L:$L,манзилли!$AD:$AD,'свод (банк)'!$B12,манзилли!$AB:$AB,"&gt;31.12.2020",манзилли!$AA:$AA,"&gt;31.12.2020",манзилли!$AA:$AA,"&lt;01.01.2023"))</f>
        <v>2150</v>
      </c>
      <c r="AF12" s="29">
        <f>(+SUMIFS(манзилли!$N:$N,манзилли!$AD:$AD,'свод (банк)'!$B12,манзилли!$AB:$AB,"&gt;31.12.2020",манзилли!$AA:$AA,"&gt;31.12.2020",манзилли!$AA:$AA,"&lt;01.01.2023"))</f>
        <v>1850</v>
      </c>
      <c r="AG12" s="29">
        <f>(+SUMIFS(манзилли!$R:$R,манзилли!$AD:$AD,'свод (банк)'!$B12,манзилли!$AB:$AB,"&gt;31.12.2020",манзилли!$AA:$AA,"&gt;31.12.2020",манзилли!$AA:$AA,"&lt;01.01.2023"))</f>
        <v>300</v>
      </c>
      <c r="AH12" s="29">
        <f>(+SUMIFS(манзилли!$T:$T,манзилли!$AD:$AD,'свод (банк)'!$B12,манзилли!$AB:$AB,"&gt;31.12.2020",манзилли!$AA:$AA,"&gt;31.12.2020",манзилли!$AA:$AA,"&lt;01.01.2023"))</f>
        <v>0</v>
      </c>
      <c r="AI12" s="29">
        <f>(+SUMIFS(манзилли!$V:$V,манзилли!$AD:$AD,'свод (банк)'!$B12,манзилли!$AB:$AB,"&gt;31.12.2020",манзилли!$AA:$AA,"&gt;31.12.2020",манзилли!$AA:$AA,"&lt;01.01.2023"))</f>
        <v>0</v>
      </c>
      <c r="AJ12" s="30">
        <f>+SUMIFS(манзилли!$Z:$Z,манзилли!$AD:$AD,'свод (банк)'!$B12,манзилли!$AB:$AB,"&gt;31.12.2020",манзилли!$AA:$AA,"&gt;31.12.2020",манзилли!$AA:$AA,"&lt;01.01.2023")</f>
        <v>6</v>
      </c>
      <c r="AK12" s="28">
        <f>+COUNTIFS('Қўшимча ишга тушган'!$AQ:$AQ,'свод (банк)'!B12,'Қўшимча ишга тушган'!$AO:$AO,"&lt;01.10.2023")</f>
        <v>0</v>
      </c>
      <c r="AL12" s="29">
        <f>(+SUMIFS('Қўшимча ишга тушган'!$T:$T,'Қўшимча ишга тушган'!$AQ:$AQ,'свод (банк)'!$B12,'Қўшимча ишга тушган'!$AO:$AO,"&lt;01.10.2023"))</f>
        <v>0</v>
      </c>
      <c r="AM12" s="29">
        <f>(+SUMIFS('Қўшимча ишга тушган'!$V:$V,'Қўшимча ишга тушган'!$AQ:$AQ,'свод (банк)'!$B12,'Қўшимча ишга тушган'!$AO:$AO,"&lt;01.10.2023"))</f>
        <v>0</v>
      </c>
      <c r="AN12" s="29">
        <f>(+SUMIFS('Қўшимча ишга тушган'!$Z:$Z,'Қўшимча ишга тушган'!$AQ:$AQ,'свод (банк)'!$B12,'Қўшимча ишга тушган'!$AO:$AO,"&lt;01.10.2023"))</f>
        <v>0</v>
      </c>
      <c r="AO12" s="29">
        <f>(+SUMIFS('Қўшимча ишга тушган'!$AB:$AB,'Қўшимча ишга тушган'!$AQ:$AQ,'свод (банк)'!$B12,'Қўшимча ишга тушган'!$AO:$AO,"&lt;01.10.2023"))</f>
        <v>0</v>
      </c>
      <c r="AP12" s="29">
        <f>(+SUMIFS('Қўшимча ишга тушган'!$AD:$AD,'Қўшимча ишга тушган'!$AQ:$AQ,'свод (банк)'!$B12,'Қўшимча ишга тушган'!$AO:$AO,"&lt;01.10.2023"))</f>
        <v>0</v>
      </c>
      <c r="AQ12" s="30">
        <f>+SUMIFS('Қўшимча ишга тушган'!$AM:$AM,'Қўшимча ишга тушган'!$AQ:$AQ,'свод (банк)'!$B12,'Қўшимча ишга тушган'!$AO:$AO,"&lt;01.10.2023")</f>
        <v>0</v>
      </c>
      <c r="AR12" s="28">
        <f>+COUNTIFS(манзилли!$AD:$AD,'свод (банк)'!$B12,манзилли!$AA:$AA,"&lt;01.02.2021",манзилли!$AB:$AB,"")</f>
        <v>0</v>
      </c>
      <c r="AS12" s="29">
        <f>(+SUMIFS(манзилли!$K:$K,манзилли!$AD:$AD,'свод (банк)'!$B12,манзилли!$AA:$AA,"&lt;01.02.2021",манзилли!$AB:$AB,""))</f>
        <v>0</v>
      </c>
      <c r="AT12" s="29">
        <f>(+SUMIFS(манзилли!$M:$M,манзилли!$AD:$AD,'свод (банк)'!$B12,манзилли!$AA:$AA,"&lt;01.02.2021",манзилли!$AB:$AB,""))</f>
        <v>0</v>
      </c>
      <c r="AU12" s="29">
        <f>(+SUMIFS(манзилли!$Q:$Q,манзилли!$AD:$AD,'свод (банк)'!$B12,манзилли!$AA:$AA,"&lt;01.02.2021",манзилли!$AB:$AB,""))</f>
        <v>0</v>
      </c>
      <c r="AV12" s="29">
        <f>(+SUMIFS(манзилли!$S:$S,манзилли!$AD:$AD,'свод (банк)'!$B12,манзилли!$AA:$AA,"&lt;01.02.2021",манзилли!$AB:$AB,""))</f>
        <v>0</v>
      </c>
      <c r="AW12" s="29">
        <f>(+SUMIFS(манзилли!$U:$U,манзилли!$AD:$AD,'свод (банк)'!$B12,манзилли!$AA:$AA,"&lt;01.02.2021",манзилли!$AB:$AB,""))</f>
        <v>0</v>
      </c>
      <c r="AX12" s="30">
        <f>+SUMIFS(манзилли!$Y:$Y,манзилли!$AD:$AD,'свод (банк)'!$B12,манзилли!$AA:$AA,"&lt;01.02.2021",манзилли!$AB:$AB,"")</f>
        <v>0</v>
      </c>
      <c r="AY12" s="28">
        <f>+COUNTIFS(манзилли!$AD:$AD,'свод (банк)'!$B12,манзилли!$AA:$AA,"&lt;01.01.2022",манзилли!$AB:$AB,"")</f>
        <v>51</v>
      </c>
      <c r="AZ12" s="29">
        <f>(+SUMIFS(манзилли!$K:$K,манзилли!$AD:$AD,'свод (банк)'!$B12,манзилли!$AA:$AA,"&lt;01.01.2022",манзилли!$AB:$AB,""))</f>
        <v>169296</v>
      </c>
      <c r="BA12" s="29">
        <f>(+SUMIFS(манзилли!$M:$M,манзилли!$AD:$AD,'свод (банк)'!$B12,манзилли!$AA:$AA,"&lt;01.01.2022",манзилли!$AB:$AB,""))</f>
        <v>55840</v>
      </c>
      <c r="BB12" s="29">
        <f>(+SUMIFS(манзилли!$Q:$Q,манзилли!$AD:$AD,'свод (банк)'!$B12,манзилли!$AA:$AA,"&lt;01.01.2022",манзилли!$AB:$AB,""))</f>
        <v>87070</v>
      </c>
      <c r="BC12" s="29">
        <f>(+SUMIFS(манзилли!$S:$S,манзилли!$AD:$AD,'свод (банк)'!$B12,манзилли!$AA:$AA,"&lt;01.01.2022",манзилли!$AB:$AB,""))</f>
        <v>370</v>
      </c>
      <c r="BD12" s="29">
        <f>(+SUMIFS(манзилли!$U:$U,манзилли!$AD:$AD,'свод (банк)'!$B12,манзилли!$AA:$AA,"&lt;01.01.2022",манзилли!$AB:$AB,""))</f>
        <v>1050</v>
      </c>
      <c r="BE12" s="30">
        <f>+SUMIFS(манзилли!$Y:$Y,манзилли!$AD:$AD,'свод (банк)'!$B12,манзилли!$AA:$AA,"&lt;01.01.2022",манзилли!$AB:$AB,"")</f>
        <v>489</v>
      </c>
      <c r="BF12" s="28">
        <f>+COUNTIFS(манзилли!$AD:$AD,'свод (банк)'!$B12,манзилли!$AA:$AA,"&lt;01.01.2023",манзилли!$AA:$AA,"&gt;=01.01.2022")</f>
        <v>9</v>
      </c>
      <c r="BG12" s="29">
        <f>(+SUMIFS(манзилли!$K:$K,манзилли!$AD:$AD,'свод (банк)'!$B12,манзилли!$AA:$AA,"&lt;01.01.2023",манзилли!$AA:$AA,"&gt;=01.01.2022"))</f>
        <v>83840</v>
      </c>
      <c r="BH12" s="29">
        <f>(+SUMIFS(манзилли!$M:$M,манзилли!$AD:$AD,'свод (банк)'!$B12,манзилли!$AA:$AA,"&lt;01.01.2023",манзилли!$AA:$AA,"&gt;=01.01.2022"))</f>
        <v>31340</v>
      </c>
      <c r="BI12" s="29">
        <f>(+SUMIFS(манзилли!$Q:$Q,манзилли!$AD:$AD,'свод (банк)'!$B12,манзилли!$AA:$AA,"&lt;01.01.2023",манзилли!$AA:$AA,"&gt;=01.01.2022"))</f>
        <v>31900</v>
      </c>
      <c r="BJ12" s="29">
        <f>(+SUMIFS(манзилли!$S:$S,манзилли!$AD:$AD,'свод (банк)'!$B12,манзилли!$AA:$AA,"&lt;01.01.2023",манзилли!$AA:$AA,"&gt;=01.01.2022"))</f>
        <v>2000</v>
      </c>
      <c r="BK12" s="29">
        <f>(+SUMIFS(манзилли!$U:$U,манзилли!$AD:$AD,'свод (банк)'!$B12,манзилли!$AA:$AA,"&lt;01.01.2023",манзилли!$AA:$AA,"&gt;=01.01.2022"))</f>
        <v>0</v>
      </c>
      <c r="BL12" s="30">
        <f>+SUMIFS(манзилли!$Y:$Y,манзилли!$AD:$AD,'свод (банк)'!$B12,манзилли!$AA:$AA,"&lt;01.01.2023",манзилли!$AA:$AA,"&gt;=01.01.2022")</f>
        <v>209</v>
      </c>
    </row>
    <row r="13" spans="1:64" s="3" customFormat="1" ht="35.25" customHeight="1">
      <c r="A13" s="26">
        <f t="shared" si="6"/>
        <v>7</v>
      </c>
      <c r="B13" s="27" t="s">
        <v>453</v>
      </c>
      <c r="C13" s="28">
        <f>+COUNTIFS(манзилли!$AD:$AD,'свод (банк)'!$B13)</f>
        <v>110</v>
      </c>
      <c r="D13" s="29">
        <f>(+SUMIFS(манзилли!$K:$K,манзилли!$AD:$AD,'свод (банк)'!$B13))</f>
        <v>649552</v>
      </c>
      <c r="E13" s="29">
        <f>(+SUMIFS(манзилли!$M:$M,манзилли!$AD:$AD,'свод (банк)'!$B13))</f>
        <v>233927</v>
      </c>
      <c r="F13" s="29">
        <f>(+SUMIFS(манзилли!$Q:$Q,манзилли!$AD:$AD,'свод (банк)'!$B13))</f>
        <v>247795</v>
      </c>
      <c r="G13" s="29">
        <f>(+SUMIFS(манзилли!$S:$S,манзилли!$AD:$AD,'свод (банк)'!$B13))</f>
        <v>15880</v>
      </c>
      <c r="H13" s="29">
        <f>(+SUMIFS(манзилли!$U:$U,манзилли!$AD:$AD,'свод (банк)'!$B13))</f>
        <v>300</v>
      </c>
      <c r="I13" s="30">
        <f>+SUMIFS(манзилли!$Y:$Y,манзилли!$AD:$AD,'свод (банк)'!$B13)</f>
        <v>2141</v>
      </c>
      <c r="J13" s="28">
        <f>+(COUNTIFS(манзилли!$L:$L,"&gt;0",манзилли!$AD:$AD,'свод (банк)'!$B13)+COUNTIFS('Қўшимча ишга тушган'!$T:$T,"&gt;0",'Қўшимча ишга тушган'!$AQ:$AQ,'свод (банк)'!$B13))</f>
        <v>87</v>
      </c>
      <c r="K13" s="29">
        <f>(+SUMIFS(манзилли!$L:$L,манзилли!$AD:$AD,'свод (банк)'!$B13)+SUMIFS('Қўшимча ишга тушган'!$T:$T,'Қўшимча ишга тушган'!$AQ:$AQ,'свод (банк)'!$B13))</f>
        <v>215941.30000000002</v>
      </c>
      <c r="L13" s="29">
        <f>+(SUMIFS(манзилли!$N:$N,манзилли!$AD:$AD,'свод (банк)'!$B13)+SUMIFS('Қўшимча ишга тушган'!$V:$V,'Қўшимча ишга тушган'!$AQ:$AQ,'свод (банк)'!$B13))</f>
        <v>41566</v>
      </c>
      <c r="M13" s="29">
        <f>(+SUMIFS(манзилли!$R:$R,манзилли!$AD:$AD,'свод (банк)'!$B13)+SUMIFS('Қўшимча ишга тушган'!$Z:$Z,'Қўшимча ишга тушган'!$AQ:$AQ,'свод (банк)'!$B13))</f>
        <v>53103</v>
      </c>
      <c r="N13" s="29">
        <f>(+SUMIFS(манзилли!$T:$T,манзилли!$AD:$AD,'свод (банк)'!$B13)+SUMIFS('Қўшимча ишга тушган'!$AB:$AB,'Қўшимча ишга тушган'!$AQ:$AQ,'свод (банк)'!$B13))</f>
        <v>11888</v>
      </c>
      <c r="O13" s="30">
        <f>(+SUMIFS(манзилли!$V:$V,манзилли!$AD:$AD,'свод (банк)'!$B13)+SUMIFS('Қўшимча ишга тушган'!$AD:$AD,'Қўшимча ишга тушган'!$AQ:$AQ,'свод (банк)'!$B13))</f>
        <v>0</v>
      </c>
      <c r="P13" s="31">
        <f>+COUNTIFS(манзилли!$AD:$AD,'свод (банк)'!$B13,манзилли!$AA:$AA,"&gt;31.12.2020",манзилли!$AA:$AA,"&lt;01.01.2022")</f>
        <v>62</v>
      </c>
      <c r="Q13" s="29">
        <f>(+SUMIFS(манзилли!$K:$K,манзилли!$AD:$AD,'свод (банк)'!$B13,манзилли!$AA:$AA,"&gt;31.12.2020",манзилли!$AA:$AA,"&lt;01.01.2022"))</f>
        <v>490074</v>
      </c>
      <c r="R13" s="29">
        <f>(+SUMIFS(манзилли!$M:$M,манзилли!$AD:$AD,'свод (банк)'!$B13,манзилли!$AA:$AA,"&gt;31.12.2020",манзилли!$AA:$AA,"&lt;01.01.2022"))</f>
        <v>161762</v>
      </c>
      <c r="S13" s="29">
        <f>(+SUMIFS(манзилли!$Q:$Q,манзилли!$AD:$AD,'свод (банк)'!$B13,манзилли!$AA:$AA,"&gt;31.12.2020",манзилли!$AA:$AA,"&lt;01.01.2022"))</f>
        <v>183185</v>
      </c>
      <c r="T13" s="29">
        <f>(+SUMIFS(манзилли!$S:$S,манзилли!$AD:$AD,'свод (банк)'!$B13,манзилли!$AA:$AA,"&gt;31.12.2020",манзилли!$AA:$AA,"&lt;01.01.2022"))</f>
        <v>13790</v>
      </c>
      <c r="U13" s="29">
        <f>(+SUMIFS(манзилли!$U:$U,манзилли!$AD:$AD,'свод (банк)'!$B13,манзилли!$AA:$AA,"&gt;31.12.2020",манзилли!$AA:$AA,"&lt;01.01.2022"))</f>
        <v>300</v>
      </c>
      <c r="V13" s="30">
        <f>+SUMIFS(манзилли!$Y:$Y,манзилли!$AD:$AD,'свод (банк)'!$B13,манзилли!$AA:$AA,"&gt;31.12.2020",манзилли!$AA:$AA,"&lt;01.01.2022")</f>
        <v>1757</v>
      </c>
      <c r="W13" s="28">
        <f t="shared" si="5"/>
        <v>15</v>
      </c>
      <c r="X13" s="29">
        <f t="shared" si="4"/>
        <v>13399.5</v>
      </c>
      <c r="Y13" s="29">
        <f t="shared" si="4"/>
        <v>8720</v>
      </c>
      <c r="Z13" s="29">
        <f t="shared" si="4"/>
        <v>4165</v>
      </c>
      <c r="AA13" s="29">
        <f t="shared" si="4"/>
        <v>49</v>
      </c>
      <c r="AB13" s="29">
        <f t="shared" si="4"/>
        <v>0</v>
      </c>
      <c r="AC13" s="30">
        <f t="shared" si="4"/>
        <v>68</v>
      </c>
      <c r="AD13" s="28">
        <f>+COUNTIFS(манзилли!$AD:$AD,'свод (банк)'!$B13,манзилли!$AB:$AB,"&gt;31.12.2020",манзилли!$AA:$AA,"&gt;31.12.2020",манзилли!$AA:$AA,"&lt;01.01.2023")</f>
        <v>15</v>
      </c>
      <c r="AE13" s="29">
        <f>(+SUMIFS(манзилли!$L:$L,манзилли!$AD:$AD,'свод (банк)'!$B13,манзилли!$AB:$AB,"&gt;31.12.2020",манзилли!$AA:$AA,"&gt;31.12.2020",манзилли!$AA:$AA,"&lt;01.01.2023"))</f>
        <v>13399.5</v>
      </c>
      <c r="AF13" s="29">
        <f>(+SUMIFS(манзилли!$N:$N,манзилли!$AD:$AD,'свод (банк)'!$B13,манзилли!$AB:$AB,"&gt;31.12.2020",манзилли!$AA:$AA,"&gt;31.12.2020",манзилли!$AA:$AA,"&lt;01.01.2023"))</f>
        <v>8720</v>
      </c>
      <c r="AG13" s="29">
        <f>(+SUMIFS(манзилли!$R:$R,манзилли!$AD:$AD,'свод (банк)'!$B13,манзилли!$AB:$AB,"&gt;31.12.2020",манзилли!$AA:$AA,"&gt;31.12.2020",манзилли!$AA:$AA,"&lt;01.01.2023"))</f>
        <v>4165</v>
      </c>
      <c r="AH13" s="29">
        <f>(+SUMIFS(манзилли!$T:$T,манзилли!$AD:$AD,'свод (банк)'!$B13,манзилли!$AB:$AB,"&gt;31.12.2020",манзилли!$AA:$AA,"&gt;31.12.2020",манзилли!$AA:$AA,"&lt;01.01.2023"))</f>
        <v>49</v>
      </c>
      <c r="AI13" s="29">
        <f>(+SUMIFS(манзилли!$V:$V,манзилли!$AD:$AD,'свод (банк)'!$B13,манзилли!$AB:$AB,"&gt;31.12.2020",манзилли!$AA:$AA,"&gt;31.12.2020",манзилли!$AA:$AA,"&lt;01.01.2023"))</f>
        <v>0</v>
      </c>
      <c r="AJ13" s="30">
        <f>+SUMIFS(манзилли!$Z:$Z,манзилли!$AD:$AD,'свод (банк)'!$B13,манзилли!$AB:$AB,"&gt;31.12.2020",манзилли!$AA:$AA,"&gt;31.12.2020",манзилли!$AA:$AA,"&lt;01.01.2023")</f>
        <v>68</v>
      </c>
      <c r="AK13" s="28">
        <f>+COUNTIFS('Қўшимча ишга тушган'!$AQ:$AQ,'свод (банк)'!B13,'Қўшимча ишга тушган'!$AO:$AO,"&lt;01.10.2023")</f>
        <v>0</v>
      </c>
      <c r="AL13" s="29">
        <f>(+SUMIFS('Қўшимча ишга тушган'!$T:$T,'Қўшимча ишга тушган'!$AQ:$AQ,'свод (банк)'!$B13,'Қўшимча ишга тушган'!$AO:$AO,"&lt;01.10.2023"))</f>
        <v>0</v>
      </c>
      <c r="AM13" s="29">
        <f>(+SUMIFS('Қўшимча ишга тушган'!$V:$V,'Қўшимча ишга тушган'!$AQ:$AQ,'свод (банк)'!$B13,'Қўшимча ишга тушган'!$AO:$AO,"&lt;01.10.2023"))</f>
        <v>0</v>
      </c>
      <c r="AN13" s="29">
        <f>(+SUMIFS('Қўшимча ишга тушган'!$Z:$Z,'Қўшимча ишга тушган'!$AQ:$AQ,'свод (банк)'!$B13,'Қўшимча ишга тушган'!$AO:$AO,"&lt;01.10.2023"))</f>
        <v>0</v>
      </c>
      <c r="AO13" s="29">
        <f>(+SUMIFS('Қўшимча ишга тушган'!$AB:$AB,'Қўшимча ишга тушган'!$AQ:$AQ,'свод (банк)'!$B13,'Қўшимча ишга тушган'!$AO:$AO,"&lt;01.10.2023"))</f>
        <v>0</v>
      </c>
      <c r="AP13" s="29">
        <f>(+SUMIFS('Қўшимча ишга тушган'!$AD:$AD,'Қўшимча ишга тушган'!$AQ:$AQ,'свод (банк)'!$B13,'Қўшимча ишга тушган'!$AO:$AO,"&lt;01.10.2023"))</f>
        <v>0</v>
      </c>
      <c r="AQ13" s="30">
        <f>+SUMIFS('Қўшимча ишга тушган'!$AM:$AM,'Қўшимча ишга тушган'!$AQ:$AQ,'свод (банк)'!$B13,'Қўшимча ишга тушган'!$AO:$AO,"&lt;01.10.2023")</f>
        <v>0</v>
      </c>
      <c r="AR13" s="28">
        <f>+COUNTIFS(манзилли!$AD:$AD,'свод (банк)'!$B13,манзилли!$AA:$AA,"&lt;01.02.2021",манзилли!$AB:$AB,"")</f>
        <v>0</v>
      </c>
      <c r="AS13" s="29">
        <f>(+SUMIFS(манзилли!$K:$K,манзилли!$AD:$AD,'свод (банк)'!$B13,манзилли!$AA:$AA,"&lt;01.02.2021",манзилли!$AB:$AB,""))</f>
        <v>0</v>
      </c>
      <c r="AT13" s="29">
        <f>(+SUMIFS(манзилли!$M:$M,манзилли!$AD:$AD,'свод (банк)'!$B13,манзилли!$AA:$AA,"&lt;01.02.2021",манзилли!$AB:$AB,""))</f>
        <v>0</v>
      </c>
      <c r="AU13" s="29">
        <f>(+SUMIFS(манзилли!$Q:$Q,манзилли!$AD:$AD,'свод (банк)'!$B13,манзилли!$AA:$AA,"&lt;01.02.2021",манзилли!$AB:$AB,""))</f>
        <v>0</v>
      </c>
      <c r="AV13" s="29">
        <f>(+SUMIFS(манзилли!$S:$S,манзилли!$AD:$AD,'свод (банк)'!$B13,манзилли!$AA:$AA,"&lt;01.02.2021",манзилли!$AB:$AB,""))</f>
        <v>0</v>
      </c>
      <c r="AW13" s="29">
        <f>(+SUMIFS(манзилли!$U:$U,манзилли!$AD:$AD,'свод (банк)'!$B13,манзилли!$AA:$AA,"&lt;01.02.2021",манзилли!$AB:$AB,""))</f>
        <v>0</v>
      </c>
      <c r="AX13" s="30">
        <f>+SUMIFS(манзилли!$Y:$Y,манзилли!$AD:$AD,'свод (банк)'!$B13,манзилли!$AA:$AA,"&lt;01.02.2021",манзилли!$AB:$AB,"")</f>
        <v>0</v>
      </c>
      <c r="AY13" s="28">
        <f>+COUNTIFS(манзилли!$AD:$AD,'свод (банк)'!$B13,манзилли!$AA:$AA,"&lt;01.01.2022",манзилли!$AB:$AB,"")</f>
        <v>33</v>
      </c>
      <c r="AZ13" s="29">
        <f>(+SUMIFS(манзилли!$K:$K,манзилли!$AD:$AD,'свод (банк)'!$B13,манзилли!$AA:$AA,"&lt;01.01.2022",манзилли!$AB:$AB,""))</f>
        <v>450682</v>
      </c>
      <c r="BA13" s="29">
        <f>(+SUMIFS(манзилли!$M:$M,манзилли!$AD:$AD,'свод (банк)'!$B13,манзилли!$AA:$AA,"&lt;01.01.2022",манзилли!$AB:$AB,""))</f>
        <v>147862</v>
      </c>
      <c r="BB13" s="29">
        <f>(+SUMIFS(манзилли!$Q:$Q,манзилли!$AD:$AD,'свод (банк)'!$B13,манзилли!$AA:$AA,"&lt;01.01.2022",манзилли!$AB:$AB,""))</f>
        <v>159135</v>
      </c>
      <c r="BC13" s="29">
        <f>(+SUMIFS(манзилли!$S:$S,манзилли!$AD:$AD,'свод (банк)'!$B13,манзилли!$AA:$AA,"&lt;01.01.2022",манзилли!$AB:$AB,""))</f>
        <v>13650</v>
      </c>
      <c r="BD13" s="29">
        <f>(+SUMIFS(манзилли!$U:$U,манзилли!$AD:$AD,'свод (банк)'!$B13,манзилли!$AA:$AA,"&lt;01.01.2022",манзилли!$AB:$AB,""))</f>
        <v>300</v>
      </c>
      <c r="BE13" s="30">
        <f>+SUMIFS(манзилли!$Y:$Y,манзилли!$AD:$AD,'свод (банк)'!$B13,манзилли!$AA:$AA,"&lt;01.01.2022",манзилли!$AB:$AB,"")</f>
        <v>1556</v>
      </c>
      <c r="BF13" s="28">
        <f>+COUNTIFS(манзилли!$AD:$AD,'свод (банк)'!$B13,манзилли!$AA:$AA,"&lt;01.01.2023",манзилли!$AA:$AA,"&gt;=01.01.2022")</f>
        <v>8</v>
      </c>
      <c r="BG13" s="29">
        <f>(+SUMIFS(манзилли!$K:$K,манзилли!$AD:$AD,'свод (банк)'!$B13,манзилли!$AA:$AA,"&lt;01.01.2023",манзилли!$AA:$AA,"&gt;=01.01.2022"))</f>
        <v>114046</v>
      </c>
      <c r="BH13" s="29">
        <f>(+SUMIFS(манзилли!$M:$M,манзилли!$AD:$AD,'свод (банк)'!$B13,манзилли!$AA:$AA,"&lt;01.01.2023",манзилли!$AA:$AA,"&gt;=01.01.2022"))</f>
        <v>50800</v>
      </c>
      <c r="BI13" s="29">
        <f>(+SUMIFS(манзилли!$Q:$Q,манзилли!$AD:$AD,'свод (банк)'!$B13,манзилли!$AA:$AA,"&lt;01.01.2023",манзилли!$AA:$AA,"&gt;=01.01.2022"))</f>
        <v>43600</v>
      </c>
      <c r="BJ13" s="29">
        <f>(+SUMIFS(манзилли!$S:$S,манзилли!$AD:$AD,'свод (банк)'!$B13,манзилли!$AA:$AA,"&lt;01.01.2023",манзилли!$AA:$AA,"&gt;=01.01.2022"))</f>
        <v>1900</v>
      </c>
      <c r="BK13" s="29">
        <f>(+SUMIFS(манзилли!$U:$U,манзилли!$AD:$AD,'свод (банк)'!$B13,манзилли!$AA:$AA,"&lt;01.01.2023",манзилли!$AA:$AA,"&gt;=01.01.2022"))</f>
        <v>0</v>
      </c>
      <c r="BL13" s="30">
        <f>+SUMIFS(манзилли!$Y:$Y,манзилли!$AD:$AD,'свод (банк)'!$B13,манзилли!$AA:$AA,"&lt;01.01.2023",манзилли!$AA:$AA,"&gt;=01.01.2022")</f>
        <v>210</v>
      </c>
    </row>
    <row r="14" spans="1:64" s="3" customFormat="1" ht="35.25" customHeight="1">
      <c r="A14" s="26">
        <f t="shared" si="6"/>
        <v>8</v>
      </c>
      <c r="B14" s="27" t="s">
        <v>4</v>
      </c>
      <c r="C14" s="28">
        <f>+COUNTIFS(манзилли!$AD:$AD,'свод (банк)'!$B14)</f>
        <v>54</v>
      </c>
      <c r="D14" s="29">
        <f>(+SUMIFS(манзилли!$K:$K,манзилли!$AD:$AD,'свод (банк)'!$B14))</f>
        <v>779336.29379999998</v>
      </c>
      <c r="E14" s="29">
        <f>(+SUMIFS(манзилли!$M:$M,манзилли!$AD:$AD,'свод (банк)'!$B14))</f>
        <v>237679.78113999998</v>
      </c>
      <c r="F14" s="29">
        <f>(+SUMIFS(манзилли!$Q:$Q,манзилли!$AD:$AD,'свод (банк)'!$B14))</f>
        <v>145759.51266000001</v>
      </c>
      <c r="G14" s="29">
        <f>(+SUMIFS(манзилли!$S:$S,манзилли!$AD:$AD,'свод (банк)'!$B14))</f>
        <v>41190</v>
      </c>
      <c r="H14" s="29">
        <f>(+SUMIFS(манзилли!$U:$U,манзилли!$AD:$AD,'свод (банк)'!$B14))</f>
        <v>0</v>
      </c>
      <c r="I14" s="30">
        <f>+SUMIFS(манзилли!$Y:$Y,манзилли!$AD:$AD,'свод (банк)'!$B14)</f>
        <v>1925</v>
      </c>
      <c r="J14" s="28">
        <f>+(COUNTIFS(манзилли!$L:$L,"&gt;0",манзилли!$AD:$AD,'свод (банк)'!$B14)+COUNTIFS('Қўшимча ишга тушган'!$T:$T,"&gt;0",'Қўшимча ишга тушган'!$AQ:$AQ,'свод (банк)'!$B14))</f>
        <v>46</v>
      </c>
      <c r="K14" s="29">
        <f>(+SUMIFS(манзилли!$L:$L,манзилли!$AD:$AD,'свод (банк)'!$B14)+SUMIFS('Қўшимча ишга тушган'!$T:$T,'Қўшимча ишга тушган'!$AQ:$AQ,'свод (банк)'!$B14))</f>
        <v>189451.90000000002</v>
      </c>
      <c r="L14" s="29">
        <f>+(SUMIFS(манзилли!$N:$N,манзилли!$AD:$AD,'свод (банк)'!$B14)+SUMIFS('Қўшимча ишга тушган'!$V:$V,'Қўшимча ишга тушган'!$AQ:$AQ,'свод (банк)'!$B14))</f>
        <v>19264.8</v>
      </c>
      <c r="M14" s="29">
        <f>(+SUMIFS(манзилли!$R:$R,манзилли!$AD:$AD,'свод (банк)'!$B14)+SUMIFS('Қўшимча ишга тушган'!$Z:$Z,'Қўшимча ишга тушган'!$AQ:$AQ,'свод (банк)'!$B14))</f>
        <v>126235.3</v>
      </c>
      <c r="N14" s="29">
        <f>(+SUMIFS(манзилли!$T:$T,манзилли!$AD:$AD,'свод (банк)'!$B14)+SUMIFS('Қўшимча ишга тушган'!$AB:$AB,'Қўшимча ишга тушган'!$AQ:$AQ,'свод (банк)'!$B14))</f>
        <v>4309</v>
      </c>
      <c r="O14" s="30">
        <f>(+SUMIFS(манзилли!$V:$V,манзилли!$AD:$AD,'свод (банк)'!$B14)+SUMIFS('Қўшимча ишга тушган'!$AD:$AD,'Қўшимча ишга тушган'!$AQ:$AQ,'свод (банк)'!$B14))</f>
        <v>0</v>
      </c>
      <c r="P14" s="31">
        <f>+COUNTIFS(манзилли!$AD:$AD,'свод (банк)'!$B14,манзилли!$AA:$AA,"&gt;31.12.2020",манзилли!$AA:$AA,"&lt;01.01.2022")</f>
        <v>47</v>
      </c>
      <c r="Q14" s="29">
        <f>(+SUMIFS(манзилли!$K:$K,манзилли!$AD:$AD,'свод (банк)'!$B14,манзилли!$AA:$AA,"&gt;31.12.2020",манзилли!$AA:$AA,"&lt;01.01.2022"))</f>
        <v>732786.29379999998</v>
      </c>
      <c r="R14" s="29">
        <f>(+SUMIFS(манзилли!$M:$M,манзилли!$AD:$AD,'свод (банк)'!$B14,манзилли!$AA:$AA,"&gt;31.12.2020",манзилли!$AA:$AA,"&lt;01.01.2022"))</f>
        <v>213779.78113999998</v>
      </c>
      <c r="S14" s="29">
        <f>(+SUMIFS(манзилли!$Q:$Q,манзилли!$AD:$AD,'свод (банк)'!$B14,манзилли!$AA:$AA,"&gt;31.12.2020",манзилли!$AA:$AA,"&lt;01.01.2022"))</f>
        <v>123109.51266000001</v>
      </c>
      <c r="T14" s="29">
        <f>(+SUMIFS(манзилли!$S:$S,манзилли!$AD:$AD,'свод (банк)'!$B14,манзилли!$AA:$AA,"&gt;31.12.2020",манзилли!$AA:$AA,"&lt;01.01.2022"))</f>
        <v>41190</v>
      </c>
      <c r="U14" s="29">
        <f>(+SUMIFS(манзилли!$U:$U,манзилли!$AD:$AD,'свод (банк)'!$B14,манзилли!$AA:$AA,"&gt;31.12.2020",манзилли!$AA:$AA,"&lt;01.01.2022"))</f>
        <v>0</v>
      </c>
      <c r="V14" s="30">
        <f>+SUMIFS(манзилли!$Y:$Y,манзилли!$AD:$AD,'свод (банк)'!$B14,манзилли!$AA:$AA,"&gt;31.12.2020",манзилли!$AA:$AA,"&lt;01.01.2022")</f>
        <v>1799</v>
      </c>
      <c r="W14" s="28">
        <f t="shared" si="5"/>
        <v>4</v>
      </c>
      <c r="X14" s="29">
        <f t="shared" si="4"/>
        <v>18324</v>
      </c>
      <c r="Y14" s="29">
        <f t="shared" si="4"/>
        <v>9867</v>
      </c>
      <c r="Z14" s="29">
        <f t="shared" si="4"/>
        <v>8457</v>
      </c>
      <c r="AA14" s="29">
        <f t="shared" si="4"/>
        <v>0</v>
      </c>
      <c r="AB14" s="29">
        <f t="shared" si="4"/>
        <v>0</v>
      </c>
      <c r="AC14" s="30">
        <f t="shared" si="4"/>
        <v>44</v>
      </c>
      <c r="AD14" s="28">
        <f>+COUNTIFS(манзилли!$AD:$AD,'свод (банк)'!$B14,манзилли!$AB:$AB,"&gt;31.12.2020",манзилли!$AA:$AA,"&gt;31.12.2020",манзилли!$AA:$AA,"&lt;01.01.2023")</f>
        <v>4</v>
      </c>
      <c r="AE14" s="29">
        <f>(+SUMIFS(манзилли!$L:$L,манзилли!$AD:$AD,'свод (банк)'!$B14,манзилли!$AB:$AB,"&gt;31.12.2020",манзилли!$AA:$AA,"&gt;31.12.2020",манзилли!$AA:$AA,"&lt;01.01.2023"))</f>
        <v>18324</v>
      </c>
      <c r="AF14" s="29">
        <f>(+SUMIFS(манзилли!$N:$N,манзилли!$AD:$AD,'свод (банк)'!$B14,манзилли!$AB:$AB,"&gt;31.12.2020",манзилли!$AA:$AA,"&gt;31.12.2020",манзилли!$AA:$AA,"&lt;01.01.2023"))</f>
        <v>9867</v>
      </c>
      <c r="AG14" s="29">
        <f>(+SUMIFS(манзилли!$R:$R,манзилли!$AD:$AD,'свод (банк)'!$B14,манзилли!$AB:$AB,"&gt;31.12.2020",манзилли!$AA:$AA,"&gt;31.12.2020",манзилли!$AA:$AA,"&lt;01.01.2023"))</f>
        <v>8457</v>
      </c>
      <c r="AH14" s="29">
        <f>(+SUMIFS(манзилли!$T:$T,манзилли!$AD:$AD,'свод (банк)'!$B14,манзилли!$AB:$AB,"&gt;31.12.2020",манзилли!$AA:$AA,"&gt;31.12.2020",манзилли!$AA:$AA,"&lt;01.01.2023"))</f>
        <v>0</v>
      </c>
      <c r="AI14" s="29">
        <f>(+SUMIFS(манзилли!$V:$V,манзилли!$AD:$AD,'свод (банк)'!$B14,манзилли!$AB:$AB,"&gt;31.12.2020",манзилли!$AA:$AA,"&gt;31.12.2020",манзилли!$AA:$AA,"&lt;01.01.2023"))</f>
        <v>0</v>
      </c>
      <c r="AJ14" s="30">
        <f>+SUMIFS(манзилли!$Z:$Z,манзилли!$AD:$AD,'свод (банк)'!$B14,манзилли!$AB:$AB,"&gt;31.12.2020",манзилли!$AA:$AA,"&gt;31.12.2020",манзилли!$AA:$AA,"&lt;01.01.2023")</f>
        <v>44</v>
      </c>
      <c r="AK14" s="28">
        <f>+COUNTIFS('Қўшимча ишга тушган'!$AQ:$AQ,'свод (банк)'!B14,'Қўшимча ишга тушган'!$AO:$AO,"&lt;01.10.2023")</f>
        <v>0</v>
      </c>
      <c r="AL14" s="29">
        <f>(+SUMIFS('Қўшимча ишга тушган'!$T:$T,'Қўшимча ишга тушган'!$AQ:$AQ,'свод (банк)'!$B14,'Қўшимча ишга тушган'!$AO:$AO,"&lt;01.10.2023"))</f>
        <v>0</v>
      </c>
      <c r="AM14" s="29">
        <f>(+SUMIFS('Қўшимча ишга тушган'!$V:$V,'Қўшимча ишга тушган'!$AQ:$AQ,'свод (банк)'!$B14,'Қўшимча ишга тушган'!$AO:$AO,"&lt;01.10.2023"))</f>
        <v>0</v>
      </c>
      <c r="AN14" s="29">
        <f>(+SUMIFS('Қўшимча ишга тушган'!$Z:$Z,'Қўшимча ишга тушган'!$AQ:$AQ,'свод (банк)'!$B14,'Қўшимча ишга тушган'!$AO:$AO,"&lt;01.10.2023"))</f>
        <v>0</v>
      </c>
      <c r="AO14" s="29">
        <f>(+SUMIFS('Қўшимча ишга тушган'!$AB:$AB,'Қўшимча ишга тушган'!$AQ:$AQ,'свод (банк)'!$B14,'Қўшимча ишга тушган'!$AO:$AO,"&lt;01.10.2023"))</f>
        <v>0</v>
      </c>
      <c r="AP14" s="29">
        <f>(+SUMIFS('Қўшимча ишга тушган'!$AD:$AD,'Қўшимча ишга тушган'!$AQ:$AQ,'свод (банк)'!$B14,'Қўшимча ишга тушган'!$AO:$AO,"&lt;01.10.2023"))</f>
        <v>0</v>
      </c>
      <c r="AQ14" s="30">
        <f>+SUMIFS('Қўшимча ишга тушган'!$AM:$AM,'Қўшимча ишга тушган'!$AQ:$AQ,'свод (банк)'!$B14,'Қўшимча ишга тушган'!$AO:$AO,"&lt;01.10.2023")</f>
        <v>0</v>
      </c>
      <c r="AR14" s="28">
        <f>+COUNTIFS(манзилли!$AD:$AD,'свод (банк)'!$B14,манзилли!$AA:$AA,"&lt;01.02.2021",манзилли!$AB:$AB,"")</f>
        <v>0</v>
      </c>
      <c r="AS14" s="29">
        <f>(+SUMIFS(манзилли!$K:$K,манзилли!$AD:$AD,'свод (банк)'!$B14,манзилли!$AA:$AA,"&lt;01.02.2021",манзилли!$AB:$AB,""))</f>
        <v>0</v>
      </c>
      <c r="AT14" s="29">
        <f>(+SUMIFS(манзилли!$M:$M,манзилли!$AD:$AD,'свод (банк)'!$B14,манзилли!$AA:$AA,"&lt;01.02.2021",манзилли!$AB:$AB,""))</f>
        <v>0</v>
      </c>
      <c r="AU14" s="29">
        <f>(+SUMIFS(манзилли!$Q:$Q,манзилли!$AD:$AD,'свод (банк)'!$B14,манзилли!$AA:$AA,"&lt;01.02.2021",манзилли!$AB:$AB,""))</f>
        <v>0</v>
      </c>
      <c r="AV14" s="29">
        <f>(+SUMIFS(манзилли!$S:$S,манзилли!$AD:$AD,'свод (банк)'!$B14,манзилли!$AA:$AA,"&lt;01.02.2021",манзилли!$AB:$AB,""))</f>
        <v>0</v>
      </c>
      <c r="AW14" s="29">
        <f>(+SUMIFS(манзилли!$U:$U,манзилли!$AD:$AD,'свод (банк)'!$B14,манзилли!$AA:$AA,"&lt;01.02.2021",манзилли!$AB:$AB,""))</f>
        <v>0</v>
      </c>
      <c r="AX14" s="30">
        <f>+SUMIFS(манзилли!$Y:$Y,манзилли!$AD:$AD,'свод (банк)'!$B14,манзилли!$AA:$AA,"&lt;01.02.2021",манзилли!$AB:$AB,"")</f>
        <v>0</v>
      </c>
      <c r="AY14" s="28">
        <f>+COUNTIFS(манзилли!$AD:$AD,'свод (банк)'!$B14,манзилли!$AA:$AA,"&lt;01.01.2022",манзилли!$AB:$AB,"")</f>
        <v>40</v>
      </c>
      <c r="AZ14" s="29">
        <f>(+SUMIFS(манзилли!$K:$K,манзилли!$AD:$AD,'свод (банк)'!$B14,манзилли!$AA:$AA,"&lt;01.01.2022",манзилли!$AB:$AB,""))</f>
        <v>710485.30379999999</v>
      </c>
      <c r="BA14" s="29">
        <f>(+SUMIFS(манзилли!$M:$M,манзилли!$AD:$AD,'свод (банк)'!$B14,манзилли!$AA:$AA,"&lt;01.01.2022",манзилли!$AB:$AB,""))</f>
        <v>203679.49114</v>
      </c>
      <c r="BB14" s="29">
        <f>(+SUMIFS(манзилли!$Q:$Q,манзилли!$AD:$AD,'свод (банк)'!$B14,манзилли!$AA:$AA,"&lt;01.01.2022",манзилли!$AB:$AB,""))</f>
        <v>110908.81266</v>
      </c>
      <c r="BC14" s="29">
        <f>(+SUMIFS(манзилли!$S:$S,манзилли!$AD:$AD,'свод (банк)'!$B14,манзилли!$AA:$AA,"&lt;01.01.2022",манзилли!$AB:$AB,""))</f>
        <v>41190</v>
      </c>
      <c r="BD14" s="29">
        <f>(+SUMIFS(манзилли!$U:$U,манзилли!$AD:$AD,'свод (банк)'!$B14,манзилли!$AA:$AA,"&lt;01.01.2022",манзилли!$AB:$AB,""))</f>
        <v>0</v>
      </c>
      <c r="BE14" s="30">
        <f>+SUMIFS(манзилли!$Y:$Y,манзилли!$AD:$AD,'свод (банк)'!$B14,манзилли!$AA:$AA,"&lt;01.01.2022",манзилли!$AB:$AB,"")</f>
        <v>1723</v>
      </c>
      <c r="BF14" s="28">
        <f>+COUNTIFS(манзилли!$AD:$AD,'свод (банк)'!$B14,манзилли!$AA:$AA,"&lt;01.01.2023",манзилли!$AA:$AA,"&gt;=01.01.2022")</f>
        <v>7</v>
      </c>
      <c r="BG14" s="29">
        <f>(+SUMIFS(манзилли!$K:$K,манзилли!$AD:$AD,'свод (банк)'!$B14,манзилли!$AA:$AA,"&lt;01.01.2023",манзилли!$AA:$AA,"&gt;=01.01.2022"))</f>
        <v>46550</v>
      </c>
      <c r="BH14" s="29">
        <f>(+SUMIFS(манзилли!$M:$M,манзилли!$AD:$AD,'свод (банк)'!$B14,манзилли!$AA:$AA,"&lt;01.01.2023",манзилли!$AA:$AA,"&gt;=01.01.2022"))</f>
        <v>23900</v>
      </c>
      <c r="BI14" s="29">
        <f>(+SUMIFS(манзилли!$Q:$Q,манзилли!$AD:$AD,'свод (банк)'!$B14,манзилли!$AA:$AA,"&lt;01.01.2023",манзилли!$AA:$AA,"&gt;=01.01.2022"))</f>
        <v>22650</v>
      </c>
      <c r="BJ14" s="29">
        <f>(+SUMIFS(манзилли!$S:$S,манзилли!$AD:$AD,'свод (банк)'!$B14,манзилли!$AA:$AA,"&lt;01.01.2023",манзилли!$AA:$AA,"&gt;=01.01.2022"))</f>
        <v>0</v>
      </c>
      <c r="BK14" s="29">
        <f>(+SUMIFS(манзилли!$U:$U,манзилли!$AD:$AD,'свод (банк)'!$B14,манзилли!$AA:$AA,"&lt;01.01.2023",манзилли!$AA:$AA,"&gt;=01.01.2022"))</f>
        <v>0</v>
      </c>
      <c r="BL14" s="30">
        <f>+SUMIFS(манзилли!$Y:$Y,манзилли!$AD:$AD,'свод (банк)'!$B14,манзилли!$AA:$AA,"&lt;01.01.2023",манзилли!$AA:$AA,"&gt;=01.01.2022")</f>
        <v>126</v>
      </c>
    </row>
    <row r="15" spans="1:64" s="3" customFormat="1" ht="35.25" customHeight="1">
      <c r="A15" s="26">
        <f t="shared" si="6"/>
        <v>9</v>
      </c>
      <c r="B15" s="27" t="s">
        <v>33</v>
      </c>
      <c r="C15" s="28">
        <f>+COUNTIFS(манзилли!$AD:$AD,'свод (банк)'!$B15)</f>
        <v>20</v>
      </c>
      <c r="D15" s="29">
        <f>(+SUMIFS(манзилли!$K:$K,манзилли!$AD:$AD,'свод (банк)'!$B15))</f>
        <v>60110</v>
      </c>
      <c r="E15" s="29">
        <f>(+SUMIFS(манзилли!$M:$M,манзилли!$AD:$AD,'свод (банк)'!$B15))</f>
        <v>21660</v>
      </c>
      <c r="F15" s="29">
        <f>(+SUMIFS(манзилли!$Q:$Q,манзилли!$AD:$AD,'свод (банк)'!$B15))</f>
        <v>31040</v>
      </c>
      <c r="G15" s="29">
        <f>(+SUMIFS(манзилли!$S:$S,манзилли!$AD:$AD,'свод (банк)'!$B15))</f>
        <v>780</v>
      </c>
      <c r="H15" s="29">
        <f>(+SUMIFS(манзилли!$U:$U,манзилли!$AD:$AD,'свод (банк)'!$B15))</f>
        <v>0</v>
      </c>
      <c r="I15" s="30">
        <f>+SUMIFS(манзилли!$Y:$Y,манзилли!$AD:$AD,'свод (банк)'!$B15)</f>
        <v>195</v>
      </c>
      <c r="J15" s="28">
        <f>+(COUNTIFS(манзилли!$L:$L,"&gt;0",манзилли!$AD:$AD,'свод (банк)'!$B15)+COUNTIFS('Қўшимча ишга тушган'!$T:$T,"&gt;0",'Қўшимча ишга тушган'!$AQ:$AQ,'свод (банк)'!$B15))</f>
        <v>8</v>
      </c>
      <c r="K15" s="29">
        <f>(+SUMIFS(манзилли!$L:$L,манзилли!$AD:$AD,'свод (банк)'!$B15)+SUMIFS('Қўшимча ишга тушган'!$T:$T,'Қўшимча ишга тушган'!$AQ:$AQ,'свод (банк)'!$B15))</f>
        <v>9048.4</v>
      </c>
      <c r="L15" s="29">
        <f>+(SUMIFS(манзилли!$N:$N,манзилли!$AD:$AD,'свод (банк)'!$B15)+SUMIFS('Қўшимча ишга тушган'!$V:$V,'Қўшимча ишга тушган'!$AQ:$AQ,'свод (банк)'!$B15))</f>
        <v>2400</v>
      </c>
      <c r="M15" s="29">
        <f>(+SUMIFS(манзилли!$R:$R,манзилли!$AD:$AD,'свод (банк)'!$B15)+SUMIFS('Қўшимча ишга тушган'!$Z:$Z,'Қўшимча ишга тушган'!$AQ:$AQ,'свод (банк)'!$B15))</f>
        <v>5021</v>
      </c>
      <c r="N15" s="29">
        <f>(+SUMIFS(манзилли!$T:$T,манзилли!$AD:$AD,'свод (банк)'!$B15)+SUMIFS('Қўшимча ишга тушган'!$AB:$AB,'Қўшимча ишга тушган'!$AQ:$AQ,'свод (банк)'!$B15))</f>
        <v>158</v>
      </c>
      <c r="O15" s="30">
        <f>(+SUMIFS(манзилли!$V:$V,манзилли!$AD:$AD,'свод (банк)'!$B15)+SUMIFS('Қўшимча ишга тушган'!$AD:$AD,'Қўшимча ишга тушган'!$AQ:$AQ,'свод (банк)'!$B15))</f>
        <v>0</v>
      </c>
      <c r="P15" s="56">
        <f>+COUNTIFS(манзилли!$AD:$AD,'свод (банк)'!$B15,манзилли!$AA:$AA,"&gt;31.12.2020",манзилли!$AA:$AA,"&lt;01.01.2022")</f>
        <v>16</v>
      </c>
      <c r="Q15" s="29">
        <f>(+SUMIFS(манзилли!$K:$K,манзилли!$AD:$AD,'свод (банк)'!$B15,манзилли!$AA:$AA,"&gt;31.12.2020",манзилли!$AA:$AA,"&lt;01.01.2022"))</f>
        <v>45100</v>
      </c>
      <c r="R15" s="33">
        <f>(+SUMIFS(манзилли!$M:$M,манзилли!$AD:$AD,'свод (банк)'!$B15,манзилли!$AA:$AA,"&gt;31.12.2020",манзилли!$AA:$AA,"&lt;01.01.2022"))</f>
        <v>19060</v>
      </c>
      <c r="S15" s="33">
        <f>(+SUMIFS(манзилли!$Q:$Q,манзилли!$AD:$AD,'свод (банк)'!$B15,манзилли!$AA:$AA,"&gt;31.12.2020",манзилли!$AA:$AA,"&lt;01.01.2022"))</f>
        <v>26040</v>
      </c>
      <c r="T15" s="33">
        <f>(+SUMIFS(манзилли!$S:$S,манзилли!$AD:$AD,'свод (банк)'!$B15,манзилли!$AA:$AA,"&gt;31.12.2020",манзилли!$AA:$AA,"&lt;01.01.2022"))</f>
        <v>0</v>
      </c>
      <c r="U15" s="33">
        <f>(+SUMIFS(манзилли!$U:$U,манзилли!$AD:$AD,'свод (банк)'!$B15,манзилли!$AA:$AA,"&gt;31.12.2020",манзилли!$AA:$AA,"&lt;01.01.2022"))</f>
        <v>0</v>
      </c>
      <c r="V15" s="34">
        <f>+SUMIFS(манзилли!$Y:$Y,манзилли!$AD:$AD,'свод (банк)'!$B15,манзилли!$AA:$AA,"&gt;31.12.2020",манзилли!$AA:$AA,"&lt;01.01.2022")</f>
        <v>147</v>
      </c>
      <c r="W15" s="28">
        <f t="shared" si="5"/>
        <v>0</v>
      </c>
      <c r="X15" s="29">
        <f t="shared" si="4"/>
        <v>0</v>
      </c>
      <c r="Y15" s="29">
        <f t="shared" si="4"/>
        <v>0</v>
      </c>
      <c r="Z15" s="29">
        <f t="shared" si="4"/>
        <v>0</v>
      </c>
      <c r="AA15" s="29">
        <f t="shared" si="4"/>
        <v>0</v>
      </c>
      <c r="AB15" s="29">
        <f t="shared" si="4"/>
        <v>0</v>
      </c>
      <c r="AC15" s="30">
        <f t="shared" si="4"/>
        <v>0</v>
      </c>
      <c r="AD15" s="28">
        <f>+COUNTIFS(манзилли!$AD:$AD,'свод (банк)'!$B15,манзилли!$AB:$AB,"&gt;31.12.2020",манзилли!$AA:$AA,"&gt;31.12.2020",манзилли!$AA:$AA,"&lt;01.01.2023")</f>
        <v>0</v>
      </c>
      <c r="AE15" s="29">
        <f>(+SUMIFS(манзилли!$L:$L,манзилли!$AD:$AD,'свод (банк)'!$B15,манзилли!$AB:$AB,"&gt;31.12.2020",манзилли!$AA:$AA,"&gt;31.12.2020",манзилли!$AA:$AA,"&lt;01.01.2023"))</f>
        <v>0</v>
      </c>
      <c r="AF15" s="29">
        <f>(+SUMIFS(манзилли!$N:$N,манзилли!$AD:$AD,'свод (банк)'!$B15,манзилли!$AB:$AB,"&gt;31.12.2020",манзилли!$AA:$AA,"&gt;31.12.2020",манзилли!$AA:$AA,"&lt;01.01.2023"))</f>
        <v>0</v>
      </c>
      <c r="AG15" s="29">
        <f>(+SUMIFS(манзилли!$R:$R,манзилли!$AD:$AD,'свод (банк)'!$B15,манзилли!$AB:$AB,"&gt;31.12.2020",манзилли!$AA:$AA,"&gt;31.12.2020",манзилли!$AA:$AA,"&lt;01.01.2023"))</f>
        <v>0</v>
      </c>
      <c r="AH15" s="29">
        <f>(+SUMIFS(манзилли!$T:$T,манзилли!$AD:$AD,'свод (банк)'!$B15,манзилли!$AB:$AB,"&gt;31.12.2020",манзилли!$AA:$AA,"&gt;31.12.2020",манзилли!$AA:$AA,"&lt;01.01.2023"))</f>
        <v>0</v>
      </c>
      <c r="AI15" s="29">
        <f>(+SUMIFS(манзилли!$V:$V,манзилли!$AD:$AD,'свод (банк)'!$B15,манзилли!$AB:$AB,"&gt;31.12.2020",манзилли!$AA:$AA,"&gt;31.12.2020",манзилли!$AA:$AA,"&lt;01.01.2023"))</f>
        <v>0</v>
      </c>
      <c r="AJ15" s="30">
        <f>+SUMIFS(манзилли!$Z:$Z,манзилли!$AD:$AD,'свод (банк)'!$B15,манзилли!$AB:$AB,"&gt;31.12.2020",манзилли!$AA:$AA,"&gt;31.12.2020",манзилли!$AA:$AA,"&lt;01.01.2023")</f>
        <v>0</v>
      </c>
      <c r="AK15" s="28">
        <f>+COUNTIFS('Қўшимча ишга тушган'!$AQ:$AQ,'свод (банк)'!B15,'Қўшимча ишга тушган'!$AO:$AO,"&lt;01.10.2023")</f>
        <v>0</v>
      </c>
      <c r="AL15" s="29">
        <f>(+SUMIFS('Қўшимча ишга тушган'!$T:$T,'Қўшимча ишга тушган'!$AQ:$AQ,'свод (банк)'!$B15,'Қўшимча ишга тушган'!$AO:$AO,"&lt;01.10.2023"))</f>
        <v>0</v>
      </c>
      <c r="AM15" s="29">
        <f>(+SUMIFS('Қўшимча ишга тушган'!$V:$V,'Қўшимча ишга тушган'!$AQ:$AQ,'свод (банк)'!$B15,'Қўшимча ишга тушган'!$AO:$AO,"&lt;01.10.2023"))</f>
        <v>0</v>
      </c>
      <c r="AN15" s="29">
        <f>(+SUMIFS('Қўшимча ишга тушган'!$Z:$Z,'Қўшимча ишга тушган'!$AQ:$AQ,'свод (банк)'!$B15,'Қўшимча ишга тушган'!$AO:$AO,"&lt;01.10.2023"))</f>
        <v>0</v>
      </c>
      <c r="AO15" s="29">
        <f>(+SUMIFS('Қўшимча ишга тушган'!$AB:$AB,'Қўшимча ишга тушган'!$AQ:$AQ,'свод (банк)'!$B15,'Қўшимча ишга тушган'!$AO:$AO,"&lt;01.10.2023"))</f>
        <v>0</v>
      </c>
      <c r="AP15" s="29">
        <f>(+SUMIFS('Қўшимча ишга тушган'!$AD:$AD,'Қўшимча ишга тушган'!$AQ:$AQ,'свод (банк)'!$B15,'Қўшимча ишга тушган'!$AO:$AO,"&lt;01.10.2023"))</f>
        <v>0</v>
      </c>
      <c r="AQ15" s="30">
        <f>+SUMIFS('Қўшимча ишга тушган'!$AM:$AM,'Қўшимча ишга тушган'!$AQ:$AQ,'свод (банк)'!$B15,'Қўшимча ишга тушган'!$AO:$AO,"&lt;01.10.2023")</f>
        <v>0</v>
      </c>
      <c r="AR15" s="28">
        <f>+COUNTIFS(манзилли!$AD:$AD,'свод (банк)'!$B15,манзилли!$AA:$AA,"&lt;01.02.2021",манзилли!$AB:$AB,"")</f>
        <v>0</v>
      </c>
      <c r="AS15" s="29">
        <f>(+SUMIFS(манзилли!$K:$K,манзилли!$AD:$AD,'свод (банк)'!$B15,манзилли!$AA:$AA,"&lt;01.02.2021",манзилли!$AB:$AB,""))</f>
        <v>0</v>
      </c>
      <c r="AT15" s="29">
        <f>(+SUMIFS(манзилли!$M:$M,манзилли!$AD:$AD,'свод (банк)'!$B15,манзилли!$AA:$AA,"&lt;01.02.2021",манзилли!$AB:$AB,""))</f>
        <v>0</v>
      </c>
      <c r="AU15" s="29">
        <f>(+SUMIFS(манзилли!$Q:$Q,манзилли!$AD:$AD,'свод (банк)'!$B15,манзилли!$AA:$AA,"&lt;01.02.2021",манзилли!$AB:$AB,""))</f>
        <v>0</v>
      </c>
      <c r="AV15" s="29">
        <f>(+SUMIFS(манзилли!$S:$S,манзилли!$AD:$AD,'свод (банк)'!$B15,манзилли!$AA:$AA,"&lt;01.02.2021",манзилли!$AB:$AB,""))</f>
        <v>0</v>
      </c>
      <c r="AW15" s="29">
        <f>(+SUMIFS(манзилли!$U:$U,манзилли!$AD:$AD,'свод (банк)'!$B15,манзилли!$AA:$AA,"&lt;01.02.2021",манзилли!$AB:$AB,""))</f>
        <v>0</v>
      </c>
      <c r="AX15" s="30">
        <f>+SUMIFS(манзилли!$Y:$Y,манзилли!$AD:$AD,'свод (банк)'!$B15,манзилли!$AA:$AA,"&lt;01.02.2021",манзилли!$AB:$AB,"")</f>
        <v>0</v>
      </c>
      <c r="AY15" s="28">
        <f>+COUNTIFS(манзилли!$AD:$AD,'свод (банк)'!$B15,манзилли!$AA:$AA,"&lt;01.01.2022",манзилли!$AB:$AB,"")</f>
        <v>16</v>
      </c>
      <c r="AZ15" s="29">
        <f>(+SUMIFS(манзилли!$K:$K,манзилли!$AD:$AD,'свод (банк)'!$B15,манзилли!$AA:$AA,"&lt;01.01.2022",манзилли!$AB:$AB,""))</f>
        <v>45100</v>
      </c>
      <c r="BA15" s="29">
        <f>(+SUMIFS(манзилли!$M:$M,манзилли!$AD:$AD,'свод (банк)'!$B15,манзилли!$AA:$AA,"&lt;01.01.2022",манзилли!$AB:$AB,""))</f>
        <v>19060</v>
      </c>
      <c r="BB15" s="29">
        <f>(+SUMIFS(манзилли!$Q:$Q,манзилли!$AD:$AD,'свод (банк)'!$B15,манзилли!$AA:$AA,"&lt;01.01.2022",манзилли!$AB:$AB,""))</f>
        <v>26040</v>
      </c>
      <c r="BC15" s="29">
        <f>(+SUMIFS(манзилли!$S:$S,манзилли!$AD:$AD,'свод (банк)'!$B15,манзилли!$AA:$AA,"&lt;01.01.2022",манзилли!$AB:$AB,""))</f>
        <v>0</v>
      </c>
      <c r="BD15" s="29">
        <f>(+SUMIFS(манзилли!$U:$U,манзилли!$AD:$AD,'свод (банк)'!$B15,манзилли!$AA:$AA,"&lt;01.01.2022",манзилли!$AB:$AB,""))</f>
        <v>0</v>
      </c>
      <c r="BE15" s="30">
        <f>+SUMIFS(манзилли!$Y:$Y,манзилли!$AD:$AD,'свод (банк)'!$B15,манзилли!$AA:$AA,"&lt;01.01.2022",манзилли!$AB:$AB,"")</f>
        <v>147</v>
      </c>
      <c r="BF15" s="32">
        <f>+COUNTIFS(манзилли!$AD:$AD,'свод (банк)'!$B15,манзилли!$AA:$AA,"&lt;01.01.2023",манзилли!$AA:$AA,"&gt;=01.01.2022")</f>
        <v>1</v>
      </c>
      <c r="BG15" s="29">
        <f>(+SUMIFS(манзилли!$K:$K,манзилли!$AD:$AD,'свод (банк)'!$B15,манзилли!$AA:$AA,"&lt;01.01.2023",манзилли!$AA:$AA,"&gt;=01.01.2022"))</f>
        <v>7410</v>
      </c>
      <c r="BH15" s="33">
        <f>(+SUMIFS(манзилли!$M:$M,манзилли!$AD:$AD,'свод (банк)'!$B15,манзилли!$AA:$AA,"&lt;01.01.2023",манзилли!$AA:$AA,"&gt;=01.01.2022"))</f>
        <v>0</v>
      </c>
      <c r="BI15" s="33">
        <f>(+SUMIFS(манзилли!$Q:$Q,манзилли!$AD:$AD,'свод (банк)'!$B15,манзилли!$AA:$AA,"&lt;01.01.2023",манзилли!$AA:$AA,"&gt;=01.01.2022"))</f>
        <v>0</v>
      </c>
      <c r="BJ15" s="33">
        <f>(+SUMIFS(манзилли!$S:$S,манзилли!$AD:$AD,'свод (банк)'!$B15,манзилли!$AA:$AA,"&lt;01.01.2023",манзилли!$AA:$AA,"&gt;=01.01.2022"))</f>
        <v>780</v>
      </c>
      <c r="BK15" s="33">
        <f>(+SUMIFS(манзилли!$U:$U,манзилли!$AD:$AD,'свод (банк)'!$B15,манзилли!$AA:$AA,"&lt;01.01.2023",манзилли!$AA:$AA,"&gt;=01.01.2022"))</f>
        <v>0</v>
      </c>
      <c r="BL15" s="34">
        <f>+SUMIFS(манзилли!$Y:$Y,манзилли!$AD:$AD,'свод (банк)'!$B15,манзилли!$AA:$AA,"&lt;01.01.2023",манзилли!$AA:$AA,"&gt;=01.01.2022")</f>
        <v>20</v>
      </c>
    </row>
    <row r="16" spans="1:64" s="3" customFormat="1" ht="35.25" customHeight="1">
      <c r="A16" s="26">
        <f t="shared" si="6"/>
        <v>10</v>
      </c>
      <c r="B16" s="27" t="s">
        <v>2</v>
      </c>
      <c r="C16" s="28">
        <f>+COUNTIFS(манзилли!$AD:$AD,'свод (банк)'!$B16)</f>
        <v>13</v>
      </c>
      <c r="D16" s="29">
        <f>(+SUMIFS(манзилли!$K:$K,манзилли!$AD:$AD,'свод (банк)'!$B16))</f>
        <v>73882</v>
      </c>
      <c r="E16" s="29">
        <f>(+SUMIFS(манзилли!$M:$M,манзилли!$AD:$AD,'свод (банк)'!$B16))</f>
        <v>27752</v>
      </c>
      <c r="F16" s="29">
        <f>(+SUMIFS(манзилли!$Q:$Q,манзилли!$AD:$AD,'свод (банк)'!$B16))</f>
        <v>44610</v>
      </c>
      <c r="G16" s="29">
        <f>(+SUMIFS(манзилли!$S:$S,манзилли!$AD:$AD,'свод (банк)'!$B16))</f>
        <v>0</v>
      </c>
      <c r="H16" s="29">
        <f>(+SUMIFS(манзилли!$U:$U,манзилли!$AD:$AD,'свод (банк)'!$B16))</f>
        <v>0</v>
      </c>
      <c r="I16" s="30">
        <f>+SUMIFS(манзилли!$Y:$Y,манзилли!$AD:$AD,'свод (банк)'!$B16)</f>
        <v>368</v>
      </c>
      <c r="J16" s="28">
        <f>+(COUNTIFS(манзилли!$L:$L,"&gt;0",манзилли!$AD:$AD,'свод (банк)'!$B16)+COUNTIFS('Қўшимча ишга тушган'!$T:$T,"&gt;0",'Қўшимча ишга тушган'!$AQ:$AQ,'свод (банк)'!$B16))</f>
        <v>3</v>
      </c>
      <c r="K16" s="29">
        <f>(+SUMIFS(манзилли!$L:$L,манзилли!$AD:$AD,'свод (банк)'!$B16)+SUMIFS('Қўшимча ишга тушган'!$T:$T,'Қўшимча ишга тушган'!$AQ:$AQ,'свод (банк)'!$B16))</f>
        <v>1141</v>
      </c>
      <c r="L16" s="29">
        <f>+(SUMIFS(манзилли!$N:$N,манзилли!$AD:$AD,'свод (банк)'!$B16)+SUMIFS('Қўшимча ишга тушган'!$V:$V,'Қўшимча ишга тушган'!$AQ:$AQ,'свод (банк)'!$B16))</f>
        <v>307</v>
      </c>
      <c r="M16" s="29">
        <f>(+SUMIFS(манзилли!$R:$R,манзилли!$AD:$AD,'свод (банк)'!$B16)+SUMIFS('Қўшимча ишга тушган'!$Z:$Z,'Қўшимча ишга тушган'!$AQ:$AQ,'свод (банк)'!$B16))</f>
        <v>834</v>
      </c>
      <c r="N16" s="29">
        <f>(+SUMIFS(манзилли!$T:$T,манзилли!$AD:$AD,'свод (банк)'!$B16)+SUMIFS('Қўшимча ишга тушган'!$AB:$AB,'Қўшимча ишга тушган'!$AQ:$AQ,'свод (банк)'!$B16))</f>
        <v>0</v>
      </c>
      <c r="O16" s="30">
        <f>(+SUMIFS(манзилли!$V:$V,манзилли!$AD:$AD,'свод (банк)'!$B16)+SUMIFS('Қўшимча ишга тушган'!$AD:$AD,'Қўшимча ишга тушган'!$AQ:$AQ,'свод (банк)'!$B16))</f>
        <v>0</v>
      </c>
      <c r="P16" s="31">
        <f>+COUNTIFS(манзилли!$AD:$AD,'свод (банк)'!$B16,манзилли!$AA:$AA,"&gt;31.12.2020",манзилли!$AA:$AA,"&lt;01.01.2022")</f>
        <v>10</v>
      </c>
      <c r="Q16" s="29">
        <f>(+SUMIFS(манзилли!$K:$K,манзилли!$AD:$AD,'свод (банк)'!$B16,манзилли!$AA:$AA,"&gt;31.12.2020",манзилли!$AA:$AA,"&lt;01.01.2022"))</f>
        <v>20712</v>
      </c>
      <c r="R16" s="29">
        <f>(+SUMIFS(манзилли!$M:$M,манзилли!$AD:$AD,'свод (банк)'!$B16,манзилли!$AA:$AA,"&gt;31.12.2020",манзилли!$AA:$AA,"&lt;01.01.2022"))</f>
        <v>10452</v>
      </c>
      <c r="S16" s="29">
        <f>(+SUMIFS(манзилли!$Q:$Q,манзилли!$AD:$AD,'свод (банк)'!$B16,манзилли!$AA:$AA,"&gt;31.12.2020",манзилли!$AA:$AA,"&lt;01.01.2022"))</f>
        <v>9110</v>
      </c>
      <c r="T16" s="29">
        <f>(+SUMIFS(манзилли!$S:$S,манзилли!$AD:$AD,'свод (банк)'!$B16,манзилли!$AA:$AA,"&gt;31.12.2020",манзилли!$AA:$AA,"&lt;01.01.2022"))</f>
        <v>0</v>
      </c>
      <c r="U16" s="29">
        <f>(+SUMIFS(манзилли!$U:$U,манзилли!$AD:$AD,'свод (банк)'!$B16,манзилли!$AA:$AA,"&gt;31.12.2020",манзилли!$AA:$AA,"&lt;01.01.2022"))</f>
        <v>0</v>
      </c>
      <c r="V16" s="30">
        <f>+SUMIFS(манзилли!$Y:$Y,манзилли!$AD:$AD,'свод (банк)'!$B16,манзилли!$AA:$AA,"&gt;31.12.2020",манзилли!$AA:$AA,"&lt;01.01.2022")</f>
        <v>148</v>
      </c>
      <c r="W16" s="28">
        <f t="shared" si="5"/>
        <v>0</v>
      </c>
      <c r="X16" s="29">
        <f t="shared" si="4"/>
        <v>0</v>
      </c>
      <c r="Y16" s="29">
        <f t="shared" si="4"/>
        <v>0</v>
      </c>
      <c r="Z16" s="29">
        <f t="shared" si="4"/>
        <v>0</v>
      </c>
      <c r="AA16" s="29">
        <f t="shared" si="4"/>
        <v>0</v>
      </c>
      <c r="AB16" s="29">
        <f t="shared" si="4"/>
        <v>0</v>
      </c>
      <c r="AC16" s="30">
        <f t="shared" si="4"/>
        <v>0</v>
      </c>
      <c r="AD16" s="28">
        <f>+COUNTIFS(манзилли!$AD:$AD,'свод (банк)'!$B16,манзилли!$AB:$AB,"&gt;31.12.2020",манзилли!$AA:$AA,"&gt;31.12.2020",манзилли!$AA:$AA,"&lt;01.01.2023")</f>
        <v>0</v>
      </c>
      <c r="AE16" s="29">
        <f>(+SUMIFS(манзилли!$L:$L,манзилли!$AD:$AD,'свод (банк)'!$B16,манзилли!$AB:$AB,"&gt;31.12.2020",манзилли!$AA:$AA,"&gt;31.12.2020",манзилли!$AA:$AA,"&lt;01.01.2023"))</f>
        <v>0</v>
      </c>
      <c r="AF16" s="29">
        <f>(+SUMIFS(манзилли!$N:$N,манзилли!$AD:$AD,'свод (банк)'!$B16,манзилли!$AB:$AB,"&gt;31.12.2020",манзилли!$AA:$AA,"&gt;31.12.2020",манзилли!$AA:$AA,"&lt;01.01.2023"))</f>
        <v>0</v>
      </c>
      <c r="AG16" s="29">
        <f>(+SUMIFS(манзилли!$R:$R,манзилли!$AD:$AD,'свод (банк)'!$B16,манзилли!$AB:$AB,"&gt;31.12.2020",манзилли!$AA:$AA,"&gt;31.12.2020",манзилли!$AA:$AA,"&lt;01.01.2023"))</f>
        <v>0</v>
      </c>
      <c r="AH16" s="29">
        <f>(+SUMIFS(манзилли!$T:$T,манзилли!$AD:$AD,'свод (банк)'!$B16,манзилли!$AB:$AB,"&gt;31.12.2020",манзилли!$AA:$AA,"&gt;31.12.2020",манзилли!$AA:$AA,"&lt;01.01.2023"))</f>
        <v>0</v>
      </c>
      <c r="AI16" s="29">
        <f>(+SUMIFS(манзилли!$V:$V,манзилли!$AD:$AD,'свод (банк)'!$B16,манзилли!$AB:$AB,"&gt;31.12.2020",манзилли!$AA:$AA,"&gt;31.12.2020",манзилли!$AA:$AA,"&lt;01.01.2023"))</f>
        <v>0</v>
      </c>
      <c r="AJ16" s="30">
        <f>+SUMIFS(манзилли!$Z:$Z,манзилли!$AD:$AD,'свод (банк)'!$B16,манзилли!$AB:$AB,"&gt;31.12.2020",манзилли!$AA:$AA,"&gt;31.12.2020",манзилли!$AA:$AA,"&lt;01.01.2023")</f>
        <v>0</v>
      </c>
      <c r="AK16" s="28">
        <f>+COUNTIFS('Қўшимча ишга тушган'!$AQ:$AQ,'свод (банк)'!B16,'Қўшимча ишга тушган'!$AO:$AO,"&lt;01.10.2023")</f>
        <v>0</v>
      </c>
      <c r="AL16" s="29">
        <f>(+SUMIFS('Қўшимча ишга тушган'!$T:$T,'Қўшимча ишга тушган'!$AQ:$AQ,'свод (банк)'!$B16,'Қўшимча ишга тушган'!$AO:$AO,"&lt;01.10.2023"))</f>
        <v>0</v>
      </c>
      <c r="AM16" s="29">
        <f>(+SUMIFS('Қўшимча ишга тушган'!$V:$V,'Қўшимча ишга тушган'!$AQ:$AQ,'свод (банк)'!$B16,'Қўшимча ишга тушган'!$AO:$AO,"&lt;01.10.2023"))</f>
        <v>0</v>
      </c>
      <c r="AN16" s="29">
        <f>(+SUMIFS('Қўшимча ишга тушган'!$Z:$Z,'Қўшимча ишга тушган'!$AQ:$AQ,'свод (банк)'!$B16,'Қўшимча ишга тушган'!$AO:$AO,"&lt;01.10.2023"))</f>
        <v>0</v>
      </c>
      <c r="AO16" s="29">
        <f>(+SUMIFS('Қўшимча ишга тушган'!$AB:$AB,'Қўшимча ишга тушган'!$AQ:$AQ,'свод (банк)'!$B16,'Қўшимча ишга тушган'!$AO:$AO,"&lt;01.10.2023"))</f>
        <v>0</v>
      </c>
      <c r="AP16" s="29">
        <f>(+SUMIFS('Қўшимча ишга тушган'!$AD:$AD,'Қўшимча ишга тушган'!$AQ:$AQ,'свод (банк)'!$B16,'Қўшимча ишга тушган'!$AO:$AO,"&lt;01.10.2023"))</f>
        <v>0</v>
      </c>
      <c r="AQ16" s="30">
        <f>+SUMIFS('Қўшимча ишга тушган'!$AM:$AM,'Қўшимча ишга тушган'!$AQ:$AQ,'свод (банк)'!$B16,'Қўшимча ишга тушган'!$AO:$AO,"&lt;01.10.2023")</f>
        <v>0</v>
      </c>
      <c r="AR16" s="28">
        <f>+COUNTIFS(манзилли!$AD:$AD,'свод (банк)'!$B16,манзилли!$AA:$AA,"&lt;01.02.2021",манзилли!$AB:$AB,"")</f>
        <v>0</v>
      </c>
      <c r="AS16" s="29">
        <f>(+SUMIFS(манзилли!$K:$K,манзилли!$AD:$AD,'свод (банк)'!$B16,манзилли!$AA:$AA,"&lt;01.02.2021",манзилли!$AB:$AB,""))</f>
        <v>0</v>
      </c>
      <c r="AT16" s="29">
        <f>(+SUMIFS(манзилли!$M:$M,манзилли!$AD:$AD,'свод (банк)'!$B16,манзилли!$AA:$AA,"&lt;01.02.2021",манзилли!$AB:$AB,""))</f>
        <v>0</v>
      </c>
      <c r="AU16" s="29">
        <f>(+SUMIFS(манзилли!$Q:$Q,манзилли!$AD:$AD,'свод (банк)'!$B16,манзилли!$AA:$AA,"&lt;01.02.2021",манзилли!$AB:$AB,""))</f>
        <v>0</v>
      </c>
      <c r="AV16" s="29">
        <f>(+SUMIFS(манзилли!$S:$S,манзилли!$AD:$AD,'свод (банк)'!$B16,манзилли!$AA:$AA,"&lt;01.02.2021",манзилли!$AB:$AB,""))</f>
        <v>0</v>
      </c>
      <c r="AW16" s="29">
        <f>(+SUMIFS(манзилли!$U:$U,манзилли!$AD:$AD,'свод (банк)'!$B16,манзилли!$AA:$AA,"&lt;01.02.2021",манзилли!$AB:$AB,""))</f>
        <v>0</v>
      </c>
      <c r="AX16" s="30">
        <f>+SUMIFS(манзилли!$Y:$Y,манзилли!$AD:$AD,'свод (банк)'!$B16,манзилли!$AA:$AA,"&lt;01.02.2021",манзилли!$AB:$AB,"")</f>
        <v>0</v>
      </c>
      <c r="AY16" s="28">
        <f>+COUNTIFS(манзилли!$AD:$AD,'свод (банк)'!$B16,манзилли!$AA:$AA,"&lt;01.01.2022",манзилли!$AB:$AB,"")</f>
        <v>10</v>
      </c>
      <c r="AZ16" s="29">
        <f>(+SUMIFS(манзилли!$K:$K,манзилли!$AD:$AD,'свод (банк)'!$B16,манзилли!$AA:$AA,"&lt;01.01.2022",манзилли!$AB:$AB,""))</f>
        <v>20712</v>
      </c>
      <c r="BA16" s="29">
        <f>(+SUMIFS(манзилли!$M:$M,манзилли!$AD:$AD,'свод (банк)'!$B16,манзилли!$AA:$AA,"&lt;01.01.2022",манзилли!$AB:$AB,""))</f>
        <v>10452</v>
      </c>
      <c r="BB16" s="29">
        <f>(+SUMIFS(манзилли!$Q:$Q,манзилли!$AD:$AD,'свод (банк)'!$B16,манзилли!$AA:$AA,"&lt;01.01.2022",манзилли!$AB:$AB,""))</f>
        <v>9110</v>
      </c>
      <c r="BC16" s="29">
        <f>(+SUMIFS(манзилли!$S:$S,манзилли!$AD:$AD,'свод (банк)'!$B16,манзилли!$AA:$AA,"&lt;01.01.2022",манзилли!$AB:$AB,""))</f>
        <v>0</v>
      </c>
      <c r="BD16" s="29">
        <f>(+SUMIFS(манзилли!$U:$U,манзилли!$AD:$AD,'свод (банк)'!$B16,манзилли!$AA:$AA,"&lt;01.01.2022",манзилли!$AB:$AB,""))</f>
        <v>0</v>
      </c>
      <c r="BE16" s="30">
        <f>+SUMIFS(манзилли!$Y:$Y,манзилли!$AD:$AD,'свод (банк)'!$B16,манзилли!$AA:$AA,"&lt;01.01.2022",манзилли!$AB:$AB,"")</f>
        <v>148</v>
      </c>
      <c r="BF16" s="28">
        <f>+COUNTIFS(манзилли!$AD:$AD,'свод (банк)'!$B16,манзилли!$AA:$AA,"&lt;01.01.2023",манзилли!$AA:$AA,"&gt;=01.01.2022")</f>
        <v>1</v>
      </c>
      <c r="BG16" s="29">
        <f>(+SUMIFS(манзилли!$K:$K,манзилли!$AD:$AD,'свод (банк)'!$B16,манзилли!$AA:$AA,"&lt;01.01.2023",манзилли!$AA:$AA,"&gt;=01.01.2022"))</f>
        <v>52500</v>
      </c>
      <c r="BH16" s="29">
        <f>(+SUMIFS(манзилли!$M:$M,манзилли!$AD:$AD,'свод (банк)'!$B16,манзилли!$AA:$AA,"&lt;01.01.2023",манзилли!$AA:$AA,"&gt;=01.01.2022"))</f>
        <v>17100</v>
      </c>
      <c r="BI16" s="29">
        <f>(+SUMIFS(манзилли!$Q:$Q,манзилли!$AD:$AD,'свод (банк)'!$B16,манзилли!$AA:$AA,"&lt;01.01.2023",манзилли!$AA:$AA,"&gt;=01.01.2022"))</f>
        <v>35400</v>
      </c>
      <c r="BJ16" s="29">
        <f>(+SUMIFS(манзилли!$S:$S,манзилли!$AD:$AD,'свод (банк)'!$B16,манзилли!$AA:$AA,"&lt;01.01.2023",манзилли!$AA:$AA,"&gt;=01.01.2022"))</f>
        <v>0</v>
      </c>
      <c r="BK16" s="29">
        <f>(+SUMIFS(манзилли!$U:$U,манзилли!$AD:$AD,'свод (банк)'!$B16,манзилли!$AA:$AA,"&lt;01.01.2023",манзилли!$AA:$AA,"&gt;=01.01.2022"))</f>
        <v>0</v>
      </c>
      <c r="BL16" s="30">
        <f>+SUMIFS(манзилли!$Y:$Y,манзилли!$AD:$AD,'свод (банк)'!$B16,манзилли!$AA:$AA,"&lt;01.01.2023",манзилли!$AA:$AA,"&gt;=01.01.2022")</f>
        <v>215</v>
      </c>
    </row>
    <row r="17" spans="1:64" s="3" customFormat="1" ht="35.25" customHeight="1">
      <c r="A17" s="26">
        <f t="shared" si="6"/>
        <v>11</v>
      </c>
      <c r="B17" s="27" t="s">
        <v>1</v>
      </c>
      <c r="C17" s="28">
        <f>+COUNTIFS(манзилли!$AD:$AD,'свод (банк)'!$B17)</f>
        <v>90</v>
      </c>
      <c r="D17" s="29">
        <f>(+SUMIFS(манзилли!$K:$K,манзилли!$AD:$AD,'свод (банк)'!$B17))</f>
        <v>299138.5</v>
      </c>
      <c r="E17" s="29">
        <f>(+SUMIFS(манзилли!$M:$M,манзилли!$AD:$AD,'свод (банк)'!$B17))</f>
        <v>105722</v>
      </c>
      <c r="F17" s="29">
        <f>(+SUMIFS(манзилли!$Q:$Q,манзилли!$AD:$AD,'свод (банк)'!$B17))</f>
        <v>106767</v>
      </c>
      <c r="G17" s="29">
        <f>(+SUMIFS(манзилли!$S:$S,манзилли!$AD:$AD,'свод (банк)'!$B17))</f>
        <v>7505</v>
      </c>
      <c r="H17" s="29">
        <f>(+SUMIFS(манзилли!$U:$U,манзилли!$AD:$AD,'свод (банк)'!$B17))</f>
        <v>0</v>
      </c>
      <c r="I17" s="30">
        <f>+SUMIFS(манзилли!$Y:$Y,манзилли!$AD:$AD,'свод (банк)'!$B17)</f>
        <v>1009</v>
      </c>
      <c r="J17" s="28">
        <f>+(COUNTIFS(манзилли!$L:$L,"&gt;0",манзилли!$AD:$AD,'свод (банк)'!$B17)+COUNTIFS('Қўшимча ишга тушган'!$T:$T,"&gt;0",'Қўшимча ишга тушган'!$AQ:$AQ,'свод (банк)'!$B17))</f>
        <v>67</v>
      </c>
      <c r="K17" s="29">
        <f>(+SUMIFS(манзилли!$L:$L,манзилли!$AD:$AD,'свод (банк)'!$B17)+SUMIFS('Қўшимча ишга тушган'!$T:$T,'Қўшимча ишга тушган'!$AQ:$AQ,'свод (банк)'!$B17))</f>
        <v>55662</v>
      </c>
      <c r="L17" s="29">
        <f>+(SUMIFS(манзилли!$N:$N,манзилли!$AD:$AD,'свод (банк)'!$B17)+SUMIFS('Қўшимча ишга тушган'!$V:$V,'Қўшимча ишга тушган'!$AQ:$AQ,'свод (банк)'!$B17))</f>
        <v>2113</v>
      </c>
      <c r="M17" s="29">
        <f>(+SUMIFS(манзилли!$R:$R,манзилли!$AD:$AD,'свод (банк)'!$B17)+SUMIFS('Қўшимча ишга тушган'!$Z:$Z,'Қўшимча ишга тушган'!$AQ:$AQ,'свод (банк)'!$B17))</f>
        <v>25501</v>
      </c>
      <c r="N17" s="29">
        <f>(+SUMIFS(манзилли!$T:$T,манзилли!$AD:$AD,'свод (банк)'!$B17)+SUMIFS('Қўшимча ишга тушган'!$AB:$AB,'Қўшимча ишга тушган'!$AQ:$AQ,'свод (банк)'!$B17))</f>
        <v>2750</v>
      </c>
      <c r="O17" s="30">
        <f>(+SUMIFS(манзилли!$V:$V,манзилли!$AD:$AD,'свод (банк)'!$B17)+SUMIFS('Қўшимча ишга тушган'!$AD:$AD,'Қўшимча ишга тушган'!$AQ:$AQ,'свод (банк)'!$B17))</f>
        <v>0</v>
      </c>
      <c r="P17" s="31">
        <f>+COUNTIFS(манзилли!$AD:$AD,'свод (банк)'!$B17,манзилли!$AA:$AA,"&gt;31.12.2020",манзилли!$AA:$AA,"&lt;01.01.2022")</f>
        <v>82</v>
      </c>
      <c r="Q17" s="29">
        <f>(+SUMIFS(манзилли!$K:$K,манзилли!$AD:$AD,'свод (банк)'!$B17,манзилли!$AA:$AA,"&gt;31.12.2020",манзилли!$AA:$AA,"&lt;01.01.2022"))</f>
        <v>236193.5</v>
      </c>
      <c r="R17" s="29">
        <f>(+SUMIFS(манзилли!$M:$M,манзилли!$AD:$AD,'свод (банк)'!$B17,манзилли!$AA:$AA,"&gt;31.12.2020",манзилли!$AA:$AA,"&lt;01.01.2022"))</f>
        <v>73859</v>
      </c>
      <c r="S17" s="29">
        <f>(+SUMIFS(манзилли!$Q:$Q,манзилли!$AD:$AD,'свод (банк)'!$B17,манзилли!$AA:$AA,"&gt;31.12.2020",манзилли!$AA:$AA,"&lt;01.01.2022"))</f>
        <v>76200</v>
      </c>
      <c r="T17" s="29">
        <f>(+SUMIFS(манзилли!$S:$S,манзилли!$AD:$AD,'свод (банк)'!$B17,манзилли!$AA:$AA,"&gt;31.12.2020",манзилли!$AA:$AA,"&lt;01.01.2022"))</f>
        <v>7455</v>
      </c>
      <c r="U17" s="29">
        <f>(+SUMIFS(манзилли!$U:$U,манзилли!$AD:$AD,'свод (банк)'!$B17,манзилли!$AA:$AA,"&gt;31.12.2020",манзилли!$AA:$AA,"&lt;01.01.2022"))</f>
        <v>0</v>
      </c>
      <c r="V17" s="30">
        <f>+SUMIFS(манзилли!$Y:$Y,манзилли!$AD:$AD,'свод (банк)'!$B17,манзилли!$AA:$AA,"&gt;31.12.2020",манзилли!$AA:$AA,"&lt;01.01.2022")</f>
        <v>911</v>
      </c>
      <c r="W17" s="28">
        <f t="shared" si="5"/>
        <v>1</v>
      </c>
      <c r="X17" s="29">
        <f t="shared" si="4"/>
        <v>1100</v>
      </c>
      <c r="Y17" s="29">
        <f t="shared" si="4"/>
        <v>100</v>
      </c>
      <c r="Z17" s="29">
        <f t="shared" si="4"/>
        <v>1000</v>
      </c>
      <c r="AA17" s="29">
        <f t="shared" si="4"/>
        <v>0</v>
      </c>
      <c r="AB17" s="29">
        <f t="shared" si="4"/>
        <v>0</v>
      </c>
      <c r="AC17" s="30">
        <f t="shared" si="4"/>
        <v>5</v>
      </c>
      <c r="AD17" s="28">
        <f>+COUNTIFS(манзилли!$AD:$AD,'свод (банк)'!$B17,манзилли!$AB:$AB,"&gt;31.12.2020",манзилли!$AA:$AA,"&gt;31.12.2020",манзилли!$AA:$AA,"&lt;01.01.2023")</f>
        <v>1</v>
      </c>
      <c r="AE17" s="29">
        <f>(+SUMIFS(манзилли!$L:$L,манзилли!$AD:$AD,'свод (банк)'!$B17,манзилли!$AB:$AB,"&gt;31.12.2020",манзилли!$AA:$AA,"&gt;31.12.2020",манзилли!$AA:$AA,"&lt;01.01.2023"))</f>
        <v>1100</v>
      </c>
      <c r="AF17" s="29">
        <f>(+SUMIFS(манзилли!$N:$N,манзилли!$AD:$AD,'свод (банк)'!$B17,манзилли!$AB:$AB,"&gt;31.12.2020",манзилли!$AA:$AA,"&gt;31.12.2020",манзилли!$AA:$AA,"&lt;01.01.2023"))</f>
        <v>100</v>
      </c>
      <c r="AG17" s="29">
        <f>(+SUMIFS(манзилли!$R:$R,манзилли!$AD:$AD,'свод (банк)'!$B17,манзилли!$AB:$AB,"&gt;31.12.2020",манзилли!$AA:$AA,"&gt;31.12.2020",манзилли!$AA:$AA,"&lt;01.01.2023"))</f>
        <v>1000</v>
      </c>
      <c r="AH17" s="29">
        <f>(+SUMIFS(манзилли!$T:$T,манзилли!$AD:$AD,'свод (банк)'!$B17,манзилли!$AB:$AB,"&gt;31.12.2020",манзилли!$AA:$AA,"&gt;31.12.2020",манзилли!$AA:$AA,"&lt;01.01.2023"))</f>
        <v>0</v>
      </c>
      <c r="AI17" s="29">
        <f>(+SUMIFS(манзилли!$V:$V,манзилли!$AD:$AD,'свод (банк)'!$B17,манзилли!$AB:$AB,"&gt;31.12.2020",манзилли!$AA:$AA,"&gt;31.12.2020",манзилли!$AA:$AA,"&lt;01.01.2023"))</f>
        <v>0</v>
      </c>
      <c r="AJ17" s="30">
        <f>+SUMIFS(манзилли!$Z:$Z,манзилли!$AD:$AD,'свод (банк)'!$B17,манзилли!$AB:$AB,"&gt;31.12.2020",манзилли!$AA:$AA,"&gt;31.12.2020",манзилли!$AA:$AA,"&lt;01.01.2023")</f>
        <v>5</v>
      </c>
      <c r="AK17" s="28">
        <f>+COUNTIFS('Қўшимча ишга тушган'!$AQ:$AQ,'свод (банк)'!B17,'Қўшимча ишга тушган'!$AO:$AO,"&lt;01.10.2023")</f>
        <v>0</v>
      </c>
      <c r="AL17" s="29">
        <f>(+SUMIFS('Қўшимча ишга тушган'!$T:$T,'Қўшимча ишга тушган'!$AQ:$AQ,'свод (банк)'!$B17,'Қўшимча ишга тушган'!$AO:$AO,"&lt;01.10.2023"))</f>
        <v>0</v>
      </c>
      <c r="AM17" s="29">
        <f>(+SUMIFS('Қўшимча ишга тушган'!$V:$V,'Қўшимча ишга тушган'!$AQ:$AQ,'свод (банк)'!$B17,'Қўшимча ишга тушган'!$AO:$AO,"&lt;01.10.2023"))</f>
        <v>0</v>
      </c>
      <c r="AN17" s="29">
        <f>(+SUMIFS('Қўшимча ишга тушган'!$Z:$Z,'Қўшимча ишга тушган'!$AQ:$AQ,'свод (банк)'!$B17,'Қўшимча ишга тушган'!$AO:$AO,"&lt;01.10.2023"))</f>
        <v>0</v>
      </c>
      <c r="AO17" s="29">
        <f>(+SUMIFS('Қўшимча ишга тушган'!$AB:$AB,'Қўшимча ишга тушган'!$AQ:$AQ,'свод (банк)'!$B17,'Қўшимча ишга тушган'!$AO:$AO,"&lt;01.10.2023"))</f>
        <v>0</v>
      </c>
      <c r="AP17" s="29">
        <f>(+SUMIFS('Қўшимча ишга тушган'!$AD:$AD,'Қўшимча ишга тушган'!$AQ:$AQ,'свод (банк)'!$B17,'Қўшимча ишга тушган'!$AO:$AO,"&lt;01.10.2023"))</f>
        <v>0</v>
      </c>
      <c r="AQ17" s="30">
        <f>+SUMIFS('Қўшимча ишга тушган'!$AM:$AM,'Қўшимча ишга тушган'!$AQ:$AQ,'свод (банк)'!$B17,'Қўшимча ишга тушган'!$AO:$AO,"&lt;01.10.2023")</f>
        <v>0</v>
      </c>
      <c r="AR17" s="28">
        <f>+COUNTIFS(манзилли!$AD:$AD,'свод (банк)'!$B17,манзилли!$AA:$AA,"&lt;01.02.2021",манзилли!$AB:$AB,"")</f>
        <v>0</v>
      </c>
      <c r="AS17" s="29">
        <f>(+SUMIFS(манзилли!$K:$K,манзилли!$AD:$AD,'свод (банк)'!$B17,манзилли!$AA:$AA,"&lt;01.02.2021",манзилли!$AB:$AB,""))</f>
        <v>0</v>
      </c>
      <c r="AT17" s="29">
        <f>(+SUMIFS(манзилли!$M:$M,манзилли!$AD:$AD,'свод (банк)'!$B17,манзилли!$AA:$AA,"&lt;01.02.2021",манзилли!$AB:$AB,""))</f>
        <v>0</v>
      </c>
      <c r="AU17" s="29">
        <f>(+SUMIFS(манзилли!$Q:$Q,манзилли!$AD:$AD,'свод (банк)'!$B17,манзилли!$AA:$AA,"&lt;01.02.2021",манзилли!$AB:$AB,""))</f>
        <v>0</v>
      </c>
      <c r="AV17" s="29">
        <f>(+SUMIFS(манзилли!$S:$S,манзилли!$AD:$AD,'свод (банк)'!$B17,манзилли!$AA:$AA,"&lt;01.02.2021",манзилли!$AB:$AB,""))</f>
        <v>0</v>
      </c>
      <c r="AW17" s="29">
        <f>(+SUMIFS(манзилли!$U:$U,манзилли!$AD:$AD,'свод (банк)'!$B17,манзилли!$AA:$AA,"&lt;01.02.2021",манзилли!$AB:$AB,""))</f>
        <v>0</v>
      </c>
      <c r="AX17" s="30">
        <f>+SUMIFS(манзилли!$Y:$Y,манзилли!$AD:$AD,'свод (банк)'!$B17,манзилли!$AA:$AA,"&lt;01.02.2021",манзилли!$AB:$AB,"")</f>
        <v>0</v>
      </c>
      <c r="AY17" s="28">
        <f>+COUNTIFS(манзилли!$AD:$AD,'свод (банк)'!$B17,манзилли!$AA:$AA,"&lt;01.01.2022",манзилли!$AB:$AB,"")</f>
        <v>81</v>
      </c>
      <c r="AZ17" s="29">
        <f>(+SUMIFS(манзилли!$K:$K,манзилли!$AD:$AD,'свод (банк)'!$B17,манзилли!$AA:$AA,"&lt;01.01.2022",манзилли!$AB:$AB,""))</f>
        <v>235093.5</v>
      </c>
      <c r="BA17" s="29">
        <f>(+SUMIFS(манзилли!$M:$M,манзилли!$AD:$AD,'свод (банк)'!$B17,манзилли!$AA:$AA,"&lt;01.01.2022",манзилли!$AB:$AB,""))</f>
        <v>73759</v>
      </c>
      <c r="BB17" s="29">
        <f>(+SUMIFS(манзилли!$Q:$Q,манзилли!$AD:$AD,'свод (банк)'!$B17,манзилли!$AA:$AA,"&lt;01.01.2022",манзилли!$AB:$AB,""))</f>
        <v>75200</v>
      </c>
      <c r="BC17" s="29">
        <f>(+SUMIFS(манзилли!$S:$S,манзилли!$AD:$AD,'свод (банк)'!$B17,манзилли!$AA:$AA,"&lt;01.01.2022",манзилли!$AB:$AB,""))</f>
        <v>7455</v>
      </c>
      <c r="BD17" s="29">
        <f>(+SUMIFS(манзилли!$U:$U,манзилли!$AD:$AD,'свод (банк)'!$B17,манзилли!$AA:$AA,"&lt;01.01.2022",манзилли!$AB:$AB,""))</f>
        <v>0</v>
      </c>
      <c r="BE17" s="30">
        <f>+SUMIFS(манзилли!$Y:$Y,манзилли!$AD:$AD,'свод (банк)'!$B17,манзилли!$AA:$AA,"&lt;01.01.2022",манзилли!$AB:$AB,"")</f>
        <v>907</v>
      </c>
      <c r="BF17" s="28">
        <f>+COUNTIFS(манзилли!$AD:$AD,'свод (банк)'!$B17,манзилли!$AA:$AA,"&lt;01.01.2023",манзилли!$AA:$AA,"&gt;=01.01.2022")</f>
        <v>5</v>
      </c>
      <c r="BG17" s="29">
        <f>(+SUMIFS(манзилли!$K:$K,манзилли!$AD:$AD,'свод (банк)'!$B17,манзилли!$AA:$AA,"&lt;01.01.2023",манзилли!$AA:$AA,"&gt;=01.01.2022"))</f>
        <v>57160</v>
      </c>
      <c r="BH17" s="29">
        <f>(+SUMIFS(манзилли!$M:$M,манзилли!$AD:$AD,'свод (банк)'!$B17,манзилли!$AA:$AA,"&lt;01.01.2023",манзилли!$AA:$AA,"&gt;=01.01.2022"))</f>
        <v>29850</v>
      </c>
      <c r="BI17" s="29">
        <f>(+SUMIFS(манзилли!$Q:$Q,манзилли!$AD:$AD,'свод (банк)'!$B17,манзилли!$AA:$AA,"&lt;01.01.2023",манзилли!$AA:$AA,"&gt;=01.01.2022"))</f>
        <v>27310</v>
      </c>
      <c r="BJ17" s="29">
        <f>(+SUMIFS(манзилли!$S:$S,манзилли!$AD:$AD,'свод (банк)'!$B17,манзилли!$AA:$AA,"&lt;01.01.2023",манзилли!$AA:$AA,"&gt;=01.01.2022"))</f>
        <v>0</v>
      </c>
      <c r="BK17" s="29">
        <f>(+SUMIFS(манзилли!$U:$U,манзилли!$AD:$AD,'свод (банк)'!$B17,манзилли!$AA:$AA,"&lt;01.01.2023",манзилли!$AA:$AA,"&gt;=01.01.2022"))</f>
        <v>0</v>
      </c>
      <c r="BL17" s="30">
        <f>+SUMIFS(манзилли!$Y:$Y,манзилли!$AD:$AD,'свод (банк)'!$B17,манзилли!$AA:$AA,"&lt;01.01.2023",манзилли!$AA:$AA,"&gt;=01.01.2022")</f>
        <v>77</v>
      </c>
    </row>
    <row r="18" spans="1:64" s="3" customFormat="1" ht="35.25" customHeight="1">
      <c r="A18" s="26">
        <f t="shared" si="6"/>
        <v>12</v>
      </c>
      <c r="B18" s="27" t="s">
        <v>543</v>
      </c>
      <c r="C18" s="28">
        <f>+COUNTIFS(манзилли!$AD:$AD,'свод (банк)'!$B18)</f>
        <v>76</v>
      </c>
      <c r="D18" s="29">
        <f>(+SUMIFS(манзилли!$K:$K,манзилли!$AD:$AD,'свод (банк)'!$B18))</f>
        <v>1518412.6578947369</v>
      </c>
      <c r="E18" s="29">
        <f>(+SUMIFS(манзилли!$M:$M,манзилли!$AD:$AD,'свод (банк)'!$B18))</f>
        <v>488384.6578947368</v>
      </c>
      <c r="F18" s="29">
        <f>(+SUMIFS(манзилли!$Q:$Q,манзилли!$AD:$AD,'свод (банк)'!$B18))</f>
        <v>121485</v>
      </c>
      <c r="G18" s="29">
        <f>(+SUMIFS(манзилли!$S:$S,манзилли!$AD:$AD,'свод (банк)'!$B18))</f>
        <v>67660</v>
      </c>
      <c r="H18" s="29">
        <f>(+SUMIFS(манзилли!$U:$U,манзилли!$AD:$AD,'свод (банк)'!$B18))</f>
        <v>20660</v>
      </c>
      <c r="I18" s="30">
        <f>+SUMIFS(манзилли!$Y:$Y,манзилли!$AD:$AD,'свод (банк)'!$B18)</f>
        <v>4031</v>
      </c>
      <c r="J18" s="28">
        <f>+(COUNTIFS(манзилли!$L:$L,"&gt;0",манзилли!$AD:$AD,'свод (банк)'!$B18)+COUNTIFS('Қўшимча ишга тушган'!$T:$T,"&gt;0",'Қўшимча ишга тушган'!$AQ:$AQ,'свод (банк)'!$B18))</f>
        <v>40</v>
      </c>
      <c r="K18" s="29">
        <f>(+SUMIFS(манзилли!$L:$L,манзилли!$AD:$AD,'свод (банк)'!$B18)+SUMIFS('Қўшимча ишга тушган'!$T:$T,'Қўшимча ишга тушган'!$AQ:$AQ,'свод (банк)'!$B18))</f>
        <v>300026.89999999997</v>
      </c>
      <c r="L18" s="29">
        <f>+(SUMIFS(манзилли!$N:$N,манзилли!$AD:$AD,'свод (банк)'!$B18)+SUMIFS('Қўшимча ишга тушган'!$V:$V,'Қўшимча ишга тушган'!$AQ:$AQ,'свод (банк)'!$B18))</f>
        <v>16900</v>
      </c>
      <c r="M18" s="29">
        <f>(+SUMIFS(манзилли!$R:$R,манзилли!$AD:$AD,'свод (банк)'!$B18)+SUMIFS('Қўшимча ишга тушган'!$Z:$Z,'Қўшимча ишга тушган'!$AQ:$AQ,'свод (банк)'!$B18))</f>
        <v>35323</v>
      </c>
      <c r="N18" s="29">
        <f>(+SUMIFS(манзилли!$T:$T,манзилли!$AD:$AD,'свод (банк)'!$B18)+SUMIFS('Қўшимча ишга тушган'!$AB:$AB,'Қўшимча ишга тушган'!$AQ:$AQ,'свод (банк)'!$B18))</f>
        <v>24294.5</v>
      </c>
      <c r="O18" s="30">
        <f>(+SUMIFS(манзилли!$V:$V,манзилли!$AD:$AD,'свод (банк)'!$B18)+SUMIFS('Қўшимча ишга тушган'!$AD:$AD,'Қўшимча ишга тушган'!$AQ:$AQ,'свод (банк)'!$B18))</f>
        <v>0</v>
      </c>
      <c r="P18" s="31">
        <f>+COUNTIFS(манзилли!$AD:$AD,'свод (банк)'!$B18,манзилли!$AA:$AA,"&gt;31.12.2020",манзилли!$AA:$AA,"&lt;01.01.2022")</f>
        <v>54</v>
      </c>
      <c r="Q18" s="29">
        <f>(+SUMIFS(манзилли!$K:$K,манзилли!$AD:$AD,'свод (банк)'!$B18,манзилли!$AA:$AA,"&gt;31.12.2020",манзилли!$AA:$AA,"&lt;01.01.2022"))</f>
        <v>1061722.6578947369</v>
      </c>
      <c r="R18" s="29">
        <f>(+SUMIFS(манзилли!$M:$M,манзилли!$AD:$AD,'свод (банк)'!$B18,манзилли!$AA:$AA,"&gt;31.12.2020",манзилли!$AA:$AA,"&lt;01.01.2022"))</f>
        <v>320897.6578947368</v>
      </c>
      <c r="S18" s="29">
        <f>(+SUMIFS(манзилли!$Q:$Q,манзилли!$AD:$AD,'свод (банк)'!$B18,манзилли!$AA:$AA,"&gt;31.12.2020",манзилли!$AA:$AA,"&lt;01.01.2022"))</f>
        <v>61985</v>
      </c>
      <c r="T18" s="29">
        <f>(+SUMIFS(манзилли!$S:$S,манзилли!$AD:$AD,'свод (банк)'!$B18,манзилли!$AA:$AA,"&gt;31.12.2020",манзилли!$AA:$AA,"&lt;01.01.2022"))</f>
        <v>48060</v>
      </c>
      <c r="U18" s="29">
        <f>(+SUMIFS(манзилли!$U:$U,манзилли!$AD:$AD,'свод (банк)'!$B18,манзилли!$AA:$AA,"&gt;31.12.2020",манзилли!$AA:$AA,"&lt;01.01.2022"))</f>
        <v>17760</v>
      </c>
      <c r="V18" s="30">
        <f>+SUMIFS(манзилли!$Y:$Y,манзилли!$AD:$AD,'свод (банк)'!$B18,манзилли!$AA:$AA,"&gt;31.12.2020",манзилли!$AA:$AA,"&lt;01.01.2022")</f>
        <v>2643</v>
      </c>
      <c r="W18" s="28">
        <f t="shared" si="5"/>
        <v>4</v>
      </c>
      <c r="X18" s="29">
        <f t="shared" si="4"/>
        <v>23250</v>
      </c>
      <c r="Y18" s="29">
        <f t="shared" si="4"/>
        <v>16900</v>
      </c>
      <c r="Z18" s="29">
        <f t="shared" si="4"/>
        <v>6350</v>
      </c>
      <c r="AA18" s="29">
        <f t="shared" si="4"/>
        <v>0</v>
      </c>
      <c r="AB18" s="29">
        <f t="shared" si="4"/>
        <v>0</v>
      </c>
      <c r="AC18" s="30">
        <f t="shared" si="4"/>
        <v>63</v>
      </c>
      <c r="AD18" s="28">
        <f>+COUNTIFS(манзилли!$AD:$AD,'свод (банк)'!$B18,манзилли!$AB:$AB,"&gt;31.12.2020",манзилли!$AA:$AA,"&gt;31.12.2020",манзилли!$AA:$AA,"&lt;01.01.2023")</f>
        <v>4</v>
      </c>
      <c r="AE18" s="29">
        <f>(+SUMIFS(манзилли!$L:$L,манзилли!$AD:$AD,'свод (банк)'!$B18,манзилли!$AB:$AB,"&gt;31.12.2020",манзилли!$AA:$AA,"&gt;31.12.2020",манзилли!$AA:$AA,"&lt;01.01.2023"))</f>
        <v>23250</v>
      </c>
      <c r="AF18" s="29">
        <f>(+SUMIFS(манзилли!$N:$N,манзилли!$AD:$AD,'свод (банк)'!$B18,манзилли!$AB:$AB,"&gt;31.12.2020",манзилли!$AA:$AA,"&gt;31.12.2020",манзилли!$AA:$AA,"&lt;01.01.2023"))</f>
        <v>16900</v>
      </c>
      <c r="AG18" s="29">
        <f>(+SUMIFS(манзилли!$R:$R,манзилли!$AD:$AD,'свод (банк)'!$B18,манзилли!$AB:$AB,"&gt;31.12.2020",манзилли!$AA:$AA,"&gt;31.12.2020",манзилли!$AA:$AA,"&lt;01.01.2023"))</f>
        <v>6350</v>
      </c>
      <c r="AH18" s="29">
        <f>(+SUMIFS(манзилли!$T:$T,манзилли!$AD:$AD,'свод (банк)'!$B18,манзилли!$AB:$AB,"&gt;31.12.2020",манзилли!$AA:$AA,"&gt;31.12.2020",манзилли!$AA:$AA,"&lt;01.01.2023"))</f>
        <v>0</v>
      </c>
      <c r="AI18" s="29">
        <f>(+SUMIFS(манзилли!$V:$V,манзилли!$AD:$AD,'свод (банк)'!$B18,манзилли!$AB:$AB,"&gt;31.12.2020",манзилли!$AA:$AA,"&gt;31.12.2020",манзилли!$AA:$AA,"&lt;01.01.2023"))</f>
        <v>0</v>
      </c>
      <c r="AJ18" s="30">
        <f>+SUMIFS(манзилли!$Z:$Z,манзилли!$AD:$AD,'свод (банк)'!$B18,манзилли!$AB:$AB,"&gt;31.12.2020",манзилли!$AA:$AA,"&gt;31.12.2020",манзилли!$AA:$AA,"&lt;01.01.2023")</f>
        <v>63</v>
      </c>
      <c r="AK18" s="28">
        <f>+COUNTIFS('Қўшимча ишга тушган'!$AQ:$AQ,'свод (банк)'!B18,'Қўшимча ишга тушган'!$AO:$AO,"&lt;01.10.2023")</f>
        <v>0</v>
      </c>
      <c r="AL18" s="29">
        <f>(+SUMIFS('Қўшимча ишга тушган'!$T:$T,'Қўшимча ишга тушган'!$AQ:$AQ,'свод (банк)'!$B18,'Қўшимча ишга тушган'!$AO:$AO,"&lt;01.10.2023"))</f>
        <v>0</v>
      </c>
      <c r="AM18" s="29">
        <f>(+SUMIFS('Қўшимча ишга тушган'!$V:$V,'Қўшимча ишга тушган'!$AQ:$AQ,'свод (банк)'!$B18,'Қўшимча ишга тушган'!$AO:$AO,"&lt;01.10.2023"))</f>
        <v>0</v>
      </c>
      <c r="AN18" s="29">
        <f>(+SUMIFS('Қўшимча ишга тушган'!$Z:$Z,'Қўшимча ишга тушган'!$AQ:$AQ,'свод (банк)'!$B18,'Қўшимча ишга тушган'!$AO:$AO,"&lt;01.10.2023"))</f>
        <v>0</v>
      </c>
      <c r="AO18" s="29">
        <f>(+SUMIFS('Қўшимча ишга тушган'!$AB:$AB,'Қўшимча ишга тушган'!$AQ:$AQ,'свод (банк)'!$B18,'Қўшимча ишга тушган'!$AO:$AO,"&lt;01.10.2023"))</f>
        <v>0</v>
      </c>
      <c r="AP18" s="29">
        <f>(+SUMIFS('Қўшимча ишга тушган'!$AD:$AD,'Қўшимча ишга тушган'!$AQ:$AQ,'свод (банк)'!$B18,'Қўшимча ишга тушган'!$AO:$AO,"&lt;01.10.2023"))</f>
        <v>0</v>
      </c>
      <c r="AQ18" s="30">
        <f>+SUMIFS('Қўшимча ишга тушган'!$AM:$AM,'Қўшимча ишга тушган'!$AQ:$AQ,'свод (банк)'!$B18,'Қўшимча ишга тушган'!$AO:$AO,"&lt;01.10.2023")</f>
        <v>0</v>
      </c>
      <c r="AR18" s="28">
        <f>+COUNTIFS(манзилли!$AD:$AD,'свод (банк)'!$B18,манзилли!$AA:$AA,"&lt;01.02.2021",манзилли!$AB:$AB,"")</f>
        <v>0</v>
      </c>
      <c r="AS18" s="29">
        <f>(+SUMIFS(манзилли!$K:$K,манзилли!$AD:$AD,'свод (банк)'!$B18,манзилли!$AA:$AA,"&lt;01.02.2021",манзилли!$AB:$AB,""))</f>
        <v>0</v>
      </c>
      <c r="AT18" s="29">
        <f>(+SUMIFS(манзилли!$M:$M,манзилли!$AD:$AD,'свод (банк)'!$B18,манзилли!$AA:$AA,"&lt;01.02.2021",манзилли!$AB:$AB,""))</f>
        <v>0</v>
      </c>
      <c r="AU18" s="29">
        <f>(+SUMIFS(манзилли!$Q:$Q,манзилли!$AD:$AD,'свод (банк)'!$B18,манзилли!$AA:$AA,"&lt;01.02.2021",манзилли!$AB:$AB,""))</f>
        <v>0</v>
      </c>
      <c r="AV18" s="29">
        <f>(+SUMIFS(манзилли!$S:$S,манзилли!$AD:$AD,'свод (банк)'!$B18,манзилли!$AA:$AA,"&lt;01.02.2021",манзилли!$AB:$AB,""))</f>
        <v>0</v>
      </c>
      <c r="AW18" s="29">
        <f>(+SUMIFS(манзилли!$U:$U,манзилли!$AD:$AD,'свод (банк)'!$B18,манзилли!$AA:$AA,"&lt;01.02.2021",манзилли!$AB:$AB,""))</f>
        <v>0</v>
      </c>
      <c r="AX18" s="30">
        <f>+SUMIFS(манзилли!$Y:$Y,манзилли!$AD:$AD,'свод (банк)'!$B18,манзилли!$AA:$AA,"&lt;01.02.2021",манзилли!$AB:$AB,"")</f>
        <v>0</v>
      </c>
      <c r="AY18" s="28">
        <f>+COUNTIFS(манзилли!$AD:$AD,'свод (банк)'!$B18,манзилли!$AA:$AA,"&lt;01.01.2022",манзилли!$AB:$AB,"")</f>
        <v>50</v>
      </c>
      <c r="AZ18" s="29">
        <f>(+SUMIFS(манзилли!$K:$K,манзилли!$AD:$AD,'свод (банк)'!$B18,манзилли!$AA:$AA,"&lt;01.01.2022",манзилли!$AB:$AB,""))</f>
        <v>1038872.6578947369</v>
      </c>
      <c r="BA18" s="29">
        <f>(+SUMIFS(манзилли!$M:$M,манзилли!$AD:$AD,'свод (банк)'!$B18,манзилли!$AA:$AA,"&lt;01.01.2022",манзилли!$AB:$AB,""))</f>
        <v>310397.6578947368</v>
      </c>
      <c r="BB18" s="29">
        <f>(+SUMIFS(манзилли!$Q:$Q,манзилли!$AD:$AD,'свод (банк)'!$B18,манзилли!$AA:$AA,"&lt;01.01.2022",манзилли!$AB:$AB,""))</f>
        <v>50485</v>
      </c>
      <c r="BC18" s="29">
        <f>(+SUMIFS(манзилли!$S:$S,манзилли!$AD:$AD,'свод (банк)'!$B18,манзилли!$AA:$AA,"&lt;01.01.2022",манзилли!$AB:$AB,""))</f>
        <v>48060</v>
      </c>
      <c r="BD18" s="29">
        <f>(+SUMIFS(манзилли!$U:$U,манзилли!$AD:$AD,'свод (банк)'!$B18,манзилли!$AA:$AA,"&lt;01.01.2022",манзилли!$AB:$AB,""))</f>
        <v>17760</v>
      </c>
      <c r="BE18" s="30">
        <f>+SUMIFS(манзилли!$Y:$Y,манзилли!$AD:$AD,'свод (банк)'!$B18,манзилли!$AA:$AA,"&lt;01.01.2022",манзилли!$AB:$AB,"")</f>
        <v>2580</v>
      </c>
      <c r="BF18" s="28">
        <f>+COUNTIFS(манзилли!$AD:$AD,'свод (банк)'!$B18,манзилли!$AA:$AA,"&lt;01.01.2023",манзилли!$AA:$AA,"&gt;=01.01.2022")</f>
        <v>22</v>
      </c>
      <c r="BG18" s="29">
        <f>(+SUMIFS(манзилли!$K:$K,манзилли!$AD:$AD,'свод (банк)'!$B18,манзилли!$AA:$AA,"&lt;01.01.2023",манзилли!$AA:$AA,"&gt;=01.01.2022"))</f>
        <v>456690</v>
      </c>
      <c r="BH18" s="29">
        <f>(+SUMIFS(манзилли!$M:$M,манзилли!$AD:$AD,'свод (банк)'!$B18,манзилли!$AA:$AA,"&lt;01.01.2023",манзилли!$AA:$AA,"&gt;=01.01.2022"))</f>
        <v>167487</v>
      </c>
      <c r="BI18" s="29">
        <f>(+SUMIFS(манзилли!$Q:$Q,манзилли!$AD:$AD,'свод (банк)'!$B18,манзилли!$AA:$AA,"&lt;01.01.2023",манзилли!$AA:$AA,"&gt;=01.01.2022"))</f>
        <v>59500</v>
      </c>
      <c r="BJ18" s="29">
        <f>(+SUMIFS(манзилли!$S:$S,манзилли!$AD:$AD,'свод (банк)'!$B18,манзилли!$AA:$AA,"&lt;01.01.2023",манзилли!$AA:$AA,"&gt;=01.01.2022"))</f>
        <v>19600</v>
      </c>
      <c r="BK18" s="29">
        <f>(+SUMIFS(манзилли!$U:$U,манзилли!$AD:$AD,'свод (банк)'!$B18,манзилли!$AA:$AA,"&lt;01.01.2023",манзилли!$AA:$AA,"&gt;=01.01.2022"))</f>
        <v>2900</v>
      </c>
      <c r="BL18" s="30">
        <f>+SUMIFS(манзилли!$Y:$Y,манзилли!$AD:$AD,'свод (банк)'!$B18,манзилли!$AA:$AA,"&lt;01.01.2023",манзилли!$AA:$AA,"&gt;=01.01.2022")</f>
        <v>1388</v>
      </c>
    </row>
    <row r="19" spans="1:64" s="3" customFormat="1" ht="35.25" customHeight="1">
      <c r="A19" s="26">
        <f t="shared" si="6"/>
        <v>13</v>
      </c>
      <c r="B19" s="27" t="s">
        <v>445</v>
      </c>
      <c r="C19" s="28">
        <f>+COUNTIFS(манзилли!$AD:$AD,'свод (банк)'!$B19)</f>
        <v>178</v>
      </c>
      <c r="D19" s="29">
        <f>(+SUMIFS(манзилли!$K:$K,манзилли!$AD:$AD,'свод (банк)'!$B19))</f>
        <v>676493.39999999991</v>
      </c>
      <c r="E19" s="29">
        <f>(+SUMIFS(манзилли!$M:$M,манзилли!$AD:$AD,'свод (банк)'!$B19))</f>
        <v>230086</v>
      </c>
      <c r="F19" s="29">
        <f>(+SUMIFS(манзилли!$Q:$Q,манзилли!$AD:$AD,'свод (банк)'!$B19))</f>
        <v>262664</v>
      </c>
      <c r="G19" s="29">
        <f>(+SUMIFS(манзилли!$S:$S,манзилли!$AD:$AD,'свод (банк)'!$B19))</f>
        <v>17678</v>
      </c>
      <c r="H19" s="29">
        <f>(+SUMIFS(манзилли!$U:$U,манзилли!$AD:$AD,'свод (банк)'!$B19))</f>
        <v>200</v>
      </c>
      <c r="I19" s="30">
        <f>+SUMIFS(манзилли!$Y:$Y,манзилли!$AD:$AD,'свод (банк)'!$B19)</f>
        <v>1782</v>
      </c>
      <c r="J19" s="28">
        <f>+(COUNTIFS(манзилли!$L:$L,"&gt;0",манзилли!$AD:$AD,'свод (банк)'!$B19)+COUNTIFS('Қўшимча ишга тушган'!$T:$T,"&gt;0",'Қўшимча ишга тушган'!$AQ:$AQ,'свод (банк)'!$B19))</f>
        <v>97</v>
      </c>
      <c r="K19" s="29">
        <f>(+SUMIFS(манзилли!$L:$L,манзилли!$AD:$AD,'свод (банк)'!$B19)+SUMIFS('Қўшимча ишга тушган'!$T:$T,'Қўшимча ишга тушган'!$AQ:$AQ,'свод (банк)'!$B19))</f>
        <v>131188.41999999998</v>
      </c>
      <c r="L19" s="29">
        <f>+(SUMIFS(манзилли!$N:$N,манзилли!$AD:$AD,'свод (банк)'!$B19)+SUMIFS('Қўшимча ишга тушган'!$V:$V,'Қўшимча ишга тушган'!$AQ:$AQ,'свод (банк)'!$B19))</f>
        <v>18768.3</v>
      </c>
      <c r="M19" s="29">
        <f>(+SUMIFS(манзилли!$R:$R,манзилли!$AD:$AD,'свод (банк)'!$B19)+SUMIFS('Қўшимча ишга тушган'!$Z:$Z,'Қўшимча ишга тушган'!$AQ:$AQ,'свод (банк)'!$B19))</f>
        <v>86419.7</v>
      </c>
      <c r="N19" s="29">
        <f>(+SUMIFS(манзилли!$T:$T,манзилли!$AD:$AD,'свод (банк)'!$B19)+SUMIFS('Қўшимча ишга тушган'!$AB:$AB,'Қўшимча ишга тушган'!$AQ:$AQ,'свод (банк)'!$B19))</f>
        <v>2542.1</v>
      </c>
      <c r="O19" s="30">
        <f>(+SUMIFS(манзилли!$V:$V,манзилли!$AD:$AD,'свод (банк)'!$B19)+SUMIFS('Қўшимча ишга тушган'!$AD:$AD,'Қўшимча ишга тушган'!$AQ:$AQ,'свод (банк)'!$B19))</f>
        <v>0</v>
      </c>
      <c r="P19" s="31">
        <f>+COUNTIFS(манзилли!$AD:$AD,'свод (банк)'!$B19,манзилли!$AA:$AA,"&gt;31.12.2020",манзилли!$AA:$AA,"&lt;01.01.2022")</f>
        <v>126</v>
      </c>
      <c r="Q19" s="29">
        <f>(+SUMIFS(манзилли!$K:$K,манзилли!$AD:$AD,'свод (банк)'!$B19,манзилли!$AA:$AA,"&gt;31.12.2020",манзилли!$AA:$AA,"&lt;01.01.2022"))</f>
        <v>441240.1</v>
      </c>
      <c r="R19" s="29">
        <f>(+SUMIFS(манзилли!$M:$M,манзилли!$AD:$AD,'свод (банк)'!$B19,манзилли!$AA:$AA,"&gt;31.12.2020",манзилли!$AA:$AA,"&lt;01.01.2022"))</f>
        <v>162141</v>
      </c>
      <c r="S19" s="29">
        <f>(+SUMIFS(манзилли!$Q:$Q,манзилли!$AD:$AD,'свод (банк)'!$B19,манзилли!$AA:$AA,"&gt;31.12.2020",манзилли!$AA:$AA,"&lt;01.01.2022"))</f>
        <v>152222</v>
      </c>
      <c r="T19" s="29">
        <f>(+SUMIFS(манзилли!$S:$S,манзилли!$AD:$AD,'свод (банк)'!$B19,манзилли!$AA:$AA,"&gt;31.12.2020",манзилли!$AA:$AA,"&lt;01.01.2022"))</f>
        <v>12157</v>
      </c>
      <c r="U19" s="29">
        <f>(+SUMIFS(манзилли!$U:$U,манзилли!$AD:$AD,'свод (банк)'!$B19,манзилли!$AA:$AA,"&gt;31.12.2020",манзилли!$AA:$AA,"&lt;01.01.2022"))</f>
        <v>200</v>
      </c>
      <c r="V19" s="30">
        <f>+SUMIFS(манзилли!$Y:$Y,манзилли!$AD:$AD,'свод (банк)'!$B19,манзилли!$AA:$AA,"&gt;31.12.2020",манзилли!$AA:$AA,"&lt;01.01.2022")</f>
        <v>1299</v>
      </c>
      <c r="W19" s="28">
        <f t="shared" si="5"/>
        <v>5</v>
      </c>
      <c r="X19" s="29">
        <f t="shared" si="4"/>
        <v>3386</v>
      </c>
      <c r="Y19" s="29">
        <f t="shared" si="4"/>
        <v>1474</v>
      </c>
      <c r="Z19" s="29">
        <f t="shared" si="4"/>
        <v>892</v>
      </c>
      <c r="AA19" s="29">
        <f t="shared" si="4"/>
        <v>100</v>
      </c>
      <c r="AB19" s="29">
        <f t="shared" si="4"/>
        <v>0</v>
      </c>
      <c r="AC19" s="30">
        <f t="shared" si="4"/>
        <v>13</v>
      </c>
      <c r="AD19" s="28">
        <f>+COUNTIFS(манзилли!$AD:$AD,'свод (банк)'!$B19,манзилли!$AB:$AB,"&gt;31.12.2020",манзилли!$AA:$AA,"&gt;31.12.2020",манзилли!$AA:$AA,"&lt;01.01.2023")</f>
        <v>5</v>
      </c>
      <c r="AE19" s="29">
        <f>(+SUMIFS(манзилли!$L:$L,манзилли!$AD:$AD,'свод (банк)'!$B19,манзилли!$AB:$AB,"&gt;31.12.2020",манзилли!$AA:$AA,"&gt;31.12.2020",манзилли!$AA:$AA,"&lt;01.01.2023"))</f>
        <v>3386</v>
      </c>
      <c r="AF19" s="29">
        <f>(+SUMIFS(манзилли!$N:$N,манзилли!$AD:$AD,'свод (банк)'!$B19,манзилли!$AB:$AB,"&gt;31.12.2020",манзилли!$AA:$AA,"&gt;31.12.2020",манзилли!$AA:$AA,"&lt;01.01.2023"))</f>
        <v>1474</v>
      </c>
      <c r="AG19" s="29">
        <f>(+SUMIFS(манзилли!$R:$R,манзилли!$AD:$AD,'свод (банк)'!$B19,манзилли!$AB:$AB,"&gt;31.12.2020",манзилли!$AA:$AA,"&gt;31.12.2020",манзилли!$AA:$AA,"&lt;01.01.2023"))</f>
        <v>892</v>
      </c>
      <c r="AH19" s="29">
        <f>(+SUMIFS(манзилли!$T:$T,манзилли!$AD:$AD,'свод (банк)'!$B19,манзилли!$AB:$AB,"&gt;31.12.2020",манзилли!$AA:$AA,"&gt;31.12.2020",манзилли!$AA:$AA,"&lt;01.01.2023"))</f>
        <v>100</v>
      </c>
      <c r="AI19" s="29">
        <f>(+SUMIFS(манзилли!$V:$V,манзилли!$AD:$AD,'свод (банк)'!$B19,манзилли!$AB:$AB,"&gt;31.12.2020",манзилли!$AA:$AA,"&gt;31.12.2020",манзилли!$AA:$AA,"&lt;01.01.2023"))</f>
        <v>0</v>
      </c>
      <c r="AJ19" s="30">
        <f>+SUMIFS(манзилли!$Z:$Z,манзилли!$AD:$AD,'свод (банк)'!$B19,манзилли!$AB:$AB,"&gt;31.12.2020",манзилли!$AA:$AA,"&gt;31.12.2020",манзилли!$AA:$AA,"&lt;01.01.2023")</f>
        <v>13</v>
      </c>
      <c r="AK19" s="28">
        <f>+COUNTIFS('Қўшимча ишга тушган'!$AQ:$AQ,'свод (банк)'!B19,'Қўшимча ишга тушган'!$AO:$AO,"&lt;01.10.2023")</f>
        <v>0</v>
      </c>
      <c r="AL19" s="29">
        <f>(+SUMIFS('Қўшимча ишга тушган'!$T:$T,'Қўшимча ишга тушган'!$AQ:$AQ,'свод (банк)'!$B19,'Қўшимча ишга тушган'!$AO:$AO,"&lt;01.10.2023"))</f>
        <v>0</v>
      </c>
      <c r="AM19" s="29">
        <f>(+SUMIFS('Қўшимча ишга тушган'!$V:$V,'Қўшимча ишга тушган'!$AQ:$AQ,'свод (банк)'!$B19,'Қўшимча ишга тушган'!$AO:$AO,"&lt;01.10.2023"))</f>
        <v>0</v>
      </c>
      <c r="AN19" s="29">
        <f>(+SUMIFS('Қўшимча ишга тушган'!$Z:$Z,'Қўшимча ишга тушган'!$AQ:$AQ,'свод (банк)'!$B19,'Қўшимча ишга тушган'!$AO:$AO,"&lt;01.10.2023"))</f>
        <v>0</v>
      </c>
      <c r="AO19" s="29">
        <f>(+SUMIFS('Қўшимча ишга тушган'!$AB:$AB,'Қўшимча ишга тушган'!$AQ:$AQ,'свод (банк)'!$B19,'Қўшимча ишга тушган'!$AO:$AO,"&lt;01.10.2023"))</f>
        <v>0</v>
      </c>
      <c r="AP19" s="29">
        <f>(+SUMIFS('Қўшимча ишга тушган'!$AD:$AD,'Қўшимча ишга тушган'!$AQ:$AQ,'свод (банк)'!$B19,'Қўшимча ишга тушган'!$AO:$AO,"&lt;01.10.2023"))</f>
        <v>0</v>
      </c>
      <c r="AQ19" s="30">
        <f>+SUMIFS('Қўшимча ишга тушган'!$AM:$AM,'Қўшимча ишга тушган'!$AQ:$AQ,'свод (банк)'!$B19,'Қўшимча ишга тушган'!$AO:$AO,"&lt;01.10.2023")</f>
        <v>0</v>
      </c>
      <c r="AR19" s="28">
        <f>+COUNTIFS(манзилли!$AD:$AD,'свод (банк)'!$B19,манзилли!$AA:$AA,"&lt;01.02.2021",манзилли!$AB:$AB,"")</f>
        <v>0</v>
      </c>
      <c r="AS19" s="29">
        <f>(+SUMIFS(манзилли!$K:$K,манзилли!$AD:$AD,'свод (банк)'!$B19,манзилли!$AA:$AA,"&lt;01.02.2021",манзилли!$AB:$AB,""))</f>
        <v>0</v>
      </c>
      <c r="AT19" s="29">
        <f>(+SUMIFS(манзилли!$M:$M,манзилли!$AD:$AD,'свод (банк)'!$B19,манзилли!$AA:$AA,"&lt;01.02.2021",манзилли!$AB:$AB,""))</f>
        <v>0</v>
      </c>
      <c r="AU19" s="29">
        <f>(+SUMIFS(манзилли!$Q:$Q,манзилли!$AD:$AD,'свод (банк)'!$B19,манзилли!$AA:$AA,"&lt;01.02.2021",манзилли!$AB:$AB,""))</f>
        <v>0</v>
      </c>
      <c r="AV19" s="29">
        <f>(+SUMIFS(манзилли!$S:$S,манзилли!$AD:$AD,'свод (банк)'!$B19,манзилли!$AA:$AA,"&lt;01.02.2021",манзилли!$AB:$AB,""))</f>
        <v>0</v>
      </c>
      <c r="AW19" s="29">
        <f>(+SUMIFS(манзилли!$U:$U,манзилли!$AD:$AD,'свод (банк)'!$B19,манзилли!$AA:$AA,"&lt;01.02.2021",манзилли!$AB:$AB,""))</f>
        <v>0</v>
      </c>
      <c r="AX19" s="30">
        <f>+SUMIFS(манзилли!$Y:$Y,манзилли!$AD:$AD,'свод (банк)'!$B19,манзилли!$AA:$AA,"&lt;01.02.2021",манзилли!$AB:$AB,"")</f>
        <v>0</v>
      </c>
      <c r="AY19" s="28">
        <f>+COUNTIFS(манзилли!$AD:$AD,'свод (банк)'!$B19,манзилли!$AA:$AA,"&lt;01.01.2022",манзилли!$AB:$AB,"")</f>
        <v>112</v>
      </c>
      <c r="AZ19" s="29">
        <f>(+SUMIFS(манзилли!$K:$K,манзилли!$AD:$AD,'свод (банк)'!$B19,манзилли!$AA:$AA,"&lt;01.01.2022",манзилли!$AB:$AB,""))</f>
        <v>417477.1</v>
      </c>
      <c r="BA19" s="29">
        <f>(+SUMIFS(манзилли!$M:$M,манзилли!$AD:$AD,'свод (банк)'!$B19,манзилли!$AA:$AA,"&lt;01.01.2022",манзилли!$AB:$AB,""))</f>
        <v>150417</v>
      </c>
      <c r="BB19" s="29">
        <f>(+SUMIFS(манзилли!$Q:$Q,манзилли!$AD:$AD,'свод (банк)'!$B19,манзилли!$AA:$AA,"&lt;01.01.2022",манзилли!$AB:$AB,""))</f>
        <v>141213</v>
      </c>
      <c r="BC19" s="29">
        <f>(+SUMIFS(манзилли!$S:$S,манзилли!$AD:$AD,'свод (банк)'!$B19,манзилли!$AA:$AA,"&lt;01.01.2022",манзилли!$AB:$AB,""))</f>
        <v>12057</v>
      </c>
      <c r="BD19" s="29">
        <f>(+SUMIFS(манзилли!$U:$U,манзилли!$AD:$AD,'свод (банк)'!$B19,манзилли!$AA:$AA,"&lt;01.01.2022",манзилли!$AB:$AB,""))</f>
        <v>200</v>
      </c>
      <c r="BE19" s="30">
        <f>+SUMIFS(манзилли!$Y:$Y,манзилли!$AD:$AD,'свод (банк)'!$B19,манзилли!$AA:$AA,"&lt;01.01.2022",манзилли!$AB:$AB,"")</f>
        <v>1197</v>
      </c>
      <c r="BF19" s="28">
        <f>+COUNTIFS(манзилли!$AD:$AD,'свод (банк)'!$B19,манзилли!$AA:$AA,"&lt;01.01.2023",манзилли!$AA:$AA,"&gt;=01.01.2022")</f>
        <v>30</v>
      </c>
      <c r="BG19" s="29">
        <f>(+SUMIFS(манзилли!$K:$K,манзилли!$AD:$AD,'свод (банк)'!$B19,манзилли!$AA:$AA,"&lt;01.01.2023",манзилли!$AA:$AA,"&gt;=01.01.2022"))</f>
        <v>207532.79999999999</v>
      </c>
      <c r="BH19" s="29">
        <f>(+SUMIFS(манзилли!$M:$M,манзилли!$AD:$AD,'свод (банк)'!$B19,манзилли!$AA:$AA,"&lt;01.01.2023",манзилли!$AA:$AA,"&gt;=01.01.2022"))</f>
        <v>58960</v>
      </c>
      <c r="BI19" s="29">
        <f>(+SUMIFS(манзилли!$Q:$Q,манзилли!$AD:$AD,'свод (банк)'!$B19,манзилли!$AA:$AA,"&lt;01.01.2023",манзилли!$AA:$AA,"&gt;=01.01.2022"))</f>
        <v>93200</v>
      </c>
      <c r="BJ19" s="29">
        <f>(+SUMIFS(манзилли!$S:$S,манзилли!$AD:$AD,'свод (банк)'!$B19,манзилли!$AA:$AA,"&lt;01.01.2023",манзилли!$AA:$AA,"&gt;=01.01.2022"))</f>
        <v>5376</v>
      </c>
      <c r="BK19" s="29">
        <f>(+SUMIFS(манзилли!$U:$U,манзилли!$AD:$AD,'свод (банк)'!$B19,манзилли!$AA:$AA,"&lt;01.01.2023",манзилли!$AA:$AA,"&gt;=01.01.2022"))</f>
        <v>0</v>
      </c>
      <c r="BL19" s="30">
        <f>+SUMIFS(манзилли!$Y:$Y,манзилли!$AD:$AD,'свод (банк)'!$B19,манзилли!$AA:$AA,"&lt;01.01.2023",манзилли!$AA:$AA,"&gt;=01.01.2022")</f>
        <v>376</v>
      </c>
    </row>
    <row r="20" spans="1:64" s="3" customFormat="1" ht="35.25" customHeight="1">
      <c r="A20" s="26">
        <f t="shared" si="6"/>
        <v>14</v>
      </c>
      <c r="B20" s="27" t="s">
        <v>84</v>
      </c>
      <c r="C20" s="28">
        <f>+COUNTIFS(манзилли!$AD:$AD,'свод (банк)'!$B20)</f>
        <v>21</v>
      </c>
      <c r="D20" s="29">
        <f>(+SUMIFS(манзилли!$K:$K,манзилли!$AD:$AD,'свод (банк)'!$B20))</f>
        <v>161190</v>
      </c>
      <c r="E20" s="29">
        <f>(+SUMIFS(манзилли!$M:$M,манзилли!$AD:$AD,'свод (банк)'!$B20))</f>
        <v>67900</v>
      </c>
      <c r="F20" s="29">
        <f>(+SUMIFS(манзилли!$Q:$Q,манзилли!$AD:$AD,'свод (банк)'!$B20))</f>
        <v>18500</v>
      </c>
      <c r="G20" s="29">
        <f>(+SUMIFS(манзилли!$S:$S,манзилли!$AD:$AD,'свод (банк)'!$B20))</f>
        <v>500</v>
      </c>
      <c r="H20" s="29">
        <f>(+SUMIFS(манзилли!$U:$U,манзилли!$AD:$AD,'свод (банк)'!$B20))</f>
        <v>6800</v>
      </c>
      <c r="I20" s="30">
        <f>+SUMIFS(манзилли!$Y:$Y,манзилли!$AD:$AD,'свод (банк)'!$B20)</f>
        <v>440</v>
      </c>
      <c r="J20" s="28">
        <f>+(COUNTIFS(манзилли!$L:$L,"&gt;0",манзилли!$AD:$AD,'свод (банк)'!$B20)+COUNTIFS('Қўшимча ишга тушган'!$T:$T,"&gt;0",'Қўшимча ишга тушган'!$AQ:$AQ,'свод (банк)'!$B20))</f>
        <v>12</v>
      </c>
      <c r="K20" s="29">
        <f>(+SUMIFS(манзилли!$L:$L,манзилли!$AD:$AD,'свод (банк)'!$B20)+SUMIFS('Қўшимча ишга тушган'!$T:$T,'Қўшимча ишга тушган'!$AQ:$AQ,'свод (банк)'!$B20))</f>
        <v>40168.28</v>
      </c>
      <c r="L20" s="29">
        <f>+(SUMIFS(манзилли!$N:$N,манзилли!$AD:$AD,'свод (банк)'!$B20)+SUMIFS('Қўшимча ишга тушган'!$V:$V,'Қўшимча ишга тушган'!$AQ:$AQ,'свод (банк)'!$B20))</f>
        <v>31850</v>
      </c>
      <c r="M20" s="29">
        <f>(+SUMIFS(манзилли!$R:$R,манзилли!$AD:$AD,'свод (банк)'!$B20)+SUMIFS('Қўшимча ишга тушган'!$Z:$Z,'Қўшимча ишга тушган'!$AQ:$AQ,'свод (банк)'!$B20))</f>
        <v>7080</v>
      </c>
      <c r="N20" s="29">
        <f>(+SUMIFS(манзилли!$T:$T,манзилли!$AD:$AD,'свод (банк)'!$B20)+SUMIFS('Қўшимча ишга тушган'!$AB:$AB,'Қўшимча ишга тушган'!$AQ:$AQ,'свод (банк)'!$B20))</f>
        <v>121.4</v>
      </c>
      <c r="O20" s="30">
        <f>(+SUMIFS(манзилли!$V:$V,манзилли!$AD:$AD,'свод (банк)'!$B20)+SUMIFS('Қўшимча ишга тушган'!$AD:$AD,'Қўшимча ишга тушган'!$AQ:$AQ,'свод (банк)'!$B20))</f>
        <v>0</v>
      </c>
      <c r="P20" s="31">
        <f>+COUNTIFS(манзилли!$AD:$AD,'свод (банк)'!$B20,манзилли!$AA:$AA,"&gt;31.12.2020",манзилли!$AA:$AA,"&lt;01.01.2022")</f>
        <v>12</v>
      </c>
      <c r="Q20" s="29">
        <f>(+SUMIFS(манзилли!$K:$K,манзилли!$AD:$AD,'свод (банк)'!$B20,манзилли!$AA:$AA,"&gt;31.12.2020",манзилли!$AA:$AA,"&lt;01.01.2022"))</f>
        <v>64540</v>
      </c>
      <c r="R20" s="29">
        <f>(+SUMIFS(манзилли!$M:$M,манзилли!$AD:$AD,'свод (банк)'!$B20,манзилли!$AA:$AA,"&gt;31.12.2020",манзилли!$AA:$AA,"&lt;01.01.2022"))</f>
        <v>31550</v>
      </c>
      <c r="S20" s="29">
        <f>(+SUMIFS(манзилли!$Q:$Q,манзилли!$AD:$AD,'свод (банк)'!$B20,манзилли!$AA:$AA,"&gt;31.12.2020",манзилли!$AA:$AA,"&lt;01.01.2022"))</f>
        <v>9700</v>
      </c>
      <c r="T20" s="29">
        <f>(+SUMIFS(манзилли!$S:$S,манзилли!$AD:$AD,'свод (банк)'!$B20,манзилли!$AA:$AA,"&gt;31.12.2020",манзилли!$AA:$AA,"&lt;01.01.2022"))</f>
        <v>500</v>
      </c>
      <c r="U20" s="29">
        <f>(+SUMIFS(манзилли!$U:$U,манзилли!$AD:$AD,'свод (банк)'!$B20,манзилли!$AA:$AA,"&gt;31.12.2020",манзилли!$AA:$AA,"&lt;01.01.2022"))</f>
        <v>1800</v>
      </c>
      <c r="V20" s="30">
        <f>+SUMIFS(манзилли!$Y:$Y,манзилли!$AD:$AD,'свод (банк)'!$B20,манзилли!$AA:$AA,"&gt;31.12.2020",манзилли!$AA:$AA,"&lt;01.01.2022")</f>
        <v>344</v>
      </c>
      <c r="W20" s="28">
        <f t="shared" si="5"/>
        <v>0</v>
      </c>
      <c r="X20" s="29">
        <f t="shared" si="4"/>
        <v>0</v>
      </c>
      <c r="Y20" s="29">
        <f t="shared" si="4"/>
        <v>0</v>
      </c>
      <c r="Z20" s="29">
        <f t="shared" si="4"/>
        <v>0</v>
      </c>
      <c r="AA20" s="29">
        <f t="shared" si="4"/>
        <v>0</v>
      </c>
      <c r="AB20" s="29">
        <f t="shared" si="4"/>
        <v>0</v>
      </c>
      <c r="AC20" s="30">
        <f t="shared" si="4"/>
        <v>0</v>
      </c>
      <c r="AD20" s="28">
        <f>+COUNTIFS(манзилли!$AD:$AD,'свод (банк)'!$B20,манзилли!$AB:$AB,"&gt;31.12.2020",манзилли!$AA:$AA,"&gt;31.12.2020",манзилли!$AA:$AA,"&lt;01.01.2023")</f>
        <v>0</v>
      </c>
      <c r="AE20" s="29">
        <f>(+SUMIFS(манзилли!$L:$L,манзилли!$AD:$AD,'свод (банк)'!$B20,манзилли!$AB:$AB,"&gt;31.12.2020",манзилли!$AA:$AA,"&gt;31.12.2020",манзилли!$AA:$AA,"&lt;01.01.2023"))</f>
        <v>0</v>
      </c>
      <c r="AF20" s="29">
        <f>(+SUMIFS(манзилли!$N:$N,манзилли!$AD:$AD,'свод (банк)'!$B20,манзилли!$AB:$AB,"&gt;31.12.2020",манзилли!$AA:$AA,"&gt;31.12.2020",манзилли!$AA:$AA,"&lt;01.01.2023"))</f>
        <v>0</v>
      </c>
      <c r="AG20" s="29">
        <f>(+SUMIFS(манзилли!$R:$R,манзилли!$AD:$AD,'свод (банк)'!$B20,манзилли!$AB:$AB,"&gt;31.12.2020",манзилли!$AA:$AA,"&gt;31.12.2020",манзилли!$AA:$AA,"&lt;01.01.2023"))</f>
        <v>0</v>
      </c>
      <c r="AH20" s="29">
        <f>(+SUMIFS(манзилли!$T:$T,манзилли!$AD:$AD,'свод (банк)'!$B20,манзилли!$AB:$AB,"&gt;31.12.2020",манзилли!$AA:$AA,"&gt;31.12.2020",манзилли!$AA:$AA,"&lt;01.01.2023"))</f>
        <v>0</v>
      </c>
      <c r="AI20" s="29">
        <f>(+SUMIFS(манзилли!$V:$V,манзилли!$AD:$AD,'свод (банк)'!$B20,манзилли!$AB:$AB,"&gt;31.12.2020",манзилли!$AA:$AA,"&gt;31.12.2020",манзилли!$AA:$AA,"&lt;01.01.2023"))</f>
        <v>0</v>
      </c>
      <c r="AJ20" s="30">
        <f>+SUMIFS(манзилли!$Z:$Z,манзилли!$AD:$AD,'свод (банк)'!$B20,манзилли!$AB:$AB,"&gt;31.12.2020",манзилли!$AA:$AA,"&gt;31.12.2020",манзилли!$AA:$AA,"&lt;01.01.2023")</f>
        <v>0</v>
      </c>
      <c r="AK20" s="28">
        <f>+COUNTIFS('Қўшимча ишга тушган'!$AQ:$AQ,'свод (банк)'!B20,'Қўшимча ишга тушган'!$AO:$AO,"&lt;01.10.2023")</f>
        <v>0</v>
      </c>
      <c r="AL20" s="29">
        <f>(+SUMIFS('Қўшимча ишга тушган'!$T:$T,'Қўшимча ишга тушган'!$AQ:$AQ,'свод (банк)'!$B20,'Қўшимча ишга тушган'!$AO:$AO,"&lt;01.10.2023"))</f>
        <v>0</v>
      </c>
      <c r="AM20" s="29">
        <f>(+SUMIFS('Қўшимча ишга тушган'!$V:$V,'Қўшимча ишга тушган'!$AQ:$AQ,'свод (банк)'!$B20,'Қўшимча ишга тушган'!$AO:$AO,"&lt;01.10.2023"))</f>
        <v>0</v>
      </c>
      <c r="AN20" s="29">
        <f>(+SUMIFS('Қўшимча ишга тушган'!$Z:$Z,'Қўшимча ишга тушган'!$AQ:$AQ,'свод (банк)'!$B20,'Қўшимча ишга тушган'!$AO:$AO,"&lt;01.10.2023"))</f>
        <v>0</v>
      </c>
      <c r="AO20" s="29">
        <f>(+SUMIFS('Қўшимча ишга тушган'!$AB:$AB,'Қўшимча ишга тушган'!$AQ:$AQ,'свод (банк)'!$B20,'Қўшимча ишга тушган'!$AO:$AO,"&lt;01.10.2023"))</f>
        <v>0</v>
      </c>
      <c r="AP20" s="29">
        <f>(+SUMIFS('Қўшимча ишга тушган'!$AD:$AD,'Қўшимча ишга тушган'!$AQ:$AQ,'свод (банк)'!$B20,'Қўшимча ишга тушган'!$AO:$AO,"&lt;01.10.2023"))</f>
        <v>0</v>
      </c>
      <c r="AQ20" s="30">
        <f>+SUMIFS('Қўшимча ишга тушган'!$AM:$AM,'Қўшимча ишга тушган'!$AQ:$AQ,'свод (банк)'!$B20,'Қўшимча ишга тушган'!$AO:$AO,"&lt;01.10.2023")</f>
        <v>0</v>
      </c>
      <c r="AR20" s="28">
        <f>+COUNTIFS(манзилли!$AD:$AD,'свод (банк)'!$B20,манзилли!$AA:$AA,"&lt;01.02.2021",манзилли!$AB:$AB,"")</f>
        <v>0</v>
      </c>
      <c r="AS20" s="29">
        <f>(+SUMIFS(манзилли!$K:$K,манзилли!$AD:$AD,'свод (банк)'!$B20,манзилли!$AA:$AA,"&lt;01.02.2021",манзилли!$AB:$AB,""))</f>
        <v>0</v>
      </c>
      <c r="AT20" s="29">
        <f>(+SUMIFS(манзилли!$M:$M,манзилли!$AD:$AD,'свод (банк)'!$B20,манзилли!$AA:$AA,"&lt;01.02.2021",манзилли!$AB:$AB,""))</f>
        <v>0</v>
      </c>
      <c r="AU20" s="29">
        <f>(+SUMIFS(манзилли!$Q:$Q,манзилли!$AD:$AD,'свод (банк)'!$B20,манзилли!$AA:$AA,"&lt;01.02.2021",манзилли!$AB:$AB,""))</f>
        <v>0</v>
      </c>
      <c r="AV20" s="29">
        <f>(+SUMIFS(манзилли!$S:$S,манзилли!$AD:$AD,'свод (банк)'!$B20,манзилли!$AA:$AA,"&lt;01.02.2021",манзилли!$AB:$AB,""))</f>
        <v>0</v>
      </c>
      <c r="AW20" s="29">
        <f>(+SUMIFS(манзилли!$U:$U,манзилли!$AD:$AD,'свод (банк)'!$B20,манзилли!$AA:$AA,"&lt;01.02.2021",манзилли!$AB:$AB,""))</f>
        <v>0</v>
      </c>
      <c r="AX20" s="30">
        <f>+SUMIFS(манзилли!$Y:$Y,манзилли!$AD:$AD,'свод (банк)'!$B20,манзилли!$AA:$AA,"&lt;01.02.2021",манзилли!$AB:$AB,"")</f>
        <v>0</v>
      </c>
      <c r="AY20" s="28">
        <f>+COUNTIFS(манзилли!$AD:$AD,'свод (банк)'!$B20,манзилли!$AA:$AA,"&lt;01.01.2022",манзилли!$AB:$AB,"")</f>
        <v>12</v>
      </c>
      <c r="AZ20" s="29">
        <f>(+SUMIFS(манзилли!$K:$K,манзилли!$AD:$AD,'свод (банк)'!$B20,манзилли!$AA:$AA,"&lt;01.01.2022",манзилли!$AB:$AB,""))</f>
        <v>64540</v>
      </c>
      <c r="BA20" s="29">
        <f>(+SUMIFS(манзилли!$M:$M,манзилли!$AD:$AD,'свод (банк)'!$B20,манзилли!$AA:$AA,"&lt;01.01.2022",манзилли!$AB:$AB,""))</f>
        <v>31550</v>
      </c>
      <c r="BB20" s="29">
        <f>(+SUMIFS(манзилли!$Q:$Q,манзилли!$AD:$AD,'свод (банк)'!$B20,манзилли!$AA:$AA,"&lt;01.01.2022",манзилли!$AB:$AB,""))</f>
        <v>9700</v>
      </c>
      <c r="BC20" s="29">
        <f>(+SUMIFS(манзилли!$S:$S,манзилли!$AD:$AD,'свод (банк)'!$B20,манзилли!$AA:$AA,"&lt;01.01.2022",манзилли!$AB:$AB,""))</f>
        <v>500</v>
      </c>
      <c r="BD20" s="29">
        <f>(+SUMIFS(манзилли!$U:$U,манзилли!$AD:$AD,'свод (банк)'!$B20,манзилли!$AA:$AA,"&lt;01.01.2022",манзилли!$AB:$AB,""))</f>
        <v>1800</v>
      </c>
      <c r="BE20" s="30">
        <f>+SUMIFS(манзилли!$Y:$Y,манзилли!$AD:$AD,'свод (банк)'!$B20,манзилли!$AA:$AA,"&lt;01.01.2022",манзилли!$AB:$AB,"")</f>
        <v>344</v>
      </c>
      <c r="BF20" s="28">
        <f>+COUNTIFS(манзилли!$AD:$AD,'свод (банк)'!$B20,манзилли!$AA:$AA,"&lt;01.01.2023",манзилли!$AA:$AA,"&gt;=01.01.2022")</f>
        <v>3</v>
      </c>
      <c r="BG20" s="29">
        <f>(+SUMIFS(манзилли!$K:$K,манзилли!$AD:$AD,'свод (банк)'!$B20,манзилли!$AA:$AA,"&lt;01.01.2023",манзилли!$AA:$AA,"&gt;=01.01.2022"))</f>
        <v>60500</v>
      </c>
      <c r="BH20" s="29">
        <f>(+SUMIFS(манзилли!$M:$M,манзилли!$AD:$AD,'свод (банк)'!$B20,манзилли!$AA:$AA,"&lt;01.01.2023",манзилли!$AA:$AA,"&gt;=01.01.2022"))</f>
        <v>4500</v>
      </c>
      <c r="BI20" s="29">
        <f>(+SUMIFS(манзилли!$Q:$Q,манзилли!$AD:$AD,'свод (банк)'!$B20,манзилли!$AA:$AA,"&lt;01.01.2023",манзилли!$AA:$AA,"&gt;=01.01.2022"))</f>
        <v>4500</v>
      </c>
      <c r="BJ20" s="29">
        <f>(+SUMIFS(манзилли!$S:$S,манзилли!$AD:$AD,'свод (банк)'!$B20,манзилли!$AA:$AA,"&lt;01.01.2023",манзилли!$AA:$AA,"&gt;=01.01.2022"))</f>
        <v>0</v>
      </c>
      <c r="BK20" s="29">
        <f>(+SUMIFS(манзилли!$U:$U,манзилли!$AD:$AD,'свод (банк)'!$B20,манзилли!$AA:$AA,"&lt;01.01.2023",манзилли!$AA:$AA,"&gt;=01.01.2022"))</f>
        <v>5000</v>
      </c>
      <c r="BL20" s="30">
        <f>+SUMIFS(манзилли!$Y:$Y,манзилли!$AD:$AD,'свод (банк)'!$B20,манзилли!$AA:$AA,"&lt;01.01.2023",манзилли!$AA:$AA,"&gt;=01.01.2022")</f>
        <v>50</v>
      </c>
    </row>
    <row r="21" spans="1:64" s="3" customFormat="1" ht="35.25" customHeight="1" thickBot="1">
      <c r="A21" s="35">
        <f t="shared" si="6"/>
        <v>15</v>
      </c>
      <c r="B21" s="36" t="s">
        <v>477</v>
      </c>
      <c r="C21" s="37">
        <f>+COUNTIFS(манзилли!$AD:$AD,'свод (банк)'!$B21)</f>
        <v>43</v>
      </c>
      <c r="D21" s="38">
        <f>(+SUMIFS(манзилли!$K:$K,манзилли!$AD:$AD,'свод (банк)'!$B21))</f>
        <v>1963659.5</v>
      </c>
      <c r="E21" s="38">
        <f>(+SUMIFS(манзилли!$M:$M,манзилли!$AD:$AD,'свод (банк)'!$B21))</f>
        <v>909534</v>
      </c>
      <c r="F21" s="38">
        <f>(+SUMIFS(манзилли!$Q:$Q,манзилли!$AD:$AD,'свод (банк)'!$B21))</f>
        <v>9000</v>
      </c>
      <c r="G21" s="38">
        <f>(+SUMIFS(манзилли!$S:$S,манзилли!$AD:$AD,'свод (банк)'!$B21))</f>
        <v>0</v>
      </c>
      <c r="H21" s="38">
        <f>(+SUMIFS(манзилли!$U:$U,манзилли!$AD:$AD,'свод (банк)'!$B21))</f>
        <v>101585</v>
      </c>
      <c r="I21" s="39">
        <f>+SUMIFS(манзилли!$Y:$Y,манзилли!$AD:$AD,'свод (банк)'!$B21)</f>
        <v>2713</v>
      </c>
      <c r="J21" s="37">
        <f>+(COUNTIFS(манзилли!$L:$L,"&gt;0",манзилли!$AD:$AD,'свод (банк)'!$B21)+COUNTIFS('Қўшимча ишга тушган'!$T:$T,"&gt;0",'Қўшимча ишга тушган'!$AQ:$AQ,'свод (банк)'!$B21))</f>
        <v>1</v>
      </c>
      <c r="K21" s="38">
        <f>(+SUMIFS(манзилли!$L:$L,манзилли!$AD:$AD,'свод (банк)'!$B21)+SUMIFS('Қўшимча ишга тушган'!$T:$T,'Қўшимча ишга тушган'!$AQ:$AQ,'свод (банк)'!$B21))</f>
        <v>2000</v>
      </c>
      <c r="L21" s="38">
        <f>+(SUMIFS(манзилли!$N:$N,манзилли!$AD:$AD,'свод (банк)'!$B21)+SUMIFS('Қўшимча ишга тушган'!$V:$V,'Қўшимча ишга тушган'!$AQ:$AQ,'свод (банк)'!$B21))</f>
        <v>0</v>
      </c>
      <c r="M21" s="38">
        <f>(+SUMIFS(манзилли!$R:$R,манзилли!$AD:$AD,'свод (банк)'!$B21)+SUMIFS('Қўшимча ишга тушган'!$Z:$Z,'Қўшимча ишга тушган'!$AQ:$AQ,'свод (банк)'!$B21))</f>
        <v>2000</v>
      </c>
      <c r="N21" s="38">
        <f>(+SUMIFS(манзилли!$T:$T,манзилли!$AD:$AD,'свод (банк)'!$B21)+SUMIFS('Қўшимча ишга тушган'!$AB:$AB,'Қўшимча ишга тушган'!$AQ:$AQ,'свод (банк)'!$B21))</f>
        <v>0</v>
      </c>
      <c r="O21" s="39">
        <f>(+SUMIFS(манзилли!$V:$V,манзилли!$AD:$AD,'свод (банк)'!$B21)+SUMIFS('Қўшимча ишга тушган'!$AD:$AD,'Қўшимча ишга тушган'!$AQ:$AQ,'свод (банк)'!$B21))</f>
        <v>0</v>
      </c>
      <c r="P21" s="40">
        <f>+COUNTIFS(манзилли!$AD:$AD,'свод (банк)'!$B21,манзилли!$AA:$AA,"&gt;31.12.2020",манзилли!$AA:$AA,"&lt;01.01.2022")</f>
        <v>39</v>
      </c>
      <c r="Q21" s="38">
        <f>(+SUMIFS(манзилли!$K:$K,манзилли!$AD:$AD,'свод (банк)'!$B21,манзилли!$AA:$AA,"&gt;31.12.2020",манзилли!$AA:$AA,"&lt;01.01.2022"))</f>
        <v>1827159.5</v>
      </c>
      <c r="R21" s="38">
        <f>(+SUMIFS(манзилли!$M:$M,манзилли!$AD:$AD,'свод (банк)'!$B21,манзилли!$AA:$AA,"&gt;31.12.2020",манзилли!$AA:$AA,"&lt;01.01.2022"))</f>
        <v>886334</v>
      </c>
      <c r="S21" s="38">
        <f>(+SUMIFS(манзилли!$Q:$Q,манзилли!$AD:$AD,'свод (банк)'!$B21,манзилли!$AA:$AA,"&gt;31.12.2020",манзилли!$AA:$AA,"&lt;01.01.2022"))</f>
        <v>9000</v>
      </c>
      <c r="T21" s="38">
        <f>(+SUMIFS(манзилли!$S:$S,манзилли!$AD:$AD,'свод (банк)'!$B21,манзилли!$AA:$AA,"&gt;31.12.2020",манзилли!$AA:$AA,"&lt;01.01.2022"))</f>
        <v>0</v>
      </c>
      <c r="U21" s="38">
        <f>(+SUMIFS(манзилли!$U:$U,манзилли!$AD:$AD,'свод (банк)'!$B21,манзилли!$AA:$AA,"&gt;31.12.2020",манзилли!$AA:$AA,"&lt;01.01.2022"))</f>
        <v>90585</v>
      </c>
      <c r="V21" s="39">
        <f>+SUMIFS(манзилли!$Y:$Y,манзилли!$AD:$AD,'свод (банк)'!$B21,манзилли!$AA:$AA,"&gt;31.12.2020",манзилли!$AA:$AA,"&lt;01.01.2022")</f>
        <v>2553</v>
      </c>
      <c r="W21" s="37">
        <f t="shared" si="5"/>
        <v>0</v>
      </c>
      <c r="X21" s="38">
        <f t="shared" si="4"/>
        <v>0</v>
      </c>
      <c r="Y21" s="38">
        <f t="shared" si="4"/>
        <v>0</v>
      </c>
      <c r="Z21" s="38">
        <f t="shared" si="4"/>
        <v>0</v>
      </c>
      <c r="AA21" s="38">
        <f t="shared" si="4"/>
        <v>0</v>
      </c>
      <c r="AB21" s="38">
        <f t="shared" si="4"/>
        <v>0</v>
      </c>
      <c r="AC21" s="39">
        <f t="shared" si="4"/>
        <v>0</v>
      </c>
      <c r="AD21" s="37">
        <f>+COUNTIFS(манзилли!$AD:$AD,'свод (банк)'!$B21,манзилли!$AB:$AB,"&gt;31.12.2020",манзилли!$AA:$AA,"&gt;31.12.2020",манзилли!$AA:$AA,"&lt;01.01.2023")</f>
        <v>0</v>
      </c>
      <c r="AE21" s="38">
        <f>(+SUMIFS(манзилли!$L:$L,манзилли!$AD:$AD,'свод (банк)'!$B21,манзилли!$AB:$AB,"&gt;31.12.2020",манзилли!$AA:$AA,"&gt;31.12.2020",манзилли!$AA:$AA,"&lt;01.01.2023"))</f>
        <v>0</v>
      </c>
      <c r="AF21" s="38">
        <f>(+SUMIFS(манзилли!$N:$N,манзилли!$AD:$AD,'свод (банк)'!$B21,манзилли!$AB:$AB,"&gt;31.12.2020",манзилли!$AA:$AA,"&gt;31.12.2020",манзилли!$AA:$AA,"&lt;01.01.2023"))</f>
        <v>0</v>
      </c>
      <c r="AG21" s="38">
        <f>(+SUMIFS(манзилли!$R:$R,манзилли!$AD:$AD,'свод (банк)'!$B21,манзилли!$AB:$AB,"&gt;31.12.2020",манзилли!$AA:$AA,"&gt;31.12.2020",манзилли!$AA:$AA,"&lt;01.01.2023"))</f>
        <v>0</v>
      </c>
      <c r="AH21" s="38">
        <f>(+SUMIFS(манзилли!$T:$T,манзилли!$AD:$AD,'свод (банк)'!$B21,манзилли!$AB:$AB,"&gt;31.12.2020",манзилли!$AA:$AA,"&gt;31.12.2020",манзилли!$AA:$AA,"&lt;01.01.2023"))</f>
        <v>0</v>
      </c>
      <c r="AI21" s="38">
        <f>(+SUMIFS(манзилли!$V:$V,манзилли!$AD:$AD,'свод (банк)'!$B21,манзилли!$AB:$AB,"&gt;31.12.2020",манзилли!$AA:$AA,"&gt;31.12.2020",манзилли!$AA:$AA,"&lt;01.01.2023"))</f>
        <v>0</v>
      </c>
      <c r="AJ21" s="39">
        <f>+SUMIFS(манзилли!$Z:$Z,манзилли!$AD:$AD,'свод (банк)'!$B21,манзилли!$AB:$AB,"&gt;31.12.2020",манзилли!$AA:$AA,"&gt;31.12.2020",манзилли!$AA:$AA,"&lt;01.01.2023")</f>
        <v>0</v>
      </c>
      <c r="AK21" s="37">
        <f>+COUNTIFS('Қўшимча ишга тушган'!$AQ:$AQ,'свод (банк)'!B21,'Қўшимча ишга тушган'!$AO:$AO,"&lt;01.10.2023")</f>
        <v>0</v>
      </c>
      <c r="AL21" s="38">
        <f>(+SUMIFS('Қўшимча ишга тушган'!$T:$T,'Қўшимча ишга тушган'!$AQ:$AQ,'свод (банк)'!$B21,'Қўшимча ишга тушган'!$AO:$AO,"&lt;01.10.2023"))</f>
        <v>0</v>
      </c>
      <c r="AM21" s="38">
        <f>(+SUMIFS('Қўшимча ишга тушган'!$V:$V,'Қўшимча ишга тушган'!$AQ:$AQ,'свод (банк)'!$B21,'Қўшимча ишга тушган'!$AO:$AO,"&lt;01.10.2023"))</f>
        <v>0</v>
      </c>
      <c r="AN21" s="38">
        <f>(+SUMIFS('Қўшимча ишга тушган'!$Z:$Z,'Қўшимча ишга тушган'!$AQ:$AQ,'свод (банк)'!$B21,'Қўшимча ишга тушган'!$AO:$AO,"&lt;01.10.2023"))</f>
        <v>0</v>
      </c>
      <c r="AO21" s="38">
        <f>(+SUMIFS('Қўшимча ишга тушган'!$AB:$AB,'Қўшимча ишга тушган'!$AQ:$AQ,'свод (банк)'!$B21,'Қўшимча ишга тушган'!$AO:$AO,"&lt;01.10.2023"))</f>
        <v>0</v>
      </c>
      <c r="AP21" s="38">
        <f>(+SUMIFS('Қўшимча ишга тушган'!$AD:$AD,'Қўшимча ишга тушган'!$AQ:$AQ,'свод (банк)'!$B21,'Қўшимча ишга тушган'!$AO:$AO,"&lt;01.10.2023"))</f>
        <v>0</v>
      </c>
      <c r="AQ21" s="39">
        <f>+SUMIFS('Қўшимча ишга тушган'!$AM:$AM,'Қўшимча ишга тушган'!$AQ:$AQ,'свод (банк)'!$B21,'Қўшимча ишга тушган'!$AO:$AO,"&lt;01.10.2023")</f>
        <v>0</v>
      </c>
      <c r="AR21" s="37">
        <f>+COUNTIFS(манзилли!$AD:$AD,'свод (банк)'!$B21,манзилли!$AA:$AA,"&lt;01.02.2021",манзилли!$AB:$AB,"")</f>
        <v>0</v>
      </c>
      <c r="AS21" s="38">
        <f>(+SUMIFS(манзилли!$K:$K,манзилли!$AD:$AD,'свод (банк)'!$B21,манзилли!$AA:$AA,"&lt;01.02.2021",манзилли!$AB:$AB,""))</f>
        <v>0</v>
      </c>
      <c r="AT21" s="38">
        <f>(+SUMIFS(манзилли!$M:$M,манзилли!$AD:$AD,'свод (банк)'!$B21,манзилли!$AA:$AA,"&lt;01.02.2021",манзилли!$AB:$AB,""))</f>
        <v>0</v>
      </c>
      <c r="AU21" s="38">
        <f>(+SUMIFS(манзилли!$Q:$Q,манзилли!$AD:$AD,'свод (банк)'!$B21,манзилли!$AA:$AA,"&lt;01.02.2021",манзилли!$AB:$AB,""))</f>
        <v>0</v>
      </c>
      <c r="AV21" s="38">
        <f>(+SUMIFS(манзилли!$S:$S,манзилли!$AD:$AD,'свод (банк)'!$B21,манзилли!$AA:$AA,"&lt;01.02.2021",манзилли!$AB:$AB,""))</f>
        <v>0</v>
      </c>
      <c r="AW21" s="38">
        <f>(+SUMIFS(манзилли!$U:$U,манзилли!$AD:$AD,'свод (банк)'!$B21,манзилли!$AA:$AA,"&lt;01.02.2021",манзилли!$AB:$AB,""))</f>
        <v>0</v>
      </c>
      <c r="AX21" s="39">
        <f>+SUMIFS(манзилли!$Y:$Y,манзилли!$AD:$AD,'свод (банк)'!$B21,манзилли!$AA:$AA,"&lt;01.02.2021",манзилли!$AB:$AB,"")</f>
        <v>0</v>
      </c>
      <c r="AY21" s="37">
        <f>+COUNTIFS(манзилли!$AD:$AD,'свод (банк)'!$B21,манзилли!$AA:$AA,"&lt;01.01.2022",манзилли!$AB:$AB,"")</f>
        <v>39</v>
      </c>
      <c r="AZ21" s="38">
        <f>(+SUMIFS(манзилли!$K:$K,манзилли!$AD:$AD,'свод (банк)'!$B21,манзилли!$AA:$AA,"&lt;01.01.2022",манзилли!$AB:$AB,""))</f>
        <v>1827159.5</v>
      </c>
      <c r="BA21" s="38">
        <f>(+SUMIFS(манзилли!$M:$M,манзилли!$AD:$AD,'свод (банк)'!$B21,манзилли!$AA:$AA,"&lt;01.01.2022",манзилли!$AB:$AB,""))</f>
        <v>886334</v>
      </c>
      <c r="BB21" s="38">
        <f>(+SUMIFS(манзилли!$Q:$Q,манзилли!$AD:$AD,'свод (банк)'!$B21,манзилли!$AA:$AA,"&lt;01.01.2022",манзилли!$AB:$AB,""))</f>
        <v>9000</v>
      </c>
      <c r="BC21" s="38">
        <f>(+SUMIFS(манзилли!$S:$S,манзилли!$AD:$AD,'свод (банк)'!$B21,манзилли!$AA:$AA,"&lt;01.01.2022",манзилли!$AB:$AB,""))</f>
        <v>0</v>
      </c>
      <c r="BD21" s="38">
        <f>(+SUMIFS(манзилли!$U:$U,манзилли!$AD:$AD,'свод (банк)'!$B21,манзилли!$AA:$AA,"&lt;01.01.2022",манзилли!$AB:$AB,""))</f>
        <v>90585</v>
      </c>
      <c r="BE21" s="39">
        <f>+SUMIFS(манзилли!$Y:$Y,манзилли!$AD:$AD,'свод (банк)'!$B21,манзилли!$AA:$AA,"&lt;01.01.2022",манзилли!$AB:$AB,"")</f>
        <v>2553</v>
      </c>
      <c r="BF21" s="37">
        <f>+COUNTIFS(манзилли!$AD:$AD,'свод (банк)'!$B21,манзилли!$AA:$AA,"&lt;01.01.2023",манзилли!$AA:$AA,"&gt;=01.01.2022")</f>
        <v>4</v>
      </c>
      <c r="BG21" s="38">
        <f>(+SUMIFS(манзилли!$K:$K,манзилли!$AD:$AD,'свод (банк)'!$B21,манзилли!$AA:$AA,"&lt;01.01.2023",манзилли!$AA:$AA,"&gt;=01.01.2022"))</f>
        <v>136500</v>
      </c>
      <c r="BH21" s="38">
        <f>(+SUMIFS(манзилли!$M:$M,манзилли!$AD:$AD,'свод (банк)'!$B21,манзилли!$AA:$AA,"&lt;01.01.2023",манзилли!$AA:$AA,"&gt;=01.01.2022"))</f>
        <v>23200</v>
      </c>
      <c r="BI21" s="38">
        <f>(+SUMIFS(манзилли!$Q:$Q,манзилли!$AD:$AD,'свод (банк)'!$B21,манзилли!$AA:$AA,"&lt;01.01.2023",манзилли!$AA:$AA,"&gt;=01.01.2022"))</f>
        <v>0</v>
      </c>
      <c r="BJ21" s="38">
        <f>(+SUMIFS(манзилли!$S:$S,манзилли!$AD:$AD,'свод (банк)'!$B21,манзилли!$AA:$AA,"&lt;01.01.2023",манзилли!$AA:$AA,"&gt;=01.01.2022"))</f>
        <v>0</v>
      </c>
      <c r="BK21" s="38">
        <f>(+SUMIFS(манзилли!$U:$U,манзилли!$AD:$AD,'свод (банк)'!$B21,манзилли!$AA:$AA,"&lt;01.01.2023",манзилли!$AA:$AA,"&gt;=01.01.2022"))</f>
        <v>11000</v>
      </c>
      <c r="BL21" s="39">
        <f>+SUMIFS(манзилли!$Y:$Y,манзилли!$AD:$AD,'свод (банк)'!$B21,манзилли!$AA:$AA,"&lt;01.01.2023",манзилли!$AA:$AA,"&gt;=01.01.2022")</f>
        <v>160</v>
      </c>
    </row>
    <row r="22" spans="1:64" s="2" customFormat="1" ht="36" customHeight="1" thickBot="1">
      <c r="A22" s="124" t="s">
        <v>78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6"/>
    </row>
    <row r="23" spans="1:64" s="3" customFormat="1" ht="35.25" customHeight="1">
      <c r="A23" s="20">
        <v>1</v>
      </c>
      <c r="B23" s="21" t="s">
        <v>6</v>
      </c>
      <c r="C23" s="22">
        <f>+COUNTIFS(манзилли!$I:$I,'свод (банк)'!$B23)</f>
        <v>273</v>
      </c>
      <c r="D23" s="23">
        <f>(+SUMIFS(манзилли!$K:$K,манзилли!$I:$I,'свод (банк)'!$B23))</f>
        <v>4903608.2578947358</v>
      </c>
      <c r="E23" s="23">
        <f>(+SUMIFS(манзилли!$M:$M,манзилли!$I:$I,'свод (банк)'!$B23))</f>
        <v>1725533.1578947369</v>
      </c>
      <c r="F23" s="23">
        <f>(+SUMIFS(манзилли!$Q:$Q,манзилли!$I:$I,'свод (банк)'!$B23))</f>
        <v>371430</v>
      </c>
      <c r="G23" s="23">
        <f>(+SUMIFS(манзилли!$S:$S,манзилли!$I:$I,'свод (банк)'!$B23))</f>
        <v>172767</v>
      </c>
      <c r="H23" s="23">
        <f>(+SUMIFS(манзилли!$U:$U,манзилли!$I:$I,'свод (банк)'!$B23))</f>
        <v>101710</v>
      </c>
      <c r="I23" s="24">
        <f>+SUMIFS(манзилли!$Y:$Y,манзилли!$I:$I,'свод (банк)'!$B23)</f>
        <v>11817</v>
      </c>
      <c r="J23" s="22">
        <f>+(COUNTIFS(манзилли!$L:$L,"&gt;0",манзилли!$I:$I,'свод (банк)'!$B23)+COUNTIFS('Қўшимча ишга тушган'!$T:$T,"&gt;0",'Қўшимча ишга тушган'!$I:$I,'свод (банк)'!$B23))</f>
        <v>147</v>
      </c>
      <c r="K23" s="24">
        <f>(+SUMIFS(манзилли!$L:$L,манзилли!$I:$I,'свод (банк)'!$B23)+SUMIFS('Қўшимча ишга тушган'!$T:$T,'Қўшимча ишга тушган'!$I:$I,'свод (банк)'!$B23))</f>
        <v>687460.52000000014</v>
      </c>
      <c r="L23" s="25">
        <f>+(SUMIFS(манзилли!$N:$N,манзилли!$I:$I,'свод (банк)'!$B23)+SUMIFS('Қўшимча ишга тушган'!$V:$V,'Қўшимча ишга тушган'!$I:$I,'свод (банк)'!$B23))</f>
        <v>38096.1</v>
      </c>
      <c r="M23" s="23">
        <f>(+SUMIFS(манзилли!$R:$R,манзилли!$I:$I,'свод (банк)'!$B23)+SUMIFS('Қўшимча ишга тушган'!$Z:$Z,'Қўшимча ишга тушган'!$I:$I,'свод (банк)'!$B23))</f>
        <v>113576.5</v>
      </c>
      <c r="N23" s="23">
        <f>(+SUMIFS(манзилли!$T:$T,манзилли!$I:$I,'свод (банк)'!$B23)+SUMIFS('Қўшимча ишга тушган'!$AB:$AB,'Қўшимча ишга тушган'!$I:$I,'свод (банк)'!$B23))</f>
        <v>52538.600000000006</v>
      </c>
      <c r="O23" s="24">
        <f>(+SUMIFS(манзилли!$V:$V,манзилли!$I:$I,'свод (банк)'!$B23)+SUMIFS('Қўшимча ишга тушган'!$AD:$AD,'Қўшимча ишга тушган'!$I:$I,'свод (банк)'!$B23))</f>
        <v>0</v>
      </c>
      <c r="P23" s="25">
        <f>+COUNTIFS(манзилли!$I:$I,'свод (банк)'!$B23,манзилли!$AA:$AA,"&gt;31.12.2020",манзилли!$AA:$AA,"&lt;01.01.2022")</f>
        <v>192</v>
      </c>
      <c r="Q23" s="23">
        <f>(+SUMIFS(манзилли!$K:$K,манзилли!$I:$I,'свод (банк)'!$B23,манзилли!$AA:$AA,"&gt;31.12.2020",манзилли!$AA:$AA,"&lt;01.01.2022"))</f>
        <v>3996616.7578947372</v>
      </c>
      <c r="R23" s="23">
        <f>(+SUMIFS(манзилли!$M:$M,манзилли!$I:$I,'свод (банк)'!$B23,манзилли!$AA:$AA,"&gt;31.12.2020",манзилли!$AA:$AA,"&lt;01.01.2022"))</f>
        <v>1422133.1578947369</v>
      </c>
      <c r="S23" s="23">
        <f>(+SUMIFS(манзилли!$Q:$Q,манзилли!$I:$I,'свод (банк)'!$B23,манзилли!$AA:$AA,"&gt;31.12.2020",манзилли!$AA:$AA,"&lt;01.01.2022"))</f>
        <v>252968</v>
      </c>
      <c r="T23" s="23">
        <f>(+SUMIFS(манзилли!$S:$S,манзилли!$I:$I,'свод (банк)'!$B23,манзилли!$AA:$AA,"&gt;31.12.2020",манзилли!$AA:$AA,"&lt;01.01.2022"))</f>
        <v>132812</v>
      </c>
      <c r="U23" s="23">
        <f>(+SUMIFS(манзилли!$U:$U,манзилли!$I:$I,'свод (банк)'!$B23,манзилли!$AA:$AA,"&gt;31.12.2020",манзилли!$AA:$AA,"&lt;01.01.2022"))</f>
        <v>95310</v>
      </c>
      <c r="V23" s="24">
        <f>+SUMIFS(манзилли!$Y:$Y,манзилли!$I:$I,'свод (банк)'!$B23,манзилли!$AA:$AA,"&gt;31.12.2020",манзилли!$AA:$AA,"&lt;01.01.2022")</f>
        <v>8687</v>
      </c>
      <c r="W23" s="22">
        <f t="shared" ref="W23:AC25" si="7">+AD23+AK23</f>
        <v>4</v>
      </c>
      <c r="X23" s="23">
        <f t="shared" si="7"/>
        <v>4880</v>
      </c>
      <c r="Y23" s="23">
        <f t="shared" si="7"/>
        <v>3950</v>
      </c>
      <c r="Z23" s="23">
        <f t="shared" si="7"/>
        <v>930</v>
      </c>
      <c r="AA23" s="23">
        <f t="shared" si="7"/>
        <v>0</v>
      </c>
      <c r="AB23" s="23">
        <f t="shared" si="7"/>
        <v>0</v>
      </c>
      <c r="AC23" s="24">
        <f t="shared" si="7"/>
        <v>12</v>
      </c>
      <c r="AD23" s="22">
        <f>+COUNTIFS(манзилли!$I:$I,'свод (банк)'!$B23,манзилли!$AB:$AB,"&gt;31.12.2020",манзилли!$AA:$AA,"&gt;31.12.2020",манзилли!$AA:$AA,"&lt;01.01.2022")</f>
        <v>4</v>
      </c>
      <c r="AE23" s="23">
        <f>(+SUMIFS(манзилли!$L:$L,манзилли!$I:$I,'свод (банк)'!$B23,манзилли!$AB:$AB,"&gt;31.12.2020",манзилли!$AA:$AA,"&gt;31.12.2020",манзилли!$AA:$AA,"&lt;01.01.2022"))</f>
        <v>4880</v>
      </c>
      <c r="AF23" s="23">
        <f>(+SUMIFS(манзилли!$N:$N,манзилли!$I:$I,'свод (банк)'!$B23,манзилли!$AB:$AB,"&gt;31.12.2020",манзилли!$AA:$AA,"&gt;31.12.2020",манзилли!$AA:$AA,"&lt;01.01.2022"))</f>
        <v>3950</v>
      </c>
      <c r="AG23" s="23">
        <f>(+SUMIFS(манзилли!$R:$R,манзилли!$I:$I,'свод (банк)'!$B23,манзилли!$AB:$AB,"&gt;31.12.2020",манзилли!$AA:$AA,"&gt;31.12.2020",манзилли!$AA:$AA,"&lt;01.01.2022"))</f>
        <v>930</v>
      </c>
      <c r="AH23" s="23">
        <f>(+SUMIFS(манзилли!$T:$T,манзилли!$I:$I,'свод (банк)'!$B23,манзилли!$AB:$AB,"&gt;31.12.2020",манзилли!$AA:$AA,"&gt;31.12.2020",манзилли!$AA:$AA,"&lt;01.01.2022"))</f>
        <v>0</v>
      </c>
      <c r="AI23" s="23">
        <f>(+SUMIFS(манзилли!$V:$V,манзилли!$I:$I,'свод (банк)'!$B23,манзилли!$AB:$AB,"&gt;31.12.2020",манзилли!$AA:$AA,"&gt;31.12.2020",манзилли!$AA:$AA,"&lt;01.01.2022"))</f>
        <v>0</v>
      </c>
      <c r="AJ23" s="24">
        <f>+SUMIFS(манзилли!$Z:$Z,манзилли!$I:$I,'свод (банк)'!$B23,манзилли!$AB:$AB,"&gt;31.12.2020",манзилли!$AA:$AA,"&gt;31.12.2020",манзилли!$AA:$AA,"&lt;01.01.2022")</f>
        <v>12</v>
      </c>
      <c r="AK23" s="22">
        <f>+COUNTIFS('Қўшимча ишга тушган'!$I:$I,'свод (банк)'!$B23,'Қўшимча ишга тушган'!$AO:$AO,"&lt;01.10.2023")</f>
        <v>0</v>
      </c>
      <c r="AL23" s="23">
        <f>(+SUMIFS('Қўшимча ишга тушган'!$T:$T,'Қўшимча ишга тушган'!$I:$I,'свод (банк)'!$B23,'Қўшимча ишга тушган'!$AO:$AO,"&lt;01.10.2023"))</f>
        <v>0</v>
      </c>
      <c r="AM23" s="23">
        <f>(+SUMIFS('Қўшимча ишга тушган'!$V:$V,'Қўшимча ишга тушган'!$I:$I,'свод (банк)'!$B23,'Қўшимча ишга тушган'!$AO:$AO,"&lt;01.10.2023"))</f>
        <v>0</v>
      </c>
      <c r="AN23" s="23">
        <f>(+SUMIFS('Қўшимча ишга тушган'!$Z:$Z,'Қўшимча ишга тушган'!$I:$I,'свод (банк)'!$B23,'Қўшимча ишга тушган'!$AO:$AO,"&lt;01.10.2023"))</f>
        <v>0</v>
      </c>
      <c r="AO23" s="23">
        <f>(+SUMIFS('Қўшимча ишга тушган'!$AB:$AB,'Қўшимча ишга тушган'!$I:$I,'свод (банк)'!$B23,'Қўшимча ишга тушган'!$AO:$AO,"&lt;01.10.2023"))</f>
        <v>0</v>
      </c>
      <c r="AP23" s="23">
        <f>(+SUMIFS('Қўшимча ишга тушган'!$AD:$AD,'Қўшимча ишга тушган'!$I:$I,'свод (банк)'!$B23,'Қўшимча ишга тушган'!$AO:$AO,"&lt;01.10.2023"))</f>
        <v>0</v>
      </c>
      <c r="AQ23" s="24">
        <f>+SUMIFS('Қўшимча ишга тушган'!$AM:$AM,'Қўшимча ишга тушган'!$I:$I,'свод (банк)'!$B23,'Қўшимча ишга тушган'!$AO:$AO,"&lt;01.10.2023")</f>
        <v>0</v>
      </c>
      <c r="AR23" s="22">
        <f>+COUNTIFS(манзилли!$I:$I,'свод (банк)'!$B23,манзилли!$AA:$AA,"&lt;01.02.2021",манзилли!$AB:$AB,"")</f>
        <v>0</v>
      </c>
      <c r="AS23" s="23">
        <f>(+SUMIFS(манзилли!$K:$K,манзилли!$I:$I,'свод (банк)'!$B23,манзилли!$AA:$AA,"&lt;01.02.2021",манзилли!$AB:$AB,""))</f>
        <v>0</v>
      </c>
      <c r="AT23" s="23">
        <f>(+SUMIFS(манзилли!$M:$M,манзилли!$I:$I,'свод (банк)'!$B23,манзилли!$AA:$AA,"&lt;01.02.2021",манзилли!$AB:$AB,""))</f>
        <v>0</v>
      </c>
      <c r="AU23" s="23">
        <f>(+SUMIFS(манзилли!$Q:$Q,манзилли!$I:$I,'свод (банк)'!$B23,манзилли!$AA:$AA,"&lt;01.02.2021",манзилли!$AB:$AB,""))</f>
        <v>0</v>
      </c>
      <c r="AV23" s="23">
        <f>(+SUMIFS(манзилли!$S:$S,манзилли!$I:$I,'свод (банк)'!$B23,манзилли!$AA:$AA,"&lt;01.02.2021",манзилли!$AB:$AB,""))</f>
        <v>0</v>
      </c>
      <c r="AW23" s="23">
        <f>(+SUMIFS(манзилли!$U:$U,манзилли!$I:$I,'свод (банк)'!$B23,манзилли!$AA:$AA,"&lt;01.02.2021",манзилли!$AB:$AB,""))</f>
        <v>0</v>
      </c>
      <c r="AX23" s="24">
        <f>+SUMIFS(манзилли!$Y:$Y,манзилли!$I:$I,'свод (банк)'!$B23,манзилли!$AA:$AA,"&lt;01.02.2021",манзилли!$AB:$AB,"")</f>
        <v>0</v>
      </c>
      <c r="AY23" s="22">
        <f>+COUNTIFS(манзилли!$I:$I,'свод (банк)'!$B23,манзилли!$AA:$AA,"&lt;01.01.2022",манзилли!$AB:$AB,"")</f>
        <v>170</v>
      </c>
      <c r="AZ23" s="23">
        <f>(+SUMIFS(манзилли!$K:$K,манзилли!$I:$I,'свод (банк)'!$B23,манзилли!$AA:$AA,"&lt;01.01.2022",манзилли!$AB:$AB,""))</f>
        <v>3962294.9578947369</v>
      </c>
      <c r="BA23" s="23">
        <f>(+SUMIFS(манзилли!$M:$M,манзилли!$I:$I,'свод (банк)'!$B23,манзилли!$AA:$AA,"&lt;01.01.2022",манзилли!$AB:$AB,""))</f>
        <v>1407608.1578947369</v>
      </c>
      <c r="BB23" s="23">
        <f>(+SUMIFS(манзилли!$Q:$Q,манзилли!$I:$I,'свод (банк)'!$B23,манзилли!$AA:$AA,"&lt;01.01.2022",манзилли!$AB:$AB,""))</f>
        <v>237250</v>
      </c>
      <c r="BC23" s="23">
        <f>(+SUMIFS(манзилли!$S:$S,манзилли!$I:$I,'свод (банк)'!$B23,манзилли!$AA:$AA,"&lt;01.01.2022",манзилли!$AB:$AB,""))</f>
        <v>132416</v>
      </c>
      <c r="BD23" s="23">
        <f>(+SUMIFS(манзилли!$U:$U,манзилли!$I:$I,'свод (банк)'!$B23,манзилли!$AA:$AA,"&lt;01.01.2022",манзилли!$AB:$AB,""))</f>
        <v>95310</v>
      </c>
      <c r="BE23" s="24">
        <f>+SUMIFS(манзилли!$Y:$Y,манзилли!$I:$I,'свод (банк)'!$B23,манзилли!$AA:$AA,"&lt;01.01.2022",манзилли!$AB:$AB,"")</f>
        <v>8540</v>
      </c>
      <c r="BF23" s="25">
        <f>+COUNTIFS(манзилли!$I:$I,'свод (банк)'!$B23,манзилли!$AA:$AA,"&lt;01.01.2023",манзилли!$AA:$AA,"&gt;=01.01.2022")</f>
        <v>54</v>
      </c>
      <c r="BG23" s="23">
        <f>(+SUMIFS(манзилли!$K:$K,манзилли!$I:$I,'свод (банк)'!$B23,манзилли!$AA:$AA,"&lt;01.01.2023",манзилли!$AA:$AA,"&gt;=01.01.2022"))</f>
        <v>866347</v>
      </c>
      <c r="BH23" s="23">
        <f>(+SUMIFS(манзилли!$M:$M,манзилли!$I:$I,'свод (банк)'!$B23,манзилли!$AA:$AA,"&lt;01.01.2023",манзилли!$AA:$AA,"&gt;=01.01.2022"))</f>
        <v>289017</v>
      </c>
      <c r="BI23" s="23">
        <f>(+SUMIFS(манзилли!$Q:$Q,манзилли!$I:$I,'свод (банк)'!$B23,манзилли!$AA:$AA,"&lt;01.01.2023",манзилли!$AA:$AA,"&gt;=01.01.2022"))</f>
        <v>102590</v>
      </c>
      <c r="BJ23" s="23">
        <f>(+SUMIFS(манзилли!$S:$S,манзилли!$I:$I,'свод (банк)'!$B23,манзилли!$AA:$AA,"&lt;01.01.2023",манзилли!$AA:$AA,"&gt;=01.01.2022"))</f>
        <v>39890</v>
      </c>
      <c r="BK23" s="23">
        <f>(+SUMIFS(манзилли!$U:$U,манзилли!$I:$I,'свод (банк)'!$B23,манзилли!$AA:$AA,"&lt;01.01.2023",манзилли!$AA:$AA,"&gt;=01.01.2022"))</f>
        <v>6400</v>
      </c>
      <c r="BL23" s="24">
        <f>+SUMIFS(манзилли!$Y:$Y,манзилли!$I:$I,'свод (банк)'!$B23,манзилли!$AA:$AA,"&lt;01.01.2023",манзилли!$AA:$AA,"&gt;=01.01.2022")</f>
        <v>2927</v>
      </c>
    </row>
    <row r="24" spans="1:64" s="3" customFormat="1" ht="35.25" customHeight="1">
      <c r="A24" s="26">
        <v>2</v>
      </c>
      <c r="B24" s="27" t="s">
        <v>9</v>
      </c>
      <c r="C24" s="28">
        <f>+COUNTIFS(манзилли!$I:$I,'свод (банк)'!$B24)</f>
        <v>330</v>
      </c>
      <c r="D24" s="29">
        <f>(+SUMIFS(манзилли!$K:$K,манзилли!$I:$I,'свод (банк)'!$B24))</f>
        <v>1684802.9</v>
      </c>
      <c r="E24" s="29">
        <f>(+SUMIFS(манзилли!$M:$M,манзилли!$I:$I,'свод (банк)'!$B24))</f>
        <v>622703</v>
      </c>
      <c r="F24" s="29">
        <f>(+SUMIFS(манзилли!$Q:$Q,манзилли!$I:$I,'свод (банк)'!$B24))</f>
        <v>596849</v>
      </c>
      <c r="G24" s="29">
        <f>(+SUMIFS(манзилли!$S:$S,манзилли!$I:$I,'свод (банк)'!$B24))</f>
        <v>29788</v>
      </c>
      <c r="H24" s="29">
        <f>(+SUMIFS(манзилли!$U:$U,манзилли!$I:$I,'свод (банк)'!$B24))</f>
        <v>14385</v>
      </c>
      <c r="I24" s="30">
        <f>+SUMIFS(манзилли!$Y:$Y,манзилли!$I:$I,'свод (банк)'!$B24)</f>
        <v>4258</v>
      </c>
      <c r="J24" s="28">
        <f>+(COUNTIFS(манзилли!$L:$L,"&gt;0",манзилли!$I:$I,'свод (банк)'!$B24)+COUNTIFS('Қўшимча ишга тушган'!$T:$T,"&gt;0",'Қўшимча ишга тушган'!$I:$I,'свод (банк)'!$B24))</f>
        <v>213</v>
      </c>
      <c r="K24" s="30">
        <f>(+SUMIFS(манзилли!$L:$L,манзилли!$I:$I,'свод (банк)'!$B24)+SUMIFS('Қўшимча ишга тушган'!$T:$T,'Қўшимча ишга тушган'!$I:$I,'свод (банк)'!$B24))</f>
        <v>314478.99999999994</v>
      </c>
      <c r="L24" s="31">
        <f>+(SUMIFS(манзилли!$N:$N,манзилли!$I:$I,'свод (банк)'!$B24)+SUMIFS('Қўшимча ишга тушган'!$V:$V,'Қўшимча ишга тушган'!$I:$I,'свод (банк)'!$B24))</f>
        <v>33894.300000000003</v>
      </c>
      <c r="M24" s="29">
        <f>(+SUMIFS(манзилли!$R:$R,манзилли!$I:$I,'свод (банк)'!$B24)+SUMIFS('Қўшимча ишга тушган'!$Z:$Z,'Қўшимча ишга тушган'!$I:$I,'свод (банк)'!$B24))</f>
        <v>229429.7</v>
      </c>
      <c r="N24" s="29">
        <f>(+SUMIFS(манзилли!$T:$T,манзилли!$I:$I,'свод (банк)'!$B24)+SUMIFS('Қўшимча ишга тушган'!$AB:$AB,'Қўшимча ишга тушган'!$I:$I,'свод (банк)'!$B24))</f>
        <v>5035</v>
      </c>
      <c r="O24" s="30">
        <f>(+SUMIFS(манзилли!$V:$V,манзилли!$I:$I,'свод (банк)'!$B24)+SUMIFS('Қўшимча ишга тушган'!$AD:$AD,'Қўшимча ишга тушган'!$I:$I,'свод (банк)'!$B24))</f>
        <v>0</v>
      </c>
      <c r="P24" s="31">
        <f>+COUNTIFS(манзилли!$I:$I,'свод (банк)'!$B24,манзилли!$AA:$AA,"&gt;31.12.2020",манзилли!$AA:$AA,"&lt;01.01.2022")</f>
        <v>247</v>
      </c>
      <c r="Q24" s="29">
        <f>(+SUMIFS(манзилли!$K:$K,манзилли!$I:$I,'свод (банк)'!$B24,манзилли!$AA:$AA,"&gt;31.12.2020",манзилли!$AA:$AA,"&lt;01.01.2022"))</f>
        <v>1362744.1</v>
      </c>
      <c r="R24" s="29">
        <f>(+SUMIFS(манзилли!$M:$M,манзилли!$I:$I,'свод (банк)'!$B24,манзилли!$AA:$AA,"&gt;31.12.2020",манзилли!$AA:$AA,"&lt;01.01.2022"))</f>
        <v>519733</v>
      </c>
      <c r="S24" s="29">
        <f>(+SUMIFS(манзилли!$Q:$Q,манзилли!$I:$I,'свод (банк)'!$B24,манзилли!$AA:$AA,"&gt;31.12.2020",манзилли!$AA:$AA,"&lt;01.01.2022"))</f>
        <v>434862</v>
      </c>
      <c r="T24" s="29">
        <f>(+SUMIFS(манзилли!$S:$S,манзилли!$I:$I,'свод (банк)'!$B24,манзилли!$AA:$AA,"&gt;31.12.2020",манзилли!$AA:$AA,"&lt;01.01.2022"))</f>
        <v>25802</v>
      </c>
      <c r="U24" s="29">
        <f>(+SUMIFS(манзилли!$U:$U,манзилли!$I:$I,'свод (банк)'!$B24,манзилли!$AA:$AA,"&gt;31.12.2020",манзилли!$AA:$AA,"&lt;01.01.2022"))</f>
        <v>12885</v>
      </c>
      <c r="V24" s="30">
        <f>+SUMIFS(манзилли!$Y:$Y,манзилли!$I:$I,'свод (банк)'!$B24,манзилли!$AA:$AA,"&gt;31.12.2020",манзилли!$AA:$AA,"&lt;01.01.2022")</f>
        <v>3260</v>
      </c>
      <c r="W24" s="28">
        <f t="shared" si="7"/>
        <v>11</v>
      </c>
      <c r="X24" s="29">
        <f t="shared" si="7"/>
        <v>11005</v>
      </c>
      <c r="Y24" s="29">
        <f t="shared" si="7"/>
        <v>5520</v>
      </c>
      <c r="Z24" s="29">
        <f t="shared" si="7"/>
        <v>4465</v>
      </c>
      <c r="AA24" s="29">
        <f t="shared" si="7"/>
        <v>100</v>
      </c>
      <c r="AB24" s="29">
        <f t="shared" si="7"/>
        <v>0</v>
      </c>
      <c r="AC24" s="30">
        <f t="shared" si="7"/>
        <v>52</v>
      </c>
      <c r="AD24" s="28">
        <f>+COUNTIFS(манзилли!$I:$I,'свод (банк)'!$B24,манзилли!$AB:$AB,"&gt;31.12.2020",манзилли!$AA:$AA,"&gt;31.12.2020",манзилли!$AA:$AA,"&lt;01.01.2022")</f>
        <v>11</v>
      </c>
      <c r="AE24" s="29">
        <f>(+SUMIFS(манзилли!$L:$L,манзилли!$I:$I,'свод (банк)'!$B24,манзилли!$AB:$AB,"&gt;31.12.2020",манзилли!$AA:$AA,"&gt;31.12.2020",манзилли!$AA:$AA,"&lt;01.01.2022"))</f>
        <v>11005</v>
      </c>
      <c r="AF24" s="29">
        <f>(+SUMIFS(манзилли!$N:$N,манзилли!$I:$I,'свод (банк)'!$B24,манзилли!$AB:$AB,"&gt;31.12.2020",манзилли!$AA:$AA,"&gt;31.12.2020",манзилли!$AA:$AA,"&lt;01.01.2022"))</f>
        <v>5520</v>
      </c>
      <c r="AG24" s="29">
        <f>(+SUMIFS(манзилли!$R:$R,манзилли!$I:$I,'свод (банк)'!$B24,манзилли!$AB:$AB,"&gt;31.12.2020",манзилли!$AA:$AA,"&gt;31.12.2020",манзилли!$AA:$AA,"&lt;01.01.2022"))</f>
        <v>4465</v>
      </c>
      <c r="AH24" s="29">
        <f>(+SUMIFS(манзилли!$T:$T,манзилли!$I:$I,'свод (банк)'!$B24,манзилли!$AB:$AB,"&gt;31.12.2020",манзилли!$AA:$AA,"&gt;31.12.2020",манзилли!$AA:$AA,"&lt;01.01.2022"))</f>
        <v>100</v>
      </c>
      <c r="AI24" s="29">
        <f>(+SUMIFS(манзилли!$V:$V,манзилли!$I:$I,'свод (банк)'!$B24,манзилли!$AB:$AB,"&gt;31.12.2020",манзилли!$AA:$AA,"&gt;31.12.2020",манзилли!$AA:$AA,"&lt;01.01.2022"))</f>
        <v>0</v>
      </c>
      <c r="AJ24" s="30">
        <f>+SUMIFS(манзилли!$Z:$Z,манзилли!$I:$I,'свод (банк)'!$B24,манзилли!$AB:$AB,"&gt;31.12.2020",манзилли!$AA:$AA,"&gt;31.12.2020",манзилли!$AA:$AA,"&lt;01.01.2022")</f>
        <v>52</v>
      </c>
      <c r="AK24" s="28">
        <f>+COUNTIFS('Қўшимча ишга тушган'!$I:$I,'свод (банк)'!$B24,'Қўшимча ишга тушган'!$AO:$AO,"&lt;01.10.2023")</f>
        <v>0</v>
      </c>
      <c r="AL24" s="29">
        <f>(+SUMIFS('Қўшимча ишга тушган'!$T:$T,'Қўшимча ишга тушган'!$I:$I,'свод (банк)'!$B24,'Қўшимча ишга тушган'!$AO:$AO,"&lt;01.10.2023"))</f>
        <v>0</v>
      </c>
      <c r="AM24" s="29">
        <f>(+SUMIFS('Қўшимча ишга тушган'!$V:$V,'Қўшимча ишга тушган'!$I:$I,'свод (банк)'!$B24,'Қўшимча ишга тушган'!$AO:$AO,"&lt;01.10.2023"))</f>
        <v>0</v>
      </c>
      <c r="AN24" s="29">
        <f>(+SUMIFS('Қўшимча ишга тушган'!$Z:$Z,'Қўшимча ишга тушган'!$I:$I,'свод (банк)'!$B24,'Қўшимча ишга тушган'!$AO:$AO,"&lt;01.10.2023"))</f>
        <v>0</v>
      </c>
      <c r="AO24" s="29">
        <f>(+SUMIFS('Қўшимча ишга тушган'!$AB:$AB,'Қўшимча ишга тушган'!$I:$I,'свод (банк)'!$B24,'Қўшимча ишга тушган'!$AO:$AO,"&lt;01.10.2023"))</f>
        <v>0</v>
      </c>
      <c r="AP24" s="29">
        <f>(+SUMIFS('Қўшимча ишга тушган'!$AD:$AD,'Қўшимча ишга тушган'!$I:$I,'свод (банк)'!$B24,'Қўшимча ишга тушган'!$AO:$AO,"&lt;01.10.2023"))</f>
        <v>0</v>
      </c>
      <c r="AQ24" s="30">
        <f>+SUMIFS('Қўшимча ишга тушган'!$AM:$AM,'Қўшимча ишга тушган'!$I:$I,'свод (банк)'!$B24,'Қўшимча ишга тушган'!$AO:$AO,"&lt;01.10.2023")</f>
        <v>0</v>
      </c>
      <c r="AR24" s="28">
        <f>+COUNTIFS(манзилли!$I:$I,'свод (банк)'!$B24,манзилли!$AA:$AA,"&lt;01.02.2021",манзилли!$AB:$AB,"")</f>
        <v>0</v>
      </c>
      <c r="AS24" s="29">
        <f>(+SUMIFS(манзилли!$K:$K,манзилли!$I:$I,'свод (банк)'!$B24,манзилли!$AA:$AA,"&lt;01.02.2021",манзилли!$AB:$AB,""))</f>
        <v>0</v>
      </c>
      <c r="AT24" s="29">
        <f>(+SUMIFS(манзилли!$M:$M,манзилли!$I:$I,'свод (банк)'!$B24,манзилли!$AA:$AA,"&lt;01.02.2021",манзилли!$AB:$AB,""))</f>
        <v>0</v>
      </c>
      <c r="AU24" s="29">
        <f>(+SUMIFS(манзилли!$Q:$Q,манзилли!$I:$I,'свод (банк)'!$B24,манзилли!$AA:$AA,"&lt;01.02.2021",манзилли!$AB:$AB,""))</f>
        <v>0</v>
      </c>
      <c r="AV24" s="29">
        <f>(+SUMIFS(манзилли!$S:$S,манзилли!$I:$I,'свод (банк)'!$B24,манзилли!$AA:$AA,"&lt;01.02.2021",манзилли!$AB:$AB,""))</f>
        <v>0</v>
      </c>
      <c r="AW24" s="29">
        <f>(+SUMIFS(манзилли!$U:$U,манзилли!$I:$I,'свод (банк)'!$B24,манзилли!$AA:$AA,"&lt;01.02.2021",манзилли!$AB:$AB,""))</f>
        <v>0</v>
      </c>
      <c r="AX24" s="30">
        <f>+SUMIFS(манзилли!$Y:$Y,манзилли!$I:$I,'свод (банк)'!$B24,манзилли!$AA:$AA,"&lt;01.02.2021",манзилли!$AB:$AB,"")</f>
        <v>0</v>
      </c>
      <c r="AY24" s="28">
        <f>+COUNTIFS(манзилли!$I:$I,'свод (банк)'!$B24,манзилли!$AA:$AA,"&lt;01.01.2022",манзилли!$AB:$AB,"")</f>
        <v>223</v>
      </c>
      <c r="AZ24" s="29">
        <f>(+SUMIFS(манзилли!$K:$K,манзилли!$I:$I,'свод (банк)'!$B24,манзилли!$AA:$AA,"&lt;01.01.2022",манзилли!$AB:$AB,""))</f>
        <v>1328421.1000000001</v>
      </c>
      <c r="BA24" s="29">
        <f>(+SUMIFS(манзилли!$M:$M,манзилли!$I:$I,'свод (банк)'!$B24,манзилли!$AA:$AA,"&lt;01.01.2022",манзилли!$AB:$AB,""))</f>
        <v>508783</v>
      </c>
      <c r="BB24" s="29">
        <f>(+SUMIFS(манзилли!$Q:$Q,манзилли!$I:$I,'свод (банк)'!$B24,манзилли!$AA:$AA,"&lt;01.01.2022",манзилли!$AB:$AB,""))</f>
        <v>414296</v>
      </c>
      <c r="BC24" s="29">
        <f>(+SUMIFS(манзилли!$S:$S,манзилли!$I:$I,'свод (банк)'!$B24,манзилли!$AA:$AA,"&lt;01.01.2022",манзилли!$AB:$AB,""))</f>
        <v>25612</v>
      </c>
      <c r="BD24" s="29">
        <f>(+SUMIFS(манзилли!$U:$U,манзилли!$I:$I,'свод (банк)'!$B24,манзилли!$AA:$AA,"&lt;01.01.2022",манзилли!$AB:$AB,""))</f>
        <v>12885</v>
      </c>
      <c r="BE24" s="30">
        <f>+SUMIFS(манзилли!$Y:$Y,манзилли!$I:$I,'свод (банк)'!$B24,манзилли!$AA:$AA,"&lt;01.01.2022",манзилли!$AB:$AB,"")</f>
        <v>3113</v>
      </c>
      <c r="BF24" s="31">
        <f>+COUNTIFS(манзилли!$I:$I,'свод (банк)'!$B24,манзилли!$AA:$AA,"&lt;01.01.2023",манзилли!$AA:$AA,"&gt;=01.01.2022")</f>
        <v>36</v>
      </c>
      <c r="BG24" s="29">
        <f>(+SUMIFS(манзилли!$K:$K,манзилли!$I:$I,'свод (банк)'!$B24,манзилли!$AA:$AA,"&lt;01.01.2023",манзилли!$AA:$AA,"&gt;=01.01.2022"))</f>
        <v>260802.8</v>
      </c>
      <c r="BH24" s="29">
        <f>(+SUMIFS(манзилли!$M:$M,манзилли!$I:$I,'свод (банк)'!$B24,манзилли!$AA:$AA,"&lt;01.01.2023",манзилли!$AA:$AA,"&gt;=01.01.2022"))</f>
        <v>81410</v>
      </c>
      <c r="BI24" s="29">
        <f>(+SUMIFS(манзилли!$Q:$Q,манзилли!$I:$I,'свод (банк)'!$B24,манзилли!$AA:$AA,"&lt;01.01.2023",манзилли!$AA:$AA,"&gt;=01.01.2022"))</f>
        <v>124150</v>
      </c>
      <c r="BJ24" s="29">
        <f>(+SUMIFS(манзилли!$S:$S,манзилли!$I:$I,'свод (банк)'!$B24,манзилли!$AA:$AA,"&lt;01.01.2023",манзилли!$AA:$AA,"&gt;=01.01.2022"))</f>
        <v>3856</v>
      </c>
      <c r="BK24" s="29">
        <f>(+SUMIFS(манзилли!$U:$U,манзилли!$I:$I,'свод (банк)'!$B24,манзилли!$AA:$AA,"&lt;01.01.2023",манзилли!$AA:$AA,"&gt;=01.01.2022"))</f>
        <v>1500</v>
      </c>
      <c r="BL24" s="30">
        <f>+SUMIFS(манзилли!$Y:$Y,манзилли!$I:$I,'свод (банк)'!$B24,манзилли!$AA:$AA,"&lt;01.01.2023",манзилли!$AA:$AA,"&gt;=01.01.2022")</f>
        <v>750</v>
      </c>
    </row>
    <row r="25" spans="1:64" s="3" customFormat="1" ht="35.25" customHeight="1" thickBot="1">
      <c r="A25" s="35">
        <v>3</v>
      </c>
      <c r="B25" s="36" t="s">
        <v>10</v>
      </c>
      <c r="C25" s="37">
        <f>+COUNTIFS(манзилли!$I:$I,'свод (банк)'!$B25)</f>
        <v>365</v>
      </c>
      <c r="D25" s="38">
        <f>(+SUMIFS(манзилли!$K:$K,манзилли!$I:$I,'свод (банк)'!$B25))</f>
        <v>1977424.0937999999</v>
      </c>
      <c r="E25" s="38">
        <f>(+SUMIFS(манзилли!$M:$M,манзилли!$I:$I,'свод (банк)'!$B25))</f>
        <v>946169.78114000009</v>
      </c>
      <c r="F25" s="38">
        <f>(+SUMIFS(манзилли!$Q:$Q,манзилли!$I:$I,'свод (банк)'!$B25))</f>
        <v>662828.51266000001</v>
      </c>
      <c r="G25" s="38">
        <f>(+SUMIFS(манзилли!$S:$S,манзилли!$I:$I,'свод (банк)'!$B25))</f>
        <v>11766</v>
      </c>
      <c r="H25" s="38">
        <f>(+SUMIFS(манзилли!$U:$U,манзилли!$I:$I,'свод (банк)'!$B25))</f>
        <v>23300</v>
      </c>
      <c r="I25" s="39">
        <f>+SUMIFS(манзилли!$Y:$Y,манзилли!$I:$I,'свод (банк)'!$B25)</f>
        <v>4157</v>
      </c>
      <c r="J25" s="58">
        <f>+(COUNTIFS(манзилли!$L:$L,"&gt;0",манзилли!$I:$I,'свод (банк)'!$B25)+COUNTIFS('Қўшимча ишга тушган'!$T:$T,"&gt;0",'Қўшимча ишга тушган'!$I:$I,'свод (банк)'!$B25))</f>
        <v>230</v>
      </c>
      <c r="K25" s="63">
        <f>(+SUMIFS(манзилли!$L:$L,манзилли!$I:$I,'свод (банк)'!$B25)+SUMIFS('Қўшимча ишга тушган'!$T:$T,'Қўшимча ишга тушган'!$I:$I,'свод (банк)'!$B25))</f>
        <v>526154.76</v>
      </c>
      <c r="L25" s="62">
        <f>+(SUMIFS(манзилли!$N:$N,манзилли!$I:$I,'свод (банк)'!$B25)+SUMIFS('Қўшимча ишга тушган'!$V:$V,'Қўшимча ишга тушган'!$I:$I,'свод (банк)'!$B25))</f>
        <v>237292.79999999999</v>
      </c>
      <c r="M25" s="59">
        <f>(+SUMIFS(манзилли!$R:$R,манзилли!$I:$I,'свод (банк)'!$B25)+SUMIFS('Қўшимча ишга тушган'!$Z:$Z,'Қўшимча ишга тушган'!$I:$I,'свод (банк)'!$B25))</f>
        <v>230959.8</v>
      </c>
      <c r="N25" s="59">
        <f>(+SUMIFS(манзилли!$T:$T,манзилли!$I:$I,'свод (банк)'!$B25)+SUMIFS('Қўшимча ишга тушган'!$AB:$AB,'Қўшимча ишга тушган'!$I:$I,'свод (банк)'!$B25))</f>
        <v>5670.8</v>
      </c>
      <c r="O25" s="63">
        <f>(+SUMIFS(манзилли!$V:$V,манзилли!$I:$I,'свод (банк)'!$B25)+SUMIFS('Қўшимча ишга тушган'!$AD:$AD,'Қўшимча ишга тушган'!$I:$I,'свод (банк)'!$B25))</f>
        <v>0</v>
      </c>
      <c r="P25" s="40">
        <f>+COUNTIFS(манзилли!$I:$I,'свод (банк)'!$B25,манзилли!$AA:$AA,"&gt;31.12.2020",манзилли!$AA:$AA,"&lt;01.01.2022")</f>
        <v>260</v>
      </c>
      <c r="Q25" s="38">
        <f>(+SUMIFS(манзилли!$K:$K,манзилли!$I:$I,'свод (банк)'!$B25,манзилли!$AA:$AA,"&gt;31.12.2020",манзилли!$AA:$AA,"&lt;01.01.2022"))</f>
        <v>1227667.0937999999</v>
      </c>
      <c r="R25" s="38">
        <f>(+SUMIFS(манзилли!$M:$M,манзилли!$I:$I,'свод (банк)'!$B25,манзилли!$AA:$AA,"&gt;31.12.2020",манзилли!$AA:$AA,"&lt;01.01.2022"))</f>
        <v>687529.78114000009</v>
      </c>
      <c r="S25" s="38">
        <f>(+SUMIFS(манзилли!$Q:$Q,манзилли!$I:$I,'свод (банк)'!$B25,манзилли!$AA:$AA,"&gt;31.12.2020",манзилли!$AA:$AA,"&lt;01.01.2022"))</f>
        <v>373424.51266000001</v>
      </c>
      <c r="T25" s="38">
        <f>(+SUMIFS(манзилли!$S:$S,манзилли!$I:$I,'свод (банк)'!$B25,манзилли!$AA:$AA,"&gt;31.12.2020",манзилли!$AA:$AA,"&lt;01.01.2022"))</f>
        <v>5376</v>
      </c>
      <c r="U25" s="38">
        <f>(+SUMIFS(манзилли!$U:$U,манзилли!$I:$I,'свод (банк)'!$B25,манзилли!$AA:$AA,"&gt;31.12.2020",манзилли!$AA:$AA,"&lt;01.01.2022"))</f>
        <v>9800</v>
      </c>
      <c r="V25" s="39">
        <f>+SUMIFS(манзилли!$Y:$Y,манзилли!$I:$I,'свод (банк)'!$B25,манзилли!$AA:$AA,"&gt;31.12.2020",манзилли!$AA:$AA,"&lt;01.01.2022")</f>
        <v>3007</v>
      </c>
      <c r="W25" s="37">
        <f t="shared" si="7"/>
        <v>24</v>
      </c>
      <c r="X25" s="38">
        <f t="shared" si="7"/>
        <v>58284.5</v>
      </c>
      <c r="Y25" s="38">
        <f t="shared" si="7"/>
        <v>35991</v>
      </c>
      <c r="Z25" s="38">
        <f t="shared" si="7"/>
        <v>21779</v>
      </c>
      <c r="AA25" s="38">
        <f t="shared" si="7"/>
        <v>49</v>
      </c>
      <c r="AB25" s="38">
        <f t="shared" si="7"/>
        <v>0</v>
      </c>
      <c r="AC25" s="39">
        <f t="shared" si="7"/>
        <v>193</v>
      </c>
      <c r="AD25" s="37">
        <f>+COUNTIFS(манзилли!$I:$I,'свод (банк)'!$B25,манзилли!$AB:$AB,"&gt;31.12.2020",манзилли!$AA:$AA,"&gt;31.12.2020",манзилли!$AA:$AA,"&lt;01.01.2022")</f>
        <v>24</v>
      </c>
      <c r="AE25" s="38">
        <f>(+SUMIFS(манзилли!$L:$L,манзилли!$I:$I,'свод (банк)'!$B25,манзилли!$AB:$AB,"&gt;31.12.2020",манзилли!$AA:$AA,"&gt;31.12.2020",манзилли!$AA:$AA,"&lt;01.01.2022"))</f>
        <v>58284.5</v>
      </c>
      <c r="AF25" s="38">
        <f>(+SUMIFS(манзилли!$N:$N,манзилли!$I:$I,'свод (банк)'!$B25,манзилли!$AB:$AB,"&gt;31.12.2020",манзилли!$AA:$AA,"&gt;31.12.2020",манзилли!$AA:$AA,"&lt;01.01.2022"))</f>
        <v>35991</v>
      </c>
      <c r="AG25" s="38">
        <f>(+SUMIFS(манзилли!$R:$R,манзилли!$I:$I,'свод (банк)'!$B25,манзилли!$AB:$AB,"&gt;31.12.2020",манзилли!$AA:$AA,"&gt;31.12.2020",манзилли!$AA:$AA,"&lt;01.01.2022"))</f>
        <v>21779</v>
      </c>
      <c r="AH25" s="38">
        <f>(+SUMIFS(манзилли!$T:$T,манзилли!$I:$I,'свод (банк)'!$B25,манзилли!$AB:$AB,"&gt;31.12.2020",манзилли!$AA:$AA,"&gt;31.12.2020",манзилли!$AA:$AA,"&lt;01.01.2022"))</f>
        <v>49</v>
      </c>
      <c r="AI25" s="38">
        <f>(+SUMIFS(манзилли!$V:$V,манзилли!$I:$I,'свод (банк)'!$B25,манзилли!$AB:$AB,"&gt;31.12.2020",манзилли!$AA:$AA,"&gt;31.12.2020",манзилли!$AA:$AA,"&lt;01.01.2022"))</f>
        <v>0</v>
      </c>
      <c r="AJ25" s="39">
        <f>+SUMIFS(манзилли!$Z:$Z,манзилли!$I:$I,'свод (банк)'!$B25,манзилли!$AB:$AB,"&gt;31.12.2020",манзилли!$AA:$AA,"&gt;31.12.2020",манзилли!$AA:$AA,"&lt;01.01.2022")</f>
        <v>193</v>
      </c>
      <c r="AK25" s="37">
        <f>+COUNTIFS('Қўшимча ишга тушган'!$I:$I,'свод (банк)'!$B25,'Қўшимча ишга тушган'!$AO:$AO,"&lt;01.10.2023")</f>
        <v>0</v>
      </c>
      <c r="AL25" s="38">
        <f>(+SUMIFS('Қўшимча ишга тушган'!$T:$T,'Қўшимча ишга тушган'!$I:$I,'свод (банк)'!$B25,'Қўшимча ишга тушган'!$AO:$AO,"&lt;01.10.2023"))</f>
        <v>0</v>
      </c>
      <c r="AM25" s="38">
        <f>(+SUMIFS('Қўшимча ишга тушган'!$V:$V,'Қўшимча ишга тушган'!$I:$I,'свод (банк)'!$B25,'Қўшимча ишга тушган'!$AO:$AO,"&lt;01.10.2023"))</f>
        <v>0</v>
      </c>
      <c r="AN25" s="38">
        <f>(+SUMIFS('Қўшимча ишга тушган'!$Z:$Z,'Қўшимча ишга тушган'!$I:$I,'свод (банк)'!$B25,'Қўшимча ишга тушган'!$AO:$AO,"&lt;01.10.2023"))</f>
        <v>0</v>
      </c>
      <c r="AO25" s="38">
        <f>(+SUMIFS('Қўшимча ишга тушган'!$AB:$AB,'Қўшимча ишга тушган'!$I:$I,'свод (банк)'!$B25,'Қўшимча ишга тушган'!$AO:$AO,"&lt;01.10.2023"))</f>
        <v>0</v>
      </c>
      <c r="AP25" s="38">
        <f>(+SUMIFS('Қўшимча ишга тушган'!$AD:$AD,'Қўшимча ишга тушган'!$I:$I,'свод (банк)'!$B25,'Қўшимча ишга тушган'!$AO:$AO,"&lt;01.10.2023"))</f>
        <v>0</v>
      </c>
      <c r="AQ25" s="39">
        <f>+SUMIFS('Қўшимча ишга тушган'!$AM:$AM,'Қўшимча ишга тушган'!$I:$I,'свод (банк)'!$B25,'Қўшимча ишга тушган'!$AO:$AO,"&lt;01.10.2023")</f>
        <v>0</v>
      </c>
      <c r="AR25" s="37">
        <f>+COUNTIFS(манзилли!$I:$I,'свод (банк)'!$B25,манзилли!$AA:$AA,"&lt;01.02.2021",манзилли!$AB:$AB,"")</f>
        <v>0</v>
      </c>
      <c r="AS25" s="38">
        <f>(+SUMIFS(манзилли!$K:$K,манзилли!$I:$I,'свод (банк)'!$B25,манзилли!$AA:$AA,"&lt;01.02.2021",манзилли!$AB:$AB,""))</f>
        <v>0</v>
      </c>
      <c r="AT25" s="38">
        <f>(+SUMIFS(манзилли!$M:$M,манзилли!$I:$I,'свод (банк)'!$B25,манзилли!$AA:$AA,"&lt;01.02.2021",манзилли!$AB:$AB,""))</f>
        <v>0</v>
      </c>
      <c r="AU25" s="38">
        <f>(+SUMIFS(манзилли!$Q:$Q,манзилли!$I:$I,'свод (банк)'!$B25,манзилли!$AA:$AA,"&lt;01.02.2021",манзилли!$AB:$AB,""))</f>
        <v>0</v>
      </c>
      <c r="AV25" s="38">
        <f>(+SUMIFS(манзилли!$S:$S,манзилли!$I:$I,'свод (банк)'!$B25,манзилли!$AA:$AA,"&lt;01.02.2021",манзилли!$AB:$AB,""))</f>
        <v>0</v>
      </c>
      <c r="AW25" s="38">
        <f>(+SUMIFS(манзилли!$U:$U,манзилли!$I:$I,'свод (банк)'!$B25,манзилли!$AA:$AA,"&lt;01.02.2021",манзилли!$AB:$AB,""))</f>
        <v>0</v>
      </c>
      <c r="AX25" s="39">
        <f>+SUMIFS(манзилли!$Y:$Y,манзилли!$I:$I,'свод (банк)'!$B25,манзилли!$AA:$AA,"&lt;01.02.2021",манзилли!$AB:$AB,"")</f>
        <v>0</v>
      </c>
      <c r="AY25" s="37">
        <f>+COUNTIFS(манзилли!$I:$I,'свод (банк)'!$B25,манзилли!$AA:$AA,"&lt;01.01.2022",манзилли!$AB:$AB,"")</f>
        <v>212</v>
      </c>
      <c r="AZ25" s="38">
        <f>(+SUMIFS(манзилли!$K:$K,манзилли!$I:$I,'свод (банк)'!$B25,манзилли!$AA:$AA,"&lt;01.01.2022",манзилли!$AB:$AB,""))</f>
        <v>1001285.1037999999</v>
      </c>
      <c r="BA25" s="38">
        <f>(+SUMIFS(манзилли!$M:$M,манзилли!$I:$I,'свод (банк)'!$B25,манзилли!$AA:$AA,"&lt;01.01.2022",манзилли!$AB:$AB,""))</f>
        <v>525713.49114000006</v>
      </c>
      <c r="BB25" s="38">
        <f>(+SUMIFS(манзилли!$Q:$Q,манзилли!$I:$I,'свод (банк)'!$B25,манзилли!$AA:$AA,"&lt;01.01.2022",манзилли!$AB:$AB,""))</f>
        <v>309373.81266</v>
      </c>
      <c r="BC25" s="38">
        <f>(+SUMIFS(манзилли!$S:$S,манзилли!$I:$I,'свод (банк)'!$B25,манзилли!$AA:$AA,"&lt;01.01.2022",манзилли!$AB:$AB,""))</f>
        <v>5326</v>
      </c>
      <c r="BD25" s="38">
        <f>(+SUMIFS(манзилли!$U:$U,манзилли!$I:$I,'свод (банк)'!$B25,манзилли!$AA:$AA,"&lt;01.01.2022",манзилли!$AB:$AB,""))</f>
        <v>9800</v>
      </c>
      <c r="BE25" s="39">
        <f>+SUMIFS(манзилли!$Y:$Y,манзилли!$I:$I,'свод (банк)'!$B25,манзилли!$AA:$AA,"&lt;01.01.2022",манзилли!$AB:$AB,"")</f>
        <v>2464</v>
      </c>
      <c r="BF25" s="40">
        <f>+COUNTIFS(манзилли!$I:$I,'свод (банк)'!$B25,манзилли!$AA:$AA,"&lt;01.01.2023",манзилли!$AA:$AA,"&gt;=01.01.2022")</f>
        <v>41</v>
      </c>
      <c r="BG25" s="38">
        <f>(+SUMIFS(манзилли!$K:$K,манзилли!$I:$I,'свод (банк)'!$B25,манзилли!$AA:$AA,"&lt;01.01.2023",манзилли!$AA:$AA,"&gt;=01.01.2022"))</f>
        <v>643046</v>
      </c>
      <c r="BH25" s="38">
        <f>(+SUMIFS(манзилли!$M:$M,манзилли!$I:$I,'свод (банк)'!$B25,манзилли!$AA:$AA,"&lt;01.01.2023",манзилли!$AA:$AA,"&gt;=01.01.2022"))</f>
        <v>196600</v>
      </c>
      <c r="BI25" s="38">
        <f>(+SUMIFS(манзилли!$Q:$Q,манзилли!$I:$I,'свод (банк)'!$B25,манзилли!$AA:$AA,"&lt;01.01.2023",манзилли!$AA:$AA,"&gt;=01.01.2022"))</f>
        <v>248160</v>
      </c>
      <c r="BJ25" s="38">
        <f>(+SUMIFS(манзилли!$S:$S,манзилли!$I:$I,'свод (банк)'!$B25,манзилли!$AA:$AA,"&lt;01.01.2023",манзилли!$AA:$AA,"&gt;=01.01.2022"))</f>
        <v>6200</v>
      </c>
      <c r="BK25" s="38">
        <f>(+SUMIFS(манзилли!$U:$U,манзилли!$I:$I,'свод (банк)'!$B25,манзилли!$AA:$AA,"&lt;01.01.2023",манзилли!$AA:$AA,"&gt;=01.01.2022"))</f>
        <v>13500</v>
      </c>
      <c r="BL25" s="39">
        <f>+SUMIFS(манзилли!$Y:$Y,манзилли!$I:$I,'свод (банк)'!$B25,манзилли!$AA:$AA,"&lt;01.01.2023",манзилли!$AA:$AA,"&gt;=01.01.2022")</f>
        <v>811</v>
      </c>
    </row>
    <row r="26" spans="1:64" s="2" customFormat="1" ht="45.75" customHeight="1" thickBot="1">
      <c r="A26" s="135" t="s">
        <v>77</v>
      </c>
      <c r="B26" s="136"/>
      <c r="C26" s="42">
        <f>+SUM(C23:C25)</f>
        <v>968</v>
      </c>
      <c r="D26" s="43">
        <f t="shared" ref="D26:BE26" si="8">+SUM(D23:D25)</f>
        <v>8565835.2516947351</v>
      </c>
      <c r="E26" s="43">
        <f t="shared" si="8"/>
        <v>3294405.9390347372</v>
      </c>
      <c r="F26" s="43">
        <f t="shared" si="8"/>
        <v>1631107.51266</v>
      </c>
      <c r="G26" s="43">
        <f t="shared" si="8"/>
        <v>214321</v>
      </c>
      <c r="H26" s="43">
        <f t="shared" si="8"/>
        <v>139395</v>
      </c>
      <c r="I26" s="43">
        <f t="shared" si="8"/>
        <v>20232</v>
      </c>
      <c r="J26" s="43">
        <f t="shared" si="8"/>
        <v>590</v>
      </c>
      <c r="K26" s="43">
        <f t="shared" si="8"/>
        <v>1528094.28</v>
      </c>
      <c r="L26" s="43">
        <f t="shared" si="8"/>
        <v>309283.19999999995</v>
      </c>
      <c r="M26" s="42">
        <f t="shared" si="8"/>
        <v>573966</v>
      </c>
      <c r="N26" s="43">
        <f t="shared" si="8"/>
        <v>63244.400000000009</v>
      </c>
      <c r="O26" s="43">
        <f t="shared" si="8"/>
        <v>0</v>
      </c>
      <c r="P26" s="43">
        <f t="shared" si="8"/>
        <v>699</v>
      </c>
      <c r="Q26" s="43">
        <f t="shared" si="8"/>
        <v>6587027.9516947372</v>
      </c>
      <c r="R26" s="43">
        <f t="shared" si="8"/>
        <v>2629395.9390347367</v>
      </c>
      <c r="S26" s="43">
        <f t="shared" si="8"/>
        <v>1061254.51266</v>
      </c>
      <c r="T26" s="43">
        <f t="shared" si="8"/>
        <v>163990</v>
      </c>
      <c r="U26" s="42">
        <f t="shared" si="8"/>
        <v>117995</v>
      </c>
      <c r="V26" s="43">
        <f t="shared" si="8"/>
        <v>14954</v>
      </c>
      <c r="W26" s="43">
        <f>+SUM(W23:W25)</f>
        <v>39</v>
      </c>
      <c r="X26" s="43">
        <f t="shared" ref="X26:AC26" si="9">+SUM(X23:X25)</f>
        <v>74169.5</v>
      </c>
      <c r="Y26" s="43">
        <f t="shared" si="9"/>
        <v>45461</v>
      </c>
      <c r="Z26" s="43">
        <f t="shared" si="9"/>
        <v>27174</v>
      </c>
      <c r="AA26" s="43">
        <f t="shared" si="9"/>
        <v>149</v>
      </c>
      <c r="AB26" s="43">
        <f t="shared" si="9"/>
        <v>0</v>
      </c>
      <c r="AC26" s="42">
        <f t="shared" si="9"/>
        <v>257</v>
      </c>
      <c r="AD26" s="43">
        <f>+SUM(AD23:AD25)</f>
        <v>39</v>
      </c>
      <c r="AE26" s="43">
        <f t="shared" ref="AE26:AJ26" si="10">+SUM(AE23:AE25)</f>
        <v>74169.5</v>
      </c>
      <c r="AF26" s="43">
        <f t="shared" si="10"/>
        <v>45461</v>
      </c>
      <c r="AG26" s="43">
        <f t="shared" si="10"/>
        <v>27174</v>
      </c>
      <c r="AH26" s="43">
        <f t="shared" si="10"/>
        <v>149</v>
      </c>
      <c r="AI26" s="43">
        <f t="shared" si="10"/>
        <v>0</v>
      </c>
      <c r="AJ26" s="43">
        <f t="shared" si="10"/>
        <v>257</v>
      </c>
      <c r="AK26" s="42">
        <f>+SUM(AK23:AK25)</f>
        <v>0</v>
      </c>
      <c r="AL26" s="43">
        <f t="shared" si="8"/>
        <v>0</v>
      </c>
      <c r="AM26" s="43">
        <f t="shared" si="8"/>
        <v>0</v>
      </c>
      <c r="AN26" s="43">
        <f t="shared" si="8"/>
        <v>0</v>
      </c>
      <c r="AO26" s="43">
        <f t="shared" si="8"/>
        <v>0</v>
      </c>
      <c r="AP26" s="43">
        <f t="shared" si="8"/>
        <v>0</v>
      </c>
      <c r="AQ26" s="43">
        <f t="shared" si="8"/>
        <v>0</v>
      </c>
      <c r="AR26" s="43">
        <f t="shared" si="8"/>
        <v>0</v>
      </c>
      <c r="AS26" s="42">
        <f t="shared" si="8"/>
        <v>0</v>
      </c>
      <c r="AT26" s="43">
        <f t="shared" si="8"/>
        <v>0</v>
      </c>
      <c r="AU26" s="43">
        <f t="shared" si="8"/>
        <v>0</v>
      </c>
      <c r="AV26" s="43">
        <f t="shared" si="8"/>
        <v>0</v>
      </c>
      <c r="AW26" s="43">
        <f t="shared" si="8"/>
        <v>0</v>
      </c>
      <c r="AX26" s="43">
        <f t="shared" si="8"/>
        <v>0</v>
      </c>
      <c r="AY26" s="43">
        <f t="shared" si="8"/>
        <v>605</v>
      </c>
      <c r="AZ26" s="43">
        <f t="shared" si="8"/>
        <v>6292001.1616947362</v>
      </c>
      <c r="BA26" s="42">
        <f t="shared" si="8"/>
        <v>2442104.6490347367</v>
      </c>
      <c r="BB26" s="43">
        <f t="shared" si="8"/>
        <v>960919.81266000005</v>
      </c>
      <c r="BC26" s="43">
        <f t="shared" si="8"/>
        <v>163354</v>
      </c>
      <c r="BD26" s="43">
        <f t="shared" si="8"/>
        <v>117995</v>
      </c>
      <c r="BE26" s="43">
        <f t="shared" si="8"/>
        <v>14117</v>
      </c>
      <c r="BF26" s="43">
        <f t="shared" ref="BF26:BL26" si="11">+SUM(BF23:BF25)</f>
        <v>131</v>
      </c>
      <c r="BG26" s="43">
        <f t="shared" si="11"/>
        <v>1770195.8</v>
      </c>
      <c r="BH26" s="43">
        <f t="shared" si="11"/>
        <v>567027</v>
      </c>
      <c r="BI26" s="42">
        <f t="shared" si="11"/>
        <v>474900</v>
      </c>
      <c r="BJ26" s="43">
        <f t="shared" si="11"/>
        <v>49946</v>
      </c>
      <c r="BK26" s="43">
        <f t="shared" si="11"/>
        <v>21400</v>
      </c>
      <c r="BL26" s="43">
        <f t="shared" si="11"/>
        <v>4488</v>
      </c>
    </row>
    <row r="27" spans="1:64">
      <c r="C27" s="6">
        <f t="shared" ref="C27:BH27" si="12">+C26-C6</f>
        <v>0</v>
      </c>
      <c r="D27" s="6">
        <f t="shared" si="12"/>
        <v>0</v>
      </c>
      <c r="E27" s="6">
        <f t="shared" si="12"/>
        <v>0</v>
      </c>
      <c r="F27" s="6">
        <f t="shared" si="12"/>
        <v>0</v>
      </c>
      <c r="G27" s="6">
        <f t="shared" si="12"/>
        <v>0</v>
      </c>
      <c r="H27" s="6">
        <f t="shared" si="12"/>
        <v>0</v>
      </c>
      <c r="I27" s="6">
        <f t="shared" si="12"/>
        <v>0</v>
      </c>
      <c r="J27" s="6">
        <f t="shared" si="12"/>
        <v>0</v>
      </c>
      <c r="K27" s="6">
        <f t="shared" si="12"/>
        <v>0</v>
      </c>
      <c r="L27" s="6">
        <f t="shared" si="12"/>
        <v>0</v>
      </c>
      <c r="M27" s="6">
        <f t="shared" si="12"/>
        <v>0</v>
      </c>
      <c r="N27" s="6">
        <f t="shared" si="12"/>
        <v>0</v>
      </c>
      <c r="O27" s="6">
        <f t="shared" si="12"/>
        <v>0</v>
      </c>
      <c r="P27" s="6">
        <f t="shared" si="12"/>
        <v>0</v>
      </c>
      <c r="Q27" s="6">
        <f t="shared" si="12"/>
        <v>0</v>
      </c>
      <c r="R27" s="6">
        <f t="shared" si="12"/>
        <v>0</v>
      </c>
      <c r="S27" s="6">
        <f t="shared" si="12"/>
        <v>0</v>
      </c>
      <c r="T27" s="6">
        <f t="shared" si="12"/>
        <v>0</v>
      </c>
      <c r="U27" s="6">
        <f t="shared" si="12"/>
        <v>0</v>
      </c>
      <c r="V27" s="6">
        <f t="shared" si="12"/>
        <v>0</v>
      </c>
      <c r="W27" s="6">
        <f t="shared" si="12"/>
        <v>0</v>
      </c>
      <c r="X27" s="6">
        <f t="shared" si="12"/>
        <v>0</v>
      </c>
      <c r="Y27" s="6">
        <f t="shared" si="12"/>
        <v>0</v>
      </c>
      <c r="Z27" s="6">
        <f t="shared" si="12"/>
        <v>0</v>
      </c>
      <c r="AA27" s="6">
        <f t="shared" si="12"/>
        <v>0</v>
      </c>
      <c r="AB27" s="6">
        <f t="shared" si="12"/>
        <v>0</v>
      </c>
      <c r="AC27" s="6">
        <f t="shared" si="12"/>
        <v>0</v>
      </c>
      <c r="AD27" s="6">
        <f t="shared" si="12"/>
        <v>0</v>
      </c>
      <c r="AE27" s="6">
        <f t="shared" si="12"/>
        <v>0</v>
      </c>
      <c r="AF27" s="6">
        <f t="shared" si="12"/>
        <v>0</v>
      </c>
      <c r="AG27" s="6">
        <f t="shared" si="12"/>
        <v>0</v>
      </c>
      <c r="AH27" s="6">
        <f t="shared" si="12"/>
        <v>0</v>
      </c>
      <c r="AI27" s="6">
        <f t="shared" si="12"/>
        <v>0</v>
      </c>
      <c r="AJ27" s="6">
        <f t="shared" si="12"/>
        <v>0</v>
      </c>
      <c r="AK27" s="6">
        <f t="shared" si="12"/>
        <v>0</v>
      </c>
      <c r="AL27" s="6">
        <f t="shared" si="12"/>
        <v>0</v>
      </c>
      <c r="AM27" s="6">
        <f t="shared" si="12"/>
        <v>0</v>
      </c>
      <c r="AN27" s="6">
        <f t="shared" si="12"/>
        <v>0</v>
      </c>
      <c r="AO27" s="6">
        <f t="shared" si="12"/>
        <v>0</v>
      </c>
      <c r="AP27" s="6">
        <f t="shared" si="12"/>
        <v>0</v>
      </c>
      <c r="AQ27" s="6">
        <f t="shared" si="12"/>
        <v>0</v>
      </c>
      <c r="AR27" s="6">
        <f t="shared" si="12"/>
        <v>0</v>
      </c>
      <c r="AS27" s="6">
        <f t="shared" si="12"/>
        <v>0</v>
      </c>
      <c r="AT27" s="6">
        <f t="shared" si="12"/>
        <v>0</v>
      </c>
      <c r="AU27" s="6">
        <f t="shared" si="12"/>
        <v>0</v>
      </c>
      <c r="AV27" s="6">
        <f t="shared" si="12"/>
        <v>0</v>
      </c>
      <c r="AW27" s="6">
        <f t="shared" si="12"/>
        <v>0</v>
      </c>
      <c r="AX27" s="6">
        <f t="shared" si="12"/>
        <v>0</v>
      </c>
      <c r="AY27" s="6">
        <f t="shared" si="12"/>
        <v>0</v>
      </c>
      <c r="AZ27" s="6">
        <f t="shared" si="12"/>
        <v>0</v>
      </c>
      <c r="BA27" s="6">
        <f t="shared" si="12"/>
        <v>0</v>
      </c>
      <c r="BB27" s="6">
        <f t="shared" si="12"/>
        <v>0</v>
      </c>
      <c r="BC27" s="6">
        <f t="shared" si="12"/>
        <v>0</v>
      </c>
      <c r="BD27" s="6">
        <f t="shared" si="12"/>
        <v>0</v>
      </c>
      <c r="BE27" s="6">
        <f t="shared" si="12"/>
        <v>0</v>
      </c>
      <c r="BF27" s="6">
        <f t="shared" si="12"/>
        <v>0</v>
      </c>
      <c r="BG27" s="6">
        <f t="shared" si="12"/>
        <v>0</v>
      </c>
      <c r="BH27" s="6">
        <f t="shared" si="12"/>
        <v>0</v>
      </c>
      <c r="BI27" s="6">
        <f t="shared" ref="BI27:BL27" si="13">+BI26-BI6</f>
        <v>0</v>
      </c>
      <c r="BJ27" s="6">
        <f t="shared" si="13"/>
        <v>0</v>
      </c>
      <c r="BK27" s="6">
        <f t="shared" si="13"/>
        <v>0</v>
      </c>
      <c r="BL27" s="6">
        <f t="shared" si="13"/>
        <v>0</v>
      </c>
    </row>
    <row r="28" spans="1:64" ht="16.5">
      <c r="B28" s="17"/>
      <c r="C28" s="6">
        <f>+C26-C6</f>
        <v>0</v>
      </c>
      <c r="D28" s="6">
        <f t="shared" ref="D28:BI28" si="14">+D26-D6</f>
        <v>0</v>
      </c>
      <c r="E28" s="6">
        <f t="shared" si="14"/>
        <v>0</v>
      </c>
      <c r="F28" s="6">
        <f t="shared" si="14"/>
        <v>0</v>
      </c>
      <c r="G28" s="6">
        <f t="shared" si="14"/>
        <v>0</v>
      </c>
      <c r="H28" s="6">
        <f t="shared" si="14"/>
        <v>0</v>
      </c>
      <c r="I28" s="6">
        <f t="shared" si="14"/>
        <v>0</v>
      </c>
      <c r="J28" s="6">
        <f t="shared" si="14"/>
        <v>0</v>
      </c>
      <c r="K28" s="6">
        <f t="shared" si="14"/>
        <v>0</v>
      </c>
      <c r="L28" s="6">
        <f t="shared" si="14"/>
        <v>0</v>
      </c>
      <c r="M28" s="6">
        <f t="shared" si="14"/>
        <v>0</v>
      </c>
      <c r="N28" s="6">
        <f t="shared" si="14"/>
        <v>0</v>
      </c>
      <c r="O28" s="6">
        <f t="shared" si="14"/>
        <v>0</v>
      </c>
      <c r="P28" s="6">
        <f t="shared" si="14"/>
        <v>0</v>
      </c>
      <c r="Q28" s="6">
        <f t="shared" si="14"/>
        <v>0</v>
      </c>
      <c r="R28" s="6">
        <f t="shared" si="14"/>
        <v>0</v>
      </c>
      <c r="S28" s="6">
        <f t="shared" si="14"/>
        <v>0</v>
      </c>
      <c r="T28" s="6">
        <f t="shared" si="14"/>
        <v>0</v>
      </c>
      <c r="U28" s="6">
        <f t="shared" si="14"/>
        <v>0</v>
      </c>
      <c r="V28" s="6">
        <f t="shared" si="14"/>
        <v>0</v>
      </c>
      <c r="W28" s="6">
        <f t="shared" si="14"/>
        <v>0</v>
      </c>
      <c r="X28" s="6">
        <f t="shared" si="14"/>
        <v>0</v>
      </c>
      <c r="Y28" s="6">
        <f t="shared" si="14"/>
        <v>0</v>
      </c>
      <c r="Z28" s="6">
        <f t="shared" si="14"/>
        <v>0</v>
      </c>
      <c r="AA28" s="6">
        <f t="shared" si="14"/>
        <v>0</v>
      </c>
      <c r="AB28" s="6">
        <f t="shared" si="14"/>
        <v>0</v>
      </c>
      <c r="AC28" s="6">
        <f t="shared" si="14"/>
        <v>0</v>
      </c>
      <c r="AD28" s="6">
        <f t="shared" si="14"/>
        <v>0</v>
      </c>
      <c r="AE28" s="6">
        <f t="shared" si="14"/>
        <v>0</v>
      </c>
      <c r="AF28" s="6">
        <f t="shared" si="14"/>
        <v>0</v>
      </c>
      <c r="AG28" s="6">
        <f t="shared" si="14"/>
        <v>0</v>
      </c>
      <c r="AH28" s="6">
        <f t="shared" si="14"/>
        <v>0</v>
      </c>
      <c r="AI28" s="6">
        <f t="shared" si="14"/>
        <v>0</v>
      </c>
      <c r="AJ28" s="6">
        <f t="shared" si="14"/>
        <v>0</v>
      </c>
      <c r="AK28" s="6">
        <f t="shared" si="14"/>
        <v>0</v>
      </c>
      <c r="AL28" s="6">
        <f t="shared" si="14"/>
        <v>0</v>
      </c>
      <c r="AM28" s="6">
        <f t="shared" si="14"/>
        <v>0</v>
      </c>
      <c r="AN28" s="6">
        <f t="shared" si="14"/>
        <v>0</v>
      </c>
      <c r="AO28" s="6">
        <f t="shared" si="14"/>
        <v>0</v>
      </c>
      <c r="AP28" s="6">
        <f t="shared" si="14"/>
        <v>0</v>
      </c>
      <c r="AQ28" s="6">
        <f t="shared" si="14"/>
        <v>0</v>
      </c>
      <c r="AR28" s="6">
        <f t="shared" si="14"/>
        <v>0</v>
      </c>
      <c r="AS28" s="6">
        <f t="shared" si="14"/>
        <v>0</v>
      </c>
      <c r="AT28" s="6">
        <f t="shared" si="14"/>
        <v>0</v>
      </c>
      <c r="AU28" s="6">
        <f t="shared" si="14"/>
        <v>0</v>
      </c>
      <c r="AV28" s="6">
        <f t="shared" si="14"/>
        <v>0</v>
      </c>
      <c r="AW28" s="6">
        <f t="shared" si="14"/>
        <v>0</v>
      </c>
      <c r="AX28" s="6">
        <f t="shared" si="14"/>
        <v>0</v>
      </c>
      <c r="AY28" s="6">
        <f t="shared" si="14"/>
        <v>0</v>
      </c>
      <c r="AZ28" s="6">
        <f t="shared" si="14"/>
        <v>0</v>
      </c>
      <c r="BA28" s="6">
        <f t="shared" si="14"/>
        <v>0</v>
      </c>
      <c r="BB28" s="6">
        <f t="shared" si="14"/>
        <v>0</v>
      </c>
      <c r="BC28" s="6">
        <f t="shared" si="14"/>
        <v>0</v>
      </c>
      <c r="BD28" s="6">
        <f t="shared" si="14"/>
        <v>0</v>
      </c>
      <c r="BE28" s="6">
        <f t="shared" si="14"/>
        <v>0</v>
      </c>
      <c r="BF28" s="6">
        <f t="shared" si="14"/>
        <v>0</v>
      </c>
      <c r="BG28" s="6">
        <f t="shared" si="14"/>
        <v>0</v>
      </c>
      <c r="BH28" s="6">
        <f t="shared" si="14"/>
        <v>0</v>
      </c>
      <c r="BI28" s="6">
        <f t="shared" si="14"/>
        <v>0</v>
      </c>
      <c r="BJ28" s="6">
        <f t="shared" ref="BJ28:BL28" si="15">+BJ26-BJ6</f>
        <v>0</v>
      </c>
      <c r="BK28" s="6">
        <f t="shared" si="15"/>
        <v>0</v>
      </c>
      <c r="BL28" s="6">
        <f t="shared" si="15"/>
        <v>0</v>
      </c>
    </row>
  </sheetData>
  <mergeCells count="52">
    <mergeCell ref="A6:B6"/>
    <mergeCell ref="A22:BL22"/>
    <mergeCell ref="BE4:BE5"/>
    <mergeCell ref="BF4:BF5"/>
    <mergeCell ref="AK4:AK5"/>
    <mergeCell ref="Q4:Q5"/>
    <mergeCell ref="R4:U4"/>
    <mergeCell ref="V4:V5"/>
    <mergeCell ref="W4:W5"/>
    <mergeCell ref="X4:X5"/>
    <mergeCell ref="Y4:AB4"/>
    <mergeCell ref="AE4:AE5"/>
    <mergeCell ref="AF4:AI4"/>
    <mergeCell ref="A26:B26"/>
    <mergeCell ref="AX4:AX5"/>
    <mergeCell ref="AY4:AY5"/>
    <mergeCell ref="AZ4:AZ5"/>
    <mergeCell ref="BA4:BD4"/>
    <mergeCell ref="AL4:AL5"/>
    <mergeCell ref="AM4:AP4"/>
    <mergeCell ref="AQ4:AQ5"/>
    <mergeCell ref="AR4:AR5"/>
    <mergeCell ref="AS4:AS5"/>
    <mergeCell ref="AT4:AW4"/>
    <mergeCell ref="AC4:AC5"/>
    <mergeCell ref="AD4:AD5"/>
    <mergeCell ref="E4:H4"/>
    <mergeCell ref="I4:I5"/>
    <mergeCell ref="AJ4:AJ5"/>
    <mergeCell ref="A1:BL1"/>
    <mergeCell ref="A2:A5"/>
    <mergeCell ref="B2:B5"/>
    <mergeCell ref="C2:I3"/>
    <mergeCell ref="J2:O3"/>
    <mergeCell ref="P2:V3"/>
    <mergeCell ref="W2:AC3"/>
    <mergeCell ref="AD2:AQ2"/>
    <mergeCell ref="AR2:AX2"/>
    <mergeCell ref="BF2:BL3"/>
    <mergeCell ref="AD3:AJ3"/>
    <mergeCell ref="AK3:AQ3"/>
    <mergeCell ref="AY2:BE3"/>
    <mergeCell ref="BG4:BG5"/>
    <mergeCell ref="BH4:BK4"/>
    <mergeCell ref="BL4:BL5"/>
    <mergeCell ref="AR3:AX3"/>
    <mergeCell ref="C4:C5"/>
    <mergeCell ref="D4:D5"/>
    <mergeCell ref="J4:J5"/>
    <mergeCell ref="K4:K5"/>
    <mergeCell ref="L4:O4"/>
    <mergeCell ref="P4:P5"/>
  </mergeCells>
  <printOptions horizontalCentered="1"/>
  <pageMargins left="0.19685039370078741" right="0.19685039370078741" top="0.39370078740157483" bottom="0.19685039370078741" header="0.19685039370078741" footer="0.19685039370078741"/>
  <pageSetup paperSize="9" scale="42" fitToHeight="10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R28"/>
  <sheetViews>
    <sheetView showZeros="0" view="pageBreakPreview" zoomScale="70" zoomScaleNormal="55" zoomScaleSheetLayoutView="70" workbookViewId="0">
      <selection activeCell="X2" sqref="X2:AD3"/>
    </sheetView>
  </sheetViews>
  <sheetFormatPr defaultColWidth="9.140625" defaultRowHeight="15" outlineLevelCol="1"/>
  <cols>
    <col min="1" max="1" width="5.140625" style="1" customWidth="1"/>
    <col min="2" max="2" width="31.140625" style="4" customWidth="1"/>
    <col min="3" max="3" width="8.5703125" style="1" customWidth="1"/>
    <col min="4" max="4" width="15.42578125" style="1" customWidth="1"/>
    <col min="5" max="6" width="13.140625" style="1" hidden="1" customWidth="1" outlineLevel="1"/>
    <col min="7" max="8" width="15.140625" style="1" hidden="1" customWidth="1" outlineLevel="1"/>
    <col min="9" max="9" width="11.85546875" style="1" customWidth="1" collapsed="1"/>
    <col min="10" max="10" width="8.5703125" style="1" customWidth="1"/>
    <col min="11" max="11" width="15.42578125" style="1" customWidth="1"/>
    <col min="12" max="13" width="13.140625" style="1" hidden="1" customWidth="1" outlineLevel="1"/>
    <col min="14" max="15" width="15.140625" style="1" hidden="1" customWidth="1" outlineLevel="1"/>
    <col min="16" max="16" width="11.85546875" style="1" customWidth="1" collapsed="1"/>
    <col min="17" max="17" width="8.5703125" style="1" customWidth="1"/>
    <col min="18" max="18" width="15.42578125" style="1" customWidth="1"/>
    <col min="19" max="20" width="13.140625" style="1" hidden="1" customWidth="1" outlineLevel="1"/>
    <col min="21" max="22" width="15.140625" style="1" hidden="1" customWidth="1" outlineLevel="1"/>
    <col min="23" max="23" width="11.85546875" style="1" customWidth="1" collapsed="1"/>
    <col min="24" max="24" width="8.5703125" style="1" customWidth="1"/>
    <col min="25" max="25" width="15.42578125" style="1" customWidth="1"/>
    <col min="26" max="27" width="13.140625" style="1" hidden="1" customWidth="1" outlineLevel="1"/>
    <col min="28" max="29" width="15.140625" style="1" hidden="1" customWidth="1" outlineLevel="1"/>
    <col min="30" max="30" width="11.85546875" style="1" customWidth="1" collapsed="1"/>
    <col min="31" max="31" width="8.5703125" style="1" customWidth="1"/>
    <col min="32" max="32" width="15.42578125" style="1" customWidth="1"/>
    <col min="33" max="34" width="13.140625" style="1" hidden="1" customWidth="1" outlineLevel="1"/>
    <col min="35" max="36" width="15.140625" style="1" hidden="1" customWidth="1" outlineLevel="1"/>
    <col min="37" max="37" width="11.85546875" style="1" customWidth="1" collapsed="1"/>
    <col min="38" max="38" width="8.5703125" style="1" customWidth="1"/>
    <col min="39" max="39" width="15.42578125" style="1" customWidth="1"/>
    <col min="40" max="41" width="13.140625" style="1" hidden="1" customWidth="1" outlineLevel="1"/>
    <col min="42" max="43" width="15.140625" style="1" hidden="1" customWidth="1" outlineLevel="1"/>
    <col min="44" max="44" width="11.85546875" style="1" customWidth="1" collapsed="1"/>
    <col min="45" max="16384" width="9.140625" style="1"/>
  </cols>
  <sheetData>
    <row r="1" spans="1:44" ht="74.25" customHeight="1" thickBot="1">
      <c r="A1" s="140" t="s">
        <v>2019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</row>
    <row r="2" spans="1:44" s="5" customFormat="1" ht="26.25" customHeight="1" thickBot="1">
      <c r="A2" s="127" t="s">
        <v>72</v>
      </c>
      <c r="B2" s="127" t="s">
        <v>443</v>
      </c>
      <c r="C2" s="127" t="s">
        <v>79</v>
      </c>
      <c r="D2" s="127"/>
      <c r="E2" s="127"/>
      <c r="F2" s="127"/>
      <c r="G2" s="127"/>
      <c r="H2" s="127"/>
      <c r="I2" s="127"/>
      <c r="J2" s="127" t="s">
        <v>1769</v>
      </c>
      <c r="K2" s="127"/>
      <c r="L2" s="127"/>
      <c r="M2" s="127"/>
      <c r="N2" s="127"/>
      <c r="O2" s="127"/>
      <c r="P2" s="127"/>
      <c r="Q2" s="128" t="s">
        <v>2068</v>
      </c>
      <c r="R2" s="129"/>
      <c r="S2" s="129"/>
      <c r="T2" s="129"/>
      <c r="U2" s="129"/>
      <c r="V2" s="129"/>
      <c r="W2" s="130"/>
      <c r="X2" s="127" t="s">
        <v>2071</v>
      </c>
      <c r="Y2" s="127"/>
      <c r="Z2" s="127"/>
      <c r="AA2" s="127"/>
      <c r="AB2" s="127"/>
      <c r="AC2" s="127"/>
      <c r="AD2" s="127"/>
      <c r="AE2" s="127" t="s">
        <v>2072</v>
      </c>
      <c r="AF2" s="127"/>
      <c r="AG2" s="127"/>
      <c r="AH2" s="127"/>
      <c r="AI2" s="127"/>
      <c r="AJ2" s="127"/>
      <c r="AK2" s="127"/>
      <c r="AL2" s="144" t="s">
        <v>2073</v>
      </c>
      <c r="AM2" s="144"/>
      <c r="AN2" s="144"/>
      <c r="AO2" s="144"/>
      <c r="AP2" s="144"/>
      <c r="AQ2" s="144"/>
      <c r="AR2" s="144"/>
    </row>
    <row r="3" spans="1:44" s="5" customFormat="1" ht="50.25" customHeight="1" thickBot="1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31"/>
      <c r="R3" s="132"/>
      <c r="S3" s="132"/>
      <c r="T3" s="132"/>
      <c r="U3" s="132"/>
      <c r="V3" s="132"/>
      <c r="W3" s="133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44"/>
      <c r="AM3" s="144"/>
      <c r="AN3" s="144"/>
      <c r="AO3" s="144"/>
      <c r="AP3" s="144"/>
      <c r="AQ3" s="144"/>
      <c r="AR3" s="144"/>
    </row>
    <row r="4" spans="1:44" s="5" customFormat="1" ht="15" customHeight="1" thickBot="1">
      <c r="A4" s="127"/>
      <c r="B4" s="127"/>
      <c r="C4" s="127" t="s">
        <v>75</v>
      </c>
      <c r="D4" s="127" t="s">
        <v>1765</v>
      </c>
      <c r="E4" s="127" t="s">
        <v>82</v>
      </c>
      <c r="F4" s="127"/>
      <c r="G4" s="127"/>
      <c r="H4" s="127"/>
      <c r="I4" s="127" t="s">
        <v>81</v>
      </c>
      <c r="J4" s="127" t="s">
        <v>75</v>
      </c>
      <c r="K4" s="127" t="s">
        <v>1765</v>
      </c>
      <c r="L4" s="127" t="s">
        <v>82</v>
      </c>
      <c r="M4" s="127"/>
      <c r="N4" s="127"/>
      <c r="O4" s="127"/>
      <c r="P4" s="127" t="s">
        <v>76</v>
      </c>
      <c r="Q4" s="127" t="s">
        <v>75</v>
      </c>
      <c r="R4" s="127" t="s">
        <v>1765</v>
      </c>
      <c r="S4" s="127" t="s">
        <v>82</v>
      </c>
      <c r="T4" s="127"/>
      <c r="U4" s="127"/>
      <c r="V4" s="127"/>
      <c r="W4" s="127" t="s">
        <v>81</v>
      </c>
      <c r="X4" s="127" t="s">
        <v>75</v>
      </c>
      <c r="Y4" s="127" t="s">
        <v>1765</v>
      </c>
      <c r="Z4" s="127" t="s">
        <v>82</v>
      </c>
      <c r="AA4" s="127"/>
      <c r="AB4" s="127"/>
      <c r="AC4" s="127"/>
      <c r="AD4" s="127" t="s">
        <v>76</v>
      </c>
      <c r="AE4" s="127" t="s">
        <v>75</v>
      </c>
      <c r="AF4" s="127" t="s">
        <v>1765</v>
      </c>
      <c r="AG4" s="127" t="s">
        <v>82</v>
      </c>
      <c r="AH4" s="127"/>
      <c r="AI4" s="127"/>
      <c r="AJ4" s="127"/>
      <c r="AK4" s="127" t="s">
        <v>81</v>
      </c>
      <c r="AL4" s="127" t="s">
        <v>75</v>
      </c>
      <c r="AM4" s="127" t="s">
        <v>1765</v>
      </c>
      <c r="AN4" s="127" t="s">
        <v>82</v>
      </c>
      <c r="AO4" s="127"/>
      <c r="AP4" s="127"/>
      <c r="AQ4" s="127"/>
      <c r="AR4" s="127" t="s">
        <v>81</v>
      </c>
    </row>
    <row r="5" spans="1:44" s="5" customFormat="1" ht="51.75" customHeight="1" thickBot="1">
      <c r="A5" s="127"/>
      <c r="B5" s="127"/>
      <c r="C5" s="127"/>
      <c r="D5" s="127"/>
      <c r="E5" s="81" t="s">
        <v>1766</v>
      </c>
      <c r="F5" s="81" t="s">
        <v>83</v>
      </c>
      <c r="G5" s="81" t="s">
        <v>1767</v>
      </c>
      <c r="H5" s="81" t="s">
        <v>1768</v>
      </c>
      <c r="I5" s="127"/>
      <c r="J5" s="127"/>
      <c r="K5" s="127"/>
      <c r="L5" s="81" t="s">
        <v>1766</v>
      </c>
      <c r="M5" s="81" t="s">
        <v>83</v>
      </c>
      <c r="N5" s="81" t="s">
        <v>1767</v>
      </c>
      <c r="O5" s="81" t="s">
        <v>1768</v>
      </c>
      <c r="P5" s="127"/>
      <c r="Q5" s="127"/>
      <c r="R5" s="127"/>
      <c r="S5" s="81" t="s">
        <v>1766</v>
      </c>
      <c r="T5" s="81" t="s">
        <v>83</v>
      </c>
      <c r="U5" s="81" t="s">
        <v>1767</v>
      </c>
      <c r="V5" s="81" t="s">
        <v>1768</v>
      </c>
      <c r="W5" s="127"/>
      <c r="X5" s="127"/>
      <c r="Y5" s="127"/>
      <c r="Z5" s="81" t="s">
        <v>1766</v>
      </c>
      <c r="AA5" s="81" t="s">
        <v>83</v>
      </c>
      <c r="AB5" s="81" t="s">
        <v>1767</v>
      </c>
      <c r="AC5" s="81" t="s">
        <v>1768</v>
      </c>
      <c r="AD5" s="127"/>
      <c r="AE5" s="127"/>
      <c r="AF5" s="127"/>
      <c r="AG5" s="81" t="s">
        <v>1766</v>
      </c>
      <c r="AH5" s="81" t="s">
        <v>83</v>
      </c>
      <c r="AI5" s="81" t="s">
        <v>1767</v>
      </c>
      <c r="AJ5" s="81" t="s">
        <v>1768</v>
      </c>
      <c r="AK5" s="127"/>
      <c r="AL5" s="127"/>
      <c r="AM5" s="127"/>
      <c r="AN5" s="81" t="s">
        <v>1766</v>
      </c>
      <c r="AO5" s="81" t="s">
        <v>83</v>
      </c>
      <c r="AP5" s="81" t="s">
        <v>1767</v>
      </c>
      <c r="AQ5" s="81" t="s">
        <v>1768</v>
      </c>
      <c r="AR5" s="127"/>
    </row>
    <row r="6" spans="1:44" s="44" customFormat="1" ht="45.75" customHeight="1" thickBot="1">
      <c r="A6" s="135" t="s">
        <v>77</v>
      </c>
      <c r="B6" s="136"/>
      <c r="C6" s="42">
        <f t="shared" ref="C6:W6" si="0">+SUM(C7:C21)</f>
        <v>968</v>
      </c>
      <c r="D6" s="43">
        <f t="shared" si="0"/>
        <v>8565835.251694737</v>
      </c>
      <c r="E6" s="43">
        <f t="shared" si="0"/>
        <v>3294405.9390347367</v>
      </c>
      <c r="F6" s="43">
        <f t="shared" si="0"/>
        <v>1631107.51266</v>
      </c>
      <c r="G6" s="43">
        <f t="shared" si="0"/>
        <v>214321</v>
      </c>
      <c r="H6" s="43">
        <f t="shared" si="0"/>
        <v>139395</v>
      </c>
      <c r="I6" s="43">
        <f t="shared" si="0"/>
        <v>20232</v>
      </c>
      <c r="J6" s="43">
        <f t="shared" si="0"/>
        <v>699</v>
      </c>
      <c r="K6" s="43">
        <f t="shared" si="0"/>
        <v>6587027.9516947363</v>
      </c>
      <c r="L6" s="43">
        <f t="shared" si="0"/>
        <v>2629395.9390347367</v>
      </c>
      <c r="M6" s="43">
        <f t="shared" si="0"/>
        <v>1061254.51266</v>
      </c>
      <c r="N6" s="43">
        <f t="shared" si="0"/>
        <v>163990</v>
      </c>
      <c r="O6" s="43">
        <f t="shared" si="0"/>
        <v>117995</v>
      </c>
      <c r="P6" s="43">
        <f t="shared" si="0"/>
        <v>14954</v>
      </c>
      <c r="Q6" s="43">
        <f t="shared" si="0"/>
        <v>94</v>
      </c>
      <c r="R6" s="43">
        <f t="shared" si="0"/>
        <v>278384.5</v>
      </c>
      <c r="S6" s="43">
        <f t="shared" si="0"/>
        <v>200290.9</v>
      </c>
      <c r="T6" s="43">
        <f t="shared" si="0"/>
        <v>72951.8</v>
      </c>
      <c r="U6" s="43">
        <f t="shared" si="0"/>
        <v>544.5</v>
      </c>
      <c r="V6" s="43">
        <f t="shared" si="0"/>
        <v>0</v>
      </c>
      <c r="W6" s="43">
        <f t="shared" si="0"/>
        <v>748</v>
      </c>
      <c r="X6" s="43">
        <f t="shared" ref="X6:AK6" si="1">+SUM(X7:X21)</f>
        <v>80</v>
      </c>
      <c r="Y6" s="43">
        <f t="shared" si="1"/>
        <v>418366.84179999994</v>
      </c>
      <c r="Z6" s="43">
        <f t="shared" si="1"/>
        <v>264409.89554</v>
      </c>
      <c r="AA6" s="43">
        <f t="shared" si="1"/>
        <v>97468.346259999991</v>
      </c>
      <c r="AB6" s="43">
        <f t="shared" si="1"/>
        <v>4122</v>
      </c>
      <c r="AC6" s="43">
        <f t="shared" si="1"/>
        <v>760</v>
      </c>
      <c r="AD6" s="43">
        <f t="shared" si="1"/>
        <v>1373</v>
      </c>
      <c r="AE6" s="43">
        <f t="shared" si="1"/>
        <v>34</v>
      </c>
      <c r="AF6" s="43">
        <f t="shared" si="1"/>
        <v>116099.5</v>
      </c>
      <c r="AG6" s="43">
        <f t="shared" si="1"/>
        <v>74457</v>
      </c>
      <c r="AH6" s="43">
        <f t="shared" si="1"/>
        <v>40622.5</v>
      </c>
      <c r="AI6" s="43">
        <f t="shared" si="1"/>
        <v>100</v>
      </c>
      <c r="AJ6" s="43">
        <f t="shared" si="1"/>
        <v>0</v>
      </c>
      <c r="AK6" s="43">
        <f t="shared" si="1"/>
        <v>224</v>
      </c>
      <c r="AL6" s="43">
        <f t="shared" ref="AL6:AR6" si="2">+SUM(AL7:AL21)</f>
        <v>46</v>
      </c>
      <c r="AM6" s="43">
        <f t="shared" si="2"/>
        <v>301399.95179999998</v>
      </c>
      <c r="AN6" s="43">
        <f t="shared" si="2"/>
        <v>198612.40554000001</v>
      </c>
      <c r="AO6" s="43">
        <f t="shared" si="2"/>
        <v>48255.946259999997</v>
      </c>
      <c r="AP6" s="43">
        <f t="shared" si="2"/>
        <v>3932</v>
      </c>
      <c r="AQ6" s="43">
        <f t="shared" si="2"/>
        <v>760</v>
      </c>
      <c r="AR6" s="43">
        <f t="shared" si="2"/>
        <v>1097</v>
      </c>
    </row>
    <row r="7" spans="1:44" s="3" customFormat="1" ht="35.25" customHeight="1">
      <c r="A7" s="20">
        <v>1</v>
      </c>
      <c r="B7" s="21" t="s">
        <v>167</v>
      </c>
      <c r="C7" s="22">
        <f>+COUNTIFS(манзилли!$D:$D,'свод(тахлил)'!$B7)</f>
        <v>57</v>
      </c>
      <c r="D7" s="23">
        <f>(+SUMIFS(манзилли!$K:$K,манзилли!$D:$D,'свод(тахлил)'!$B7))</f>
        <v>702735</v>
      </c>
      <c r="E7" s="23">
        <f>(+SUMIFS(манзилли!$M:$M,манзилли!$D:$D,'свод(тахлил)'!$B7))</f>
        <v>334334</v>
      </c>
      <c r="F7" s="23">
        <f>(+SUMIFS(манзилли!$Q:$Q,манзилли!$D:$D,'свод(тахлил)'!$B7))</f>
        <v>163431</v>
      </c>
      <c r="G7" s="23">
        <f>(+SUMIFS(манзилли!$S:$S,манзилли!$D:$D,'свод(тахлил)'!$B7))</f>
        <v>16900</v>
      </c>
      <c r="H7" s="23">
        <f>(+SUMIFS(манзилли!$U:$U,манзилли!$D:$D,'свод(тахлил)'!$B7))</f>
        <v>3000</v>
      </c>
      <c r="I7" s="24">
        <f>+SUMIFS(манзилли!$Y:$Y,манзилли!$D:$D,'свод(тахлил)'!$B7)</f>
        <v>1318</v>
      </c>
      <c r="J7" s="22">
        <f>+COUNTIFS(манзилли!$D:$D,'свод(тахлил)'!$B7,манзилли!$AA:$AA,"&lt;01.01.2022",манзилли!$AA:$AA,"&gt;=01.01.2021")</f>
        <v>28</v>
      </c>
      <c r="K7" s="23">
        <f>(+SUMIFS(манзилли!$K:$K,манзилли!$D:$D,'свод(тахлил)'!$B7,манзилли!$AA:$AA,"&lt;01.01.2022",манзилли!$AA:$AA,"&gt;=01.01.2021"))</f>
        <v>487424</v>
      </c>
      <c r="L7" s="23">
        <f>(+SUMIFS(манзилли!$M:$M,манзилли!$D:$D,'свод(тахлил)'!$B7,манзилли!$AA:$AA,"&lt;01.01.2022",манзилли!$AA:$AA,"&gt;=01.01.2021"))</f>
        <v>257024</v>
      </c>
      <c r="M7" s="23">
        <f>(+SUMIFS(манзилли!$Q:$Q,манзилли!$D:$D,'свод(тахлил)'!$B7,манзилли!$AA:$AA,"&lt;01.01.2022",манзилли!$AA:$AA,"&gt;=01.01.2021"))</f>
        <v>137700</v>
      </c>
      <c r="N7" s="23">
        <f>(+SUMIFS(манзилли!$S:$S,манзилли!$D:$D,'свод(тахлил)'!$B7,манзилли!$AA:$AA,"&lt;01.01.2022",манзилли!$AA:$AA,"&gt;=01.01.2021"))</f>
        <v>7500</v>
      </c>
      <c r="O7" s="23">
        <f>(+SUMIFS(манзилли!$U:$U,манзилли!$D:$D,'свод(тахлил)'!$B7,манзилли!$AA:$AA,"&lt;01.01.2022",манзилли!$AA:$AA,"&gt;=01.01.2021"))</f>
        <v>1500</v>
      </c>
      <c r="P7" s="23">
        <f>+SUMIFS(манзилли!$Y:$Y,манзилли!$D:$D,'свод(тахлил)'!$B7,манзилли!$AA:$AA,"&lt;01.01.2022",манзилли!$AA:$AA,"&gt;=01.01.2021")</f>
        <v>945</v>
      </c>
      <c r="Q7" s="22">
        <f>+COUNTIFS(манзилли!$D:$D,'свод(тахлил)'!$B7,манзилли!$AB:$AB,"&lt;01.10.2023",манзилли!$AA:$AA,"&lt;01.01.2022",манзилли!$AA:$AA,"&gt;=01.01.2021")</f>
        <v>4</v>
      </c>
      <c r="R7" s="23">
        <f>(+SUMIFS(манзилли!$L:$L,манзилли!$D:$D,'свод(тахлил)'!$B7,манзилли!$AB:$AB,"&lt;01.10.2023",манзилли!$AA:$AA,"&lt;01.01.2022",манзилли!$AA:$AA,"&gt;=01.01.2021"))</f>
        <v>4240</v>
      </c>
      <c r="S7" s="23">
        <f>(+SUMIFS(манзилли!$N:$N,манзилли!$D:$D,'свод(тахлил)'!$B7,манзилли!$AB:$AB,"&lt;01.10.2023",манзилли!$AA:$AA,"&lt;01.01.2022",манзилли!$AA:$AA,"&gt;=01.01.2021"))</f>
        <v>1576</v>
      </c>
      <c r="T7" s="23">
        <f>(+SUMIFS(манзилли!$R:$R,манзилли!$D:$D,'свод(тахлил)'!$B7,манзилли!$AB:$AB,"&lt;01.10.2023",манзилли!$AA:$AA,"&lt;01.01.2022",манзилли!$AA:$AA,"&gt;=01.01.2021"))</f>
        <v>2664</v>
      </c>
      <c r="U7" s="23">
        <f>(+SUMIFS(манзилли!$T:$T,манзилли!$D:$D,'свод(тахлил)'!$B7,манзилли!$AB:$AB,"&lt;01.10.2023",манзилли!$AA:$AA,"&lt;01.01.2022",манзилли!$AA:$AA,"&gt;=01.01.2021"))</f>
        <v>0</v>
      </c>
      <c r="V7" s="23">
        <f>(+SUMIFS(манзилли!$V:$V,манзилли!$D:$D,'свод(тахлил)'!$B7,манзилли!$AB:$AB,"&lt;01.10.2023",манзилли!$AA:$AA,"&lt;01.01.2022",манзилли!$AA:$AA,"&gt;=01.01.2021"))</f>
        <v>0</v>
      </c>
      <c r="W7" s="23">
        <f>+SUMIFS(манзилли!$Z:$Z,манзилли!$D:$D,'свод(тахлил)'!$B7,манзилли!$AB:$AB,"&lt;01.10.2023",манзилли!$AA:$AA,"&lt;01.01.2022",манзилли!$AA:$AA,"&gt;=01.01.2021")</f>
        <v>27</v>
      </c>
      <c r="X7" s="22">
        <f>+COUNTIFS(манзилли!$D:$D,'свод(тахлил)'!$B7,манзилли!$AA:$AA,"&lt;01.04.2021",манзилли!$AA:$AA,"&gt;=01.01.2021")</f>
        <v>4</v>
      </c>
      <c r="Y7" s="23">
        <f>(+SUMIFS(манзилли!$K:$K,манзилли!$D:$D,'свод(тахлил)'!$B7,манзилли!$AA:$AA,"&lt;01.04.2021",манзилли!$AA:$AA,"&gt;=01.01.2021"))</f>
        <v>136290</v>
      </c>
      <c r="Z7" s="23">
        <f>(+SUMIFS(манзилли!$M:$M,манзилли!$D:$D,'свод(тахлил)'!$B7,манзилли!$AA:$AA,"&lt;01.04.2021",манзилли!$AA:$AA,"&gt;=01.01.2021"))</f>
        <v>130540</v>
      </c>
      <c r="AA7" s="23">
        <f>(+SUMIFS(манзилли!$Q:$Q,манзилли!$D:$D,'свод(тахлил)'!$B7,манзилли!$AA:$AA,"&lt;01.04.2021",манзилли!$AA:$AA,"&gt;=01.01.2021"))</f>
        <v>600</v>
      </c>
      <c r="AB7" s="23">
        <f>(+SUMIFS(манзилли!$S:$S,манзилли!$D:$D,'свод(тахлил)'!$B7,манзилли!$AA:$AA,"&lt;01.04.2021",манзилли!$AA:$AA,"&gt;=01.01.2021"))</f>
        <v>0</v>
      </c>
      <c r="AC7" s="23">
        <f>(+SUMIFS(манзилли!$U:$U,манзилли!$D:$D,'свод(тахлил)'!$B7,манзилли!$AA:$AA,"&lt;01.04.2021",манзилли!$AA:$AA,"&gt;=01.01.2021"))</f>
        <v>500</v>
      </c>
      <c r="AD7" s="23">
        <f>+SUMIFS(манзилли!$Y:$Y,манзилли!$D:$D,'свод(тахлил)'!$B7,манзилли!$AA:$AA,"&lt;01.04.2021",манзилли!$AA:$AA,"&gt;=01.01.2021")</f>
        <v>498</v>
      </c>
      <c r="AE7" s="22">
        <f>+COUNTIFS(манзилли!$D:$D,'свод(тахлил)'!$B7,манзилли!$AB:$AB,"&lt;01.10.2023",манзилли!$AA:$AA,"&lt;01.04.2021",манзилли!$AA:$AA,"&gt;=01.01.2021")</f>
        <v>1</v>
      </c>
      <c r="AF7" s="23">
        <f>(+SUMIFS(манзилли!$L:$L,манзилли!$D:$D,'свод(тахлил)'!$B7,манзилли!$AB:$AB,"&lt;01.10.2023",манзилли!$AA:$AA,"&lt;01.04.2021",манзилли!$AA:$AA,"&gt;=01.01.2021"))</f>
        <v>740</v>
      </c>
      <c r="AG7" s="23">
        <f>(+SUMIFS(манзилли!$N:$N,манзилли!$D:$D,'свод(тахлил)'!$B7,манзилли!$AB:$AB,"&lt;01.10.2023",манзилли!$AA:$AA,"&lt;01.04.2021",манзилли!$AA:$AA,"&gt;=01.01.2021"))</f>
        <v>240</v>
      </c>
      <c r="AH7" s="23">
        <f>(+SUMIFS(манзилли!$R:$R,манзилли!$D:$D,'свод(тахлил)'!$B7,манзилли!$AB:$AB,"&lt;01.10.2023",манзилли!$AA:$AA,"&lt;01.04.2021",манзилли!$AA:$AA,"&gt;=01.01.2021"))</f>
        <v>500</v>
      </c>
      <c r="AI7" s="23">
        <f>(+SUMIFS(манзилли!$T:$T,манзилли!$D:$D,'свод(тахлил)'!$B7,манзилли!$AB:$AB,"&lt;01.10.2023",манзилли!$AA:$AA,"&lt;01.04.2021",манзилли!$AA:$AA,"&gt;=01.01.2021"))</f>
        <v>0</v>
      </c>
      <c r="AJ7" s="23">
        <f>(+SUMIFS(манзилли!$V:$V,манзилли!$D:$D,'свод(тахлил)'!$B7,манзилли!$AB:$AB,"&lt;01.10.2023",манзилли!$AA:$AA,"&lt;01.04.2021",манзилли!$AA:$AA,"&gt;=01.01.2021"))</f>
        <v>0</v>
      </c>
      <c r="AK7" s="23">
        <f>+SUMIFS(манзилли!$Z:$Z,манзилли!$D:$D,'свод(тахлил)'!$B7,манзилли!$AB:$AB,"&lt;01.10.2023",манзилли!$AA:$AA,"&lt;01.04.2021",манзилли!$AA:$AA,"&gt;=01.01.2021")</f>
        <v>1</v>
      </c>
      <c r="AL7" s="22">
        <f>+COUNTIFS(манзилли!$D:$D,'свод(тахлил)'!$B7,манзилли!$AA:$AA,"&lt;01.04.2021",манзилли!$AA:$AA,"&gt;=01.01.2021",манзилли!$AC:$AC,"")</f>
        <v>3</v>
      </c>
      <c r="AM7" s="23">
        <f>(+SUMIFS(манзилли!$K:$K,манзилли!$D:$D,'свод(тахлил)'!$B7,манзилли!$AA:$AA,"&lt;01.04.2021",манзилли!$AA:$AA,"&gt;=01.01.2021",манзилли!$AC:$AC,""))</f>
        <v>135550</v>
      </c>
      <c r="AN7" s="23">
        <f>(+SUMIFS(манзилли!$M:$M,манзилли!$D:$D,'свод(тахлил)'!$B7,манзилли!$AA:$AA,"&lt;01.04.2021",манзилли!$AA:$AA,"&gt;=01.01.2021",манзилли!$AC:$AC,""))</f>
        <v>130400</v>
      </c>
      <c r="AO7" s="23">
        <f>(+SUMIFS(манзилли!$Q:$Q,манзилли!$D:$D,'свод(тахлил)'!$B7,манзилли!$AA:$AA,"&lt;01.04.2021",манзилли!$AA:$AA,"&gt;=01.01.2021",манзилли!$AC:$AC,""))</f>
        <v>0</v>
      </c>
      <c r="AP7" s="23">
        <f>(+SUMIFS(манзилли!$S:$S,манзилли!$D:$D,'свод(тахлил)'!$B7,манзилли!$AA:$AA,"&lt;01.04.2021",манзилли!$AA:$AA,"&gt;=01.01.2021",манзилли!$AC:$AC,""))</f>
        <v>0</v>
      </c>
      <c r="AQ7" s="23">
        <f>(+SUMIFS(манзилли!$U:$U,манзилли!$D:$D,'свод(тахлил)'!$B7,манзилли!$AA:$AA,"&lt;01.04.2021",манзилли!$AA:$AA,"&gt;=01.01.2021",манзилли!$AC:$AC,""))</f>
        <v>500</v>
      </c>
      <c r="AR7" s="23">
        <f>+SUMIFS(манзилли!$Y:$Y,манзилли!$D:$D,'свод(тахлил)'!$B7,манзилли!$AA:$AA,"&lt;01.04.2021",манзилли!$AA:$AA,"&gt;=01.01.2021",манзилли!$AC:$AC,"")</f>
        <v>492</v>
      </c>
    </row>
    <row r="8" spans="1:44" s="3" customFormat="1" ht="35.25" customHeight="1">
      <c r="A8" s="26">
        <f>+A7+1</f>
        <v>2</v>
      </c>
      <c r="B8" s="27" t="s">
        <v>183</v>
      </c>
      <c r="C8" s="28">
        <f>+COUNTIFS(манзилли!$D:$D,'свод(тахлил)'!$B8)</f>
        <v>66</v>
      </c>
      <c r="D8" s="29">
        <f>(+SUMIFS(манзилли!$K:$K,манзилли!$D:$D,'свод(тахлил)'!$B8))</f>
        <v>229473.3</v>
      </c>
      <c r="E8" s="29">
        <f>(+SUMIFS(манзилли!$M:$M,манзилли!$D:$D,'свод(тахлил)'!$B8))</f>
        <v>83944</v>
      </c>
      <c r="F8" s="29">
        <f>(+SUMIFS(манзилли!$Q:$Q,манзилли!$D:$D,'свод(тахлил)'!$B8))</f>
        <v>45595</v>
      </c>
      <c r="G8" s="29">
        <f>(+SUMIFS(манзилли!$S:$S,манзилли!$D:$D,'свод(тахлил)'!$B8))</f>
        <v>8771</v>
      </c>
      <c r="H8" s="29">
        <f>(+SUMIFS(манзилли!$U:$U,манзилли!$D:$D,'свод(тахлил)'!$B8))</f>
        <v>0</v>
      </c>
      <c r="I8" s="30">
        <f>+SUMIFS(манзилли!$Y:$Y,манзилли!$D:$D,'свод(тахлил)'!$B8)</f>
        <v>1172</v>
      </c>
      <c r="J8" s="28">
        <f>+COUNTIFS(манзилли!$D:$D,'свод(тахлил)'!$B8,манзилли!$AA:$AA,"&lt;01.01.2022",манзилли!$AA:$AA,"&gt;=01.01.2021")</f>
        <v>47</v>
      </c>
      <c r="K8" s="29">
        <f>(+SUMIFS(манзилли!$K:$K,манзилли!$D:$D,'свод(тахлил)'!$B8,манзилли!$AA:$AA,"&lt;01.01.2022",манзилли!$AA:$AA,"&gt;=01.01.2021"))</f>
        <v>84451.5</v>
      </c>
      <c r="L8" s="29">
        <f>(+SUMIFS(манзилли!$M:$M,манзилли!$D:$D,'свод(тахлил)'!$B8,манзилли!$AA:$AA,"&lt;01.01.2022",манзилли!$AA:$AA,"&gt;=01.01.2021"))</f>
        <v>34007</v>
      </c>
      <c r="M8" s="29">
        <f>(+SUMIFS(манзилли!$Q:$Q,манзилли!$D:$D,'свод(тахлил)'!$B8,манзилли!$AA:$AA,"&lt;01.01.2022",манзилли!$AA:$AA,"&gt;=01.01.2021"))</f>
        <v>33295</v>
      </c>
      <c r="N8" s="29">
        <f>(+SUMIFS(манзилли!$S:$S,манзилли!$D:$D,'свод(тахлил)'!$B8,манзилли!$AA:$AA,"&lt;01.01.2022",манзилли!$AA:$AA,"&gt;=01.01.2021"))</f>
        <v>1665</v>
      </c>
      <c r="O8" s="29">
        <f>(+SUMIFS(манзилли!$U:$U,манзилли!$D:$D,'свод(тахлил)'!$B8,манзилли!$AA:$AA,"&lt;01.01.2022",манзилли!$AA:$AA,"&gt;=01.01.2021"))</f>
        <v>0</v>
      </c>
      <c r="P8" s="30">
        <f>+SUMIFS(манзилли!$Y:$Y,манзилли!$D:$D,'свод(тахлил)'!$B8,манзилли!$AA:$AA,"&lt;01.01.2022",манзилли!$AA:$AA,"&gt;=01.01.2021")</f>
        <v>343</v>
      </c>
      <c r="Q8" s="28">
        <f>+COUNTIFS(манзилли!$D:$D,'свод(тахлил)'!$B8,манзилли!$AB:$AB,"&lt;01.10.2023",манзилли!$AA:$AA,"&lt;01.01.2022",манзилли!$AA:$AA,"&gt;=01.01.2021")</f>
        <v>8</v>
      </c>
      <c r="R8" s="29">
        <f>(+SUMIFS(манзилли!$L:$L,манзилли!$D:$D,'свод(тахлил)'!$B8,манзилли!$AB:$AB,"&lt;01.10.2023",манзилли!$AA:$AA,"&lt;01.01.2022",манзилли!$AA:$AA,"&gt;=01.01.2021"))</f>
        <v>10706.6</v>
      </c>
      <c r="S8" s="29">
        <f>(+SUMIFS(манзилли!$N:$N,манзилли!$D:$D,'свод(тахлил)'!$B8,манзилли!$AB:$AB,"&lt;01.10.2023",манзилли!$AA:$AA,"&lt;01.01.2022",манзилли!$AA:$AA,"&gt;=01.01.2021"))</f>
        <v>6352.1</v>
      </c>
      <c r="T8" s="29">
        <f>(+SUMIFS(манзилли!$R:$R,манзилли!$D:$D,'свод(тахлил)'!$B8,манзилли!$AB:$AB,"&lt;01.10.2023",манзилли!$AA:$AA,"&lt;01.01.2022",манзилли!$AA:$AA,"&gt;=01.01.2021"))</f>
        <v>4354.5</v>
      </c>
      <c r="U8" s="29">
        <f>(+SUMIFS(манзилли!$T:$T,манзилли!$D:$D,'свод(тахлил)'!$B8,манзилли!$AB:$AB,"&lt;01.10.2023",манзилли!$AA:$AA,"&lt;01.01.2022",манзилли!$AA:$AA,"&gt;=01.01.2021"))</f>
        <v>0</v>
      </c>
      <c r="V8" s="29">
        <f>(+SUMIFS(манзилли!$V:$V,манзилли!$D:$D,'свод(тахлил)'!$B8,манзилли!$AB:$AB,"&lt;01.10.2023",манзилли!$AA:$AA,"&lt;01.01.2022",манзилли!$AA:$AA,"&gt;=01.01.2021"))</f>
        <v>0</v>
      </c>
      <c r="W8" s="30">
        <f>+SUMIFS(манзилли!$Z:$Z,манзилли!$D:$D,'свод(тахлил)'!$B8,манзилли!$AB:$AB,"&lt;01.10.2023",манзилли!$AA:$AA,"&lt;01.01.2022",манзилли!$AA:$AA,"&gt;=01.01.2021")</f>
        <v>55</v>
      </c>
      <c r="X8" s="28">
        <f>+COUNTIFS(манзилли!$D:$D,'свод(тахлил)'!$B8,манзилли!$AA:$AA,"&lt;01.04.2021",манзилли!$AA:$AA,"&gt;=01.01.2021")</f>
        <v>5</v>
      </c>
      <c r="Y8" s="29">
        <f>(+SUMIFS(манзилли!$K:$K,манзилли!$D:$D,'свод(тахлил)'!$B8,манзилли!$AA:$AA,"&lt;01.04.2021",манзилли!$AA:$AA,"&gt;=01.01.2021"))</f>
        <v>2700</v>
      </c>
      <c r="Z8" s="29">
        <f>(+SUMIFS(манзилли!$M:$M,манзилли!$D:$D,'свод(тахлил)'!$B8,манзилли!$AA:$AA,"&lt;01.04.2021",манзилли!$AA:$AA,"&gt;=01.01.2021"))</f>
        <v>800</v>
      </c>
      <c r="AA8" s="29">
        <f>(+SUMIFS(манзилли!$Q:$Q,манзилли!$D:$D,'свод(тахлил)'!$B8,манзилли!$AA:$AA,"&lt;01.04.2021",манзилли!$AA:$AA,"&gt;=01.01.2021"))</f>
        <v>1900</v>
      </c>
      <c r="AB8" s="29">
        <f>(+SUMIFS(манзилли!$S:$S,манзилли!$D:$D,'свод(тахлил)'!$B8,манзилли!$AA:$AA,"&lt;01.04.2021",манзилли!$AA:$AA,"&gt;=01.01.2021"))</f>
        <v>0</v>
      </c>
      <c r="AC8" s="29">
        <f>(+SUMIFS(манзилли!$U:$U,манзилли!$D:$D,'свод(тахлил)'!$B8,манзилли!$AA:$AA,"&lt;01.04.2021",манзилли!$AA:$AA,"&gt;=01.01.2021"))</f>
        <v>0</v>
      </c>
      <c r="AD8" s="30">
        <f>+SUMIFS(манзилли!$Y:$Y,манзилли!$D:$D,'свод(тахлил)'!$B8,манзилли!$AA:$AA,"&lt;01.04.2021",манзилли!$AA:$AA,"&gt;=01.01.2021")</f>
        <v>25</v>
      </c>
      <c r="AE8" s="28">
        <f>+COUNTIFS(манзилли!$D:$D,'свод(тахлил)'!$B8,манзилли!$AB:$AB,"&lt;01.10.2023",манзилли!$AA:$AA,"&lt;01.04.2021",манзилли!$AA:$AA,"&gt;=01.01.2021")</f>
        <v>3</v>
      </c>
      <c r="AF8" s="29">
        <f>(+SUMIFS(манзилли!$L:$L,манзилли!$D:$D,'свод(тахлил)'!$B8,манзилли!$AB:$AB,"&lt;01.10.2023",манзилли!$AA:$AA,"&lt;01.04.2021",манзилли!$AA:$AA,"&gt;=01.01.2021"))</f>
        <v>1820</v>
      </c>
      <c r="AG8" s="29">
        <f>(+SUMIFS(манзилли!$N:$N,манзилли!$D:$D,'свод(тахлил)'!$B8,манзилли!$AB:$AB,"&lt;01.10.2023",манзилли!$AA:$AA,"&lt;01.04.2021",манзилли!$AA:$AA,"&gt;=01.01.2021"))</f>
        <v>300</v>
      </c>
      <c r="AH8" s="29">
        <f>(+SUMIFS(манзилли!$R:$R,манзилли!$D:$D,'свод(тахлил)'!$B8,манзилли!$AB:$AB,"&lt;01.10.2023",манзилли!$AA:$AA,"&lt;01.04.2021",манзилли!$AA:$AA,"&gt;=01.01.2021"))</f>
        <v>1520</v>
      </c>
      <c r="AI8" s="29">
        <f>(+SUMIFS(манзилли!$T:$T,манзилли!$D:$D,'свод(тахлил)'!$B8,манзилли!$AB:$AB,"&lt;01.10.2023",манзилли!$AA:$AA,"&lt;01.04.2021",манзилли!$AA:$AA,"&gt;=01.01.2021"))</f>
        <v>0</v>
      </c>
      <c r="AJ8" s="29">
        <f>(+SUMIFS(манзилли!$V:$V,манзилли!$D:$D,'свод(тахлил)'!$B8,манзилли!$AB:$AB,"&lt;01.10.2023",манзилли!$AA:$AA,"&lt;01.04.2021",манзилли!$AA:$AA,"&gt;=01.01.2021"))</f>
        <v>0</v>
      </c>
      <c r="AK8" s="30">
        <f>+SUMIFS(манзилли!$Z:$Z,манзилли!$D:$D,'свод(тахлил)'!$B8,манзилли!$AB:$AB,"&lt;01.10.2023",манзилли!$AA:$AA,"&lt;01.04.2021",манзилли!$AA:$AA,"&gt;=01.01.2021")</f>
        <v>20</v>
      </c>
      <c r="AL8" s="28">
        <f>+COUNTIFS(манзилли!$D:$D,'свод(тахлил)'!$B8,манзилли!$AA:$AA,"&lt;01.04.2021",манзилли!$AA:$AA,"&gt;=01.01.2021",манзилли!$AC:$AC,"")</f>
        <v>2</v>
      </c>
      <c r="AM8" s="29">
        <f>(+SUMIFS(манзилли!$K:$K,манзилли!$D:$D,'свод(тахлил)'!$B8,манзилли!$AA:$AA,"&lt;01.04.2021",манзилли!$AA:$AA,"&gt;=01.01.2021",манзилли!$AC:$AC,""))</f>
        <v>700</v>
      </c>
      <c r="AN8" s="29">
        <f>(+SUMIFS(манзилли!$M:$M,манзилли!$D:$D,'свод(тахлил)'!$B8,манзилли!$AA:$AA,"&lt;01.04.2021",манзилли!$AA:$AA,"&gt;=01.01.2021",манзилли!$AC:$AC,""))</f>
        <v>350</v>
      </c>
      <c r="AO8" s="29">
        <f>(+SUMIFS(манзилли!$Q:$Q,манзилли!$D:$D,'свод(тахлил)'!$B8,манзилли!$AA:$AA,"&lt;01.04.2021",манзилли!$AA:$AA,"&gt;=01.01.2021",манзилли!$AC:$AC,""))</f>
        <v>350</v>
      </c>
      <c r="AP8" s="29">
        <f>(+SUMIFS(манзилли!$S:$S,манзилли!$D:$D,'свод(тахлил)'!$B8,манзилли!$AA:$AA,"&lt;01.04.2021",манзилли!$AA:$AA,"&gt;=01.01.2021",манзилли!$AC:$AC,""))</f>
        <v>0</v>
      </c>
      <c r="AQ8" s="29">
        <f>(+SUMIFS(манзилли!$U:$U,манзилли!$D:$D,'свод(тахлил)'!$B8,манзилли!$AA:$AA,"&lt;01.04.2021",манзилли!$AA:$AA,"&gt;=01.01.2021",манзилли!$AC:$AC,""))</f>
        <v>0</v>
      </c>
      <c r="AR8" s="30">
        <f>+SUMIFS(манзилли!$Y:$Y,манзилли!$D:$D,'свод(тахлил)'!$B8,манзилли!$AA:$AA,"&lt;01.04.2021",манзилли!$AA:$AA,"&gt;=01.01.2021",манзилли!$AC:$AC,"")</f>
        <v>7</v>
      </c>
    </row>
    <row r="9" spans="1:44" s="3" customFormat="1" ht="35.25" customHeight="1">
      <c r="A9" s="26">
        <f t="shared" ref="A9:A21" si="3">+A8+1</f>
        <v>3</v>
      </c>
      <c r="B9" s="27" t="s">
        <v>187</v>
      </c>
      <c r="C9" s="28">
        <f>+COUNTIFS(манзилли!$D:$D,'свод(тахлил)'!$B9)</f>
        <v>43</v>
      </c>
      <c r="D9" s="29">
        <f>(+SUMIFS(манзилли!$K:$K,манзилли!$D:$D,'свод(тахлил)'!$B9))</f>
        <v>311794.22011578945</v>
      </c>
      <c r="E9" s="29">
        <f>(+SUMIFS(манзилли!$M:$M,манзилли!$D:$D,'свод(тахлил)'!$B9))</f>
        <v>53173.50745578947</v>
      </c>
      <c r="F9" s="29">
        <f>(+SUMIFS(манзилли!$Q:$Q,манзилли!$D:$D,'свод(тахлил)'!$B9))</f>
        <v>37634.212659999997</v>
      </c>
      <c r="G9" s="29">
        <f>(+SUMIFS(манзилли!$S:$S,манзилли!$D:$D,'свод(тахлил)'!$B9))</f>
        <v>7455</v>
      </c>
      <c r="H9" s="29">
        <f>(+SUMIFS(манзилли!$U:$U,манзилли!$D:$D,'свод(тахлил)'!$B9))</f>
        <v>14000</v>
      </c>
      <c r="I9" s="30">
        <f>+SUMIFS(манзилли!$Y:$Y,манзилли!$D:$D,'свод(тахлил)'!$B9)</f>
        <v>714</v>
      </c>
      <c r="J9" s="28">
        <f>+COUNTIFS(манзилли!$D:$D,'свод(тахлил)'!$B9,манзилли!$AA:$AA,"&lt;01.01.2022",манзилли!$AA:$AA,"&gt;=01.01.2021")</f>
        <v>39</v>
      </c>
      <c r="K9" s="29">
        <f>(+SUMIFS(манзилли!$K:$K,манзилли!$D:$D,'свод(тахлил)'!$B9,манзилли!$AA:$AA,"&lt;01.01.2022",манзилли!$AA:$AA,"&gt;=01.01.2021"))</f>
        <v>302738.22011578945</v>
      </c>
      <c r="L9" s="29">
        <f>(+SUMIFS(манзилли!$M:$M,манзилли!$D:$D,'свод(тахлил)'!$B9,манзилли!$AA:$AA,"&lt;01.01.2022",манзилли!$AA:$AA,"&gt;=01.01.2021"))</f>
        <v>48993.50745578947</v>
      </c>
      <c r="M9" s="29">
        <f>(+SUMIFS(манзилли!$Q:$Q,манзилли!$D:$D,'свод(тахлил)'!$B9,манзилли!$AA:$AA,"&lt;01.01.2022",манзилли!$AA:$AA,"&gt;=01.01.2021"))</f>
        <v>37084.212659999997</v>
      </c>
      <c r="N9" s="29">
        <f>(+SUMIFS(манзилли!$S:$S,манзилли!$D:$D,'свод(тахлил)'!$B9,манзилли!$AA:$AA,"&lt;01.01.2022",манзилли!$AA:$AA,"&gt;=01.01.2021"))</f>
        <v>7035</v>
      </c>
      <c r="O9" s="29">
        <f>(+SUMIFS(манзилли!$U:$U,манзилли!$D:$D,'свод(тахлил)'!$B9,манзилли!$AA:$AA,"&lt;01.01.2022",манзилли!$AA:$AA,"&gt;=01.01.2021"))</f>
        <v>14000</v>
      </c>
      <c r="P9" s="30">
        <f>+SUMIFS(манзилли!$Y:$Y,манзилли!$D:$D,'свод(тахлил)'!$B9,манзилли!$AA:$AA,"&lt;01.01.2022",манзилли!$AA:$AA,"&gt;=01.01.2021")</f>
        <v>687</v>
      </c>
      <c r="Q9" s="28">
        <f>+COUNTIFS(манзилли!$D:$D,'свод(тахлил)'!$B9,манзилли!$AB:$AB,"&lt;01.10.2023",манзилли!$AA:$AA,"&lt;01.01.2022",манзилли!$AA:$AA,"&gt;=01.01.2021")</f>
        <v>3</v>
      </c>
      <c r="R9" s="29">
        <f>(+SUMIFS(манзилли!$L:$L,манзилли!$D:$D,'свод(тахлил)'!$B9,манзилли!$AB:$AB,"&lt;01.10.2023",манзилли!$AA:$AA,"&lt;01.01.2022",манзилли!$AA:$AA,"&gt;=01.01.2021"))</f>
        <v>5698</v>
      </c>
      <c r="S9" s="29">
        <f>(+SUMIFS(манзилли!$N:$N,манзилли!$D:$D,'свод(тахлил)'!$B9,манзилли!$AB:$AB,"&lt;01.10.2023",манзилли!$AA:$AA,"&lt;01.01.2022",манзилли!$AA:$AA,"&gt;=01.01.2021"))</f>
        <v>3341</v>
      </c>
      <c r="T9" s="29">
        <f>(+SUMIFS(манзилли!$R:$R,манзилли!$D:$D,'свод(тахлил)'!$B9,манзилли!$AB:$AB,"&lt;01.10.2023",манзилли!$AA:$AA,"&lt;01.01.2022",манзилли!$AA:$AA,"&gt;=01.01.2021"))</f>
        <v>2357</v>
      </c>
      <c r="U9" s="29">
        <f>(+SUMIFS(манзилли!$T:$T,манзилли!$D:$D,'свод(тахлил)'!$B9,манзилли!$AB:$AB,"&lt;01.10.2023",манзилли!$AA:$AA,"&lt;01.01.2022",манзилли!$AA:$AA,"&gt;=01.01.2021"))</f>
        <v>0</v>
      </c>
      <c r="V9" s="29">
        <f>(+SUMIFS(манзилли!$V:$V,манзилли!$D:$D,'свод(тахлил)'!$B9,манзилли!$AB:$AB,"&lt;01.10.2023",манзилли!$AA:$AA,"&lt;01.01.2022",манзилли!$AA:$AA,"&gt;=01.01.2021"))</f>
        <v>0</v>
      </c>
      <c r="W9" s="30">
        <f>+SUMIFS(манзилли!$Z:$Z,манзилли!$D:$D,'свод(тахлил)'!$B9,манзилли!$AB:$AB,"&lt;01.10.2023",манзилли!$AA:$AA,"&lt;01.01.2022",манзилли!$AA:$AA,"&gt;=01.01.2021")</f>
        <v>12</v>
      </c>
      <c r="X9" s="28">
        <f>+COUNTIFS(манзилли!$D:$D,'свод(тахлил)'!$B9,манзилли!$AA:$AA,"&lt;01.04.2021",манзилли!$AA:$AA,"&gt;=01.01.2021")</f>
        <v>6</v>
      </c>
      <c r="Y9" s="29">
        <f>(+SUMIFS(манзилли!$K:$K,манзилли!$D:$D,'свод(тахлил)'!$B9,манзилли!$AA:$AA,"&lt;01.04.2021",манзилли!$AA:$AA,"&gt;=01.01.2021"))</f>
        <v>5551.2418000000007</v>
      </c>
      <c r="Z9" s="29">
        <f>(+SUMIFS(манзилли!$M:$M,манзилли!$D:$D,'свод(тахлил)'!$B9,манзилли!$AA:$AA,"&lt;01.04.2021",манзилли!$AA:$AA,"&gt;=01.01.2021"))</f>
        <v>1472.8955400000002</v>
      </c>
      <c r="AA9" s="29">
        <f>(+SUMIFS(манзилли!$Q:$Q,манзилли!$D:$D,'свод(тахлил)'!$B9,манзилли!$AA:$AA,"&lt;01.04.2021",манзилли!$AA:$AA,"&gt;=01.01.2021"))</f>
        <v>4078.3462600000003</v>
      </c>
      <c r="AB9" s="29">
        <f>(+SUMIFS(манзилли!$S:$S,манзилли!$D:$D,'свод(тахлил)'!$B9,манзилли!$AA:$AA,"&lt;01.04.2021",манзилли!$AA:$AA,"&gt;=01.01.2021"))</f>
        <v>0</v>
      </c>
      <c r="AC9" s="29">
        <f>(+SUMIFS(манзилли!$U:$U,манзилли!$D:$D,'свод(тахлил)'!$B9,манзилли!$AA:$AA,"&lt;01.04.2021",манзилли!$AA:$AA,"&gt;=01.01.2021"))</f>
        <v>0</v>
      </c>
      <c r="AD9" s="30">
        <f>+SUMIFS(манзилли!$Y:$Y,манзилли!$D:$D,'свод(тахлил)'!$B9,манзилли!$AA:$AA,"&lt;01.04.2021",манзилли!$AA:$AA,"&gt;=01.01.2021")</f>
        <v>53</v>
      </c>
      <c r="AE9" s="28">
        <f>+COUNTIFS(манзилли!$D:$D,'свод(тахлил)'!$B9,манзилли!$AB:$AB,"&lt;01.10.2023",манзилли!$AA:$AA,"&lt;01.04.2021",манзилли!$AA:$AA,"&gt;=01.01.2021")</f>
        <v>2</v>
      </c>
      <c r="AF9" s="29">
        <f>(+SUMIFS(манзилли!$L:$L,манзилли!$D:$D,'свод(тахлил)'!$B9,манзилли!$AB:$AB,"&lt;01.10.2023",манзилли!$AA:$AA,"&lt;01.04.2021",манзилли!$AA:$AA,"&gt;=01.01.2021"))</f>
        <v>4724</v>
      </c>
      <c r="AG9" s="29">
        <f>(+SUMIFS(манзилли!$N:$N,манзилли!$D:$D,'свод(тахлил)'!$B9,манзилли!$AB:$AB,"&lt;01.10.2023",манзилли!$AA:$AA,"&lt;01.04.2021",манзилли!$AA:$AA,"&gt;=01.01.2021"))</f>
        <v>2667</v>
      </c>
      <c r="AH9" s="29">
        <f>(+SUMIFS(манзилли!$R:$R,манзилли!$D:$D,'свод(тахлил)'!$B9,манзилли!$AB:$AB,"&lt;01.10.2023",манзилли!$AA:$AA,"&lt;01.04.2021",манзилли!$AA:$AA,"&gt;=01.01.2021"))</f>
        <v>2057</v>
      </c>
      <c r="AI9" s="29">
        <f>(+SUMIFS(манзилли!$T:$T,манзилли!$D:$D,'свод(тахлил)'!$B9,манзилли!$AB:$AB,"&lt;01.10.2023",манзилли!$AA:$AA,"&lt;01.04.2021",манзилли!$AA:$AA,"&gt;=01.01.2021"))</f>
        <v>0</v>
      </c>
      <c r="AJ9" s="29">
        <f>(+SUMIFS(манзилли!$V:$V,манзилли!$D:$D,'свод(тахлил)'!$B9,манзилли!$AB:$AB,"&lt;01.10.2023",манзилли!$AA:$AA,"&lt;01.04.2021",манзилли!$AA:$AA,"&gt;=01.01.2021"))</f>
        <v>0</v>
      </c>
      <c r="AK9" s="30">
        <f>+SUMIFS(манзилли!$Z:$Z,манзилли!$D:$D,'свод(тахлил)'!$B9,манзилли!$AB:$AB,"&lt;01.10.2023",манзилли!$AA:$AA,"&lt;01.04.2021",манзилли!$AA:$AA,"&gt;=01.01.2021")</f>
        <v>8</v>
      </c>
      <c r="AL9" s="28">
        <f>+COUNTIFS(манзилли!$D:$D,'свод(тахлил)'!$B9,манзилли!$AA:$AA,"&lt;01.04.2021",манзилли!$AA:$AA,"&gt;=01.01.2021",манзилли!$AC:$AC,"")</f>
        <v>4</v>
      </c>
      <c r="AM9" s="29">
        <f>(+SUMIFS(манзилли!$K:$K,манзилли!$D:$D,'свод(тахлил)'!$B9,манзилли!$AA:$AA,"&lt;01.04.2021",манзилли!$AA:$AA,"&gt;=01.01.2021",манзилли!$AC:$AC,""))</f>
        <v>2811.3518000000004</v>
      </c>
      <c r="AN9" s="29">
        <f>(+SUMIFS(манзилли!$M:$M,манзилли!$D:$D,'свод(тахлил)'!$B9,манзилли!$AA:$AA,"&lt;01.04.2021",манзилли!$AA:$AA,"&gt;=01.01.2021",манзилли!$AC:$AC,""))</f>
        <v>790.4055400000002</v>
      </c>
      <c r="AO9" s="29">
        <f>(+SUMIFS(манзилли!$Q:$Q,манзилли!$D:$D,'свод(тахлил)'!$B9,манзилли!$AA:$AA,"&lt;01.04.2021",манзилли!$AA:$AA,"&gt;=01.01.2021",манзилли!$AC:$AC,""))</f>
        <v>2020.9462599999999</v>
      </c>
      <c r="AP9" s="29">
        <f>(+SUMIFS(манзилли!$S:$S,манзилли!$D:$D,'свод(тахлил)'!$B9,манзилли!$AA:$AA,"&lt;01.04.2021",манзилли!$AA:$AA,"&gt;=01.01.2021",манзилли!$AC:$AC,""))</f>
        <v>0</v>
      </c>
      <c r="AQ9" s="29">
        <f>(+SUMIFS(манзилли!$U:$U,манзилли!$D:$D,'свод(тахлил)'!$B9,манзилли!$AA:$AA,"&lt;01.04.2021",манзилли!$AA:$AA,"&gt;=01.01.2021",манзилли!$AC:$AC,""))</f>
        <v>0</v>
      </c>
      <c r="AR9" s="30">
        <f>+SUMIFS(манзилли!$Y:$Y,манзилли!$D:$D,'свод(тахлил)'!$B9,манзилли!$AA:$AA,"&lt;01.04.2021",манзилли!$AA:$AA,"&gt;=01.01.2021",манзилли!$AC:$AC,"")</f>
        <v>30</v>
      </c>
    </row>
    <row r="10" spans="1:44" s="3" customFormat="1" ht="35.25" customHeight="1">
      <c r="A10" s="26">
        <f t="shared" si="3"/>
        <v>4</v>
      </c>
      <c r="B10" s="27" t="s">
        <v>210</v>
      </c>
      <c r="C10" s="28">
        <f>+COUNTIFS(манзилли!$D:$D,'свод(тахлил)'!$B10)</f>
        <v>210</v>
      </c>
      <c r="D10" s="29">
        <f>(+SUMIFS(манзилли!$K:$K,манзилли!$D:$D,'свод(тахлил)'!$B10))</f>
        <v>1860707.3</v>
      </c>
      <c r="E10" s="29">
        <f>(+SUMIFS(манзилли!$M:$M,манзилли!$D:$D,'свод(тахлил)'!$B10))</f>
        <v>694827</v>
      </c>
      <c r="F10" s="29">
        <f>(+SUMIFS(манзилли!$Q:$Q,манзилли!$D:$D,'свод(тахлил)'!$B10))</f>
        <v>573390</v>
      </c>
      <c r="G10" s="29">
        <f>(+SUMIFS(манзилли!$S:$S,манзилли!$D:$D,'свод(тахлил)'!$B10))</f>
        <v>49281</v>
      </c>
      <c r="H10" s="29">
        <f>(+SUMIFS(манзилли!$U:$U,манзилли!$D:$D,'свод(тахлил)'!$B10))</f>
        <v>12110</v>
      </c>
      <c r="I10" s="30">
        <f>+SUMIFS(манзилли!$Y:$Y,манзилли!$D:$D,'свод(тахлил)'!$B10)</f>
        <v>4769</v>
      </c>
      <c r="J10" s="28">
        <f>+COUNTIFS(манзилли!$D:$D,'свод(тахлил)'!$B10,манзилли!$AA:$AA,"&lt;01.01.2022",манзилли!$AA:$AA,"&gt;=01.01.2021")</f>
        <v>149</v>
      </c>
      <c r="K10" s="29">
        <f>(+SUMIFS(манзилли!$K:$K,манзилли!$D:$D,'свод(тахлил)'!$B10,манзилли!$AA:$AA,"&lt;01.01.2022",манзилли!$AA:$AA,"&gt;=01.01.2021"))</f>
        <v>1238187.3</v>
      </c>
      <c r="L10" s="29">
        <f>(+SUMIFS(манзилли!$M:$M,манзилли!$D:$D,'свод(тахлил)'!$B10,манзилли!$AA:$AA,"&lt;01.01.2022",манзилли!$AA:$AA,"&gt;=01.01.2021"))</f>
        <v>463087</v>
      </c>
      <c r="M10" s="29">
        <f>(+SUMIFS(манзилли!$Q:$Q,манзилли!$D:$D,'свод(тахлил)'!$B10,манзилли!$AA:$AA,"&lt;01.01.2022",манзилли!$AA:$AA,"&gt;=01.01.2021"))</f>
        <v>274740</v>
      </c>
      <c r="N10" s="29">
        <f>(+SUMIFS(манзилли!$S:$S,манзилли!$D:$D,'свод(тахлил)'!$B10,манзилли!$AA:$AA,"&lt;01.01.2022",манзилли!$AA:$AA,"&gt;=01.01.2021"))</f>
        <v>42101</v>
      </c>
      <c r="O10" s="29">
        <f>(+SUMIFS(манзилли!$U:$U,манзилли!$D:$D,'свод(тахлил)'!$B10,манзилли!$AA:$AA,"&lt;01.01.2022",манзилли!$AA:$AA,"&gt;=01.01.2021"))</f>
        <v>9710</v>
      </c>
      <c r="P10" s="30">
        <f>+SUMIFS(манзилли!$Y:$Y,манзилли!$D:$D,'свод(тахлил)'!$B10,манзилли!$AA:$AA,"&lt;01.01.2022",манзилли!$AA:$AA,"&gt;=01.01.2021")</f>
        <v>3162</v>
      </c>
      <c r="Q10" s="28">
        <f>+COUNTIFS(манзилли!$D:$D,'свод(тахлил)'!$B10,манзилли!$AB:$AB,"&lt;01.10.2023",манзилли!$AA:$AA,"&lt;01.01.2022",манзилли!$AA:$AA,"&gt;=01.01.2021")</f>
        <v>8</v>
      </c>
      <c r="R10" s="29">
        <f>(+SUMIFS(манзилли!$L:$L,манзилли!$D:$D,'свод(тахлил)'!$B10,манзилли!$AB:$AB,"&lt;01.10.2023",манзилли!$AA:$AA,"&lt;01.01.2022",манзилли!$AA:$AA,"&gt;=01.01.2021"))</f>
        <v>5715</v>
      </c>
      <c r="S10" s="29">
        <f>(+SUMIFS(манзилли!$N:$N,манзилли!$D:$D,'свод(тахлил)'!$B10,манзилли!$AB:$AB,"&lt;01.10.2023",манзилли!$AA:$AA,"&lt;01.01.2022",манзилли!$AA:$AA,"&gt;=01.01.2021"))</f>
        <v>4470</v>
      </c>
      <c r="T10" s="29">
        <f>(+SUMIFS(манзилли!$R:$R,манзилли!$D:$D,'свод(тахлил)'!$B10,манзилли!$AB:$AB,"&lt;01.10.2023",манзилли!$AA:$AA,"&lt;01.01.2022",манзилли!$AA:$AA,"&gt;=01.01.2021"))</f>
        <v>1245</v>
      </c>
      <c r="U10" s="29">
        <f>(+SUMIFS(манзилли!$T:$T,манзилли!$D:$D,'свод(тахлил)'!$B10,манзилли!$AB:$AB,"&lt;01.10.2023",манзилли!$AA:$AA,"&lt;01.01.2022",манзилли!$AA:$AA,"&gt;=01.01.2021"))</f>
        <v>0</v>
      </c>
      <c r="V10" s="29">
        <f>(+SUMIFS(манзилли!$V:$V,манзилли!$D:$D,'свод(тахлил)'!$B10,манзилли!$AB:$AB,"&lt;01.10.2023",манзилли!$AA:$AA,"&lt;01.01.2022",манзилли!$AA:$AA,"&gt;=01.01.2021"))</f>
        <v>0</v>
      </c>
      <c r="W10" s="30">
        <f>+SUMIFS(манзилли!$Z:$Z,манзилли!$D:$D,'свод(тахлил)'!$B10,манзилли!$AB:$AB,"&lt;01.10.2023",манзилли!$AA:$AA,"&lt;01.01.2022",манзилли!$AA:$AA,"&gt;=01.01.2021")</f>
        <v>28</v>
      </c>
      <c r="X10" s="28">
        <f>+COUNTIFS(манзилли!$D:$D,'свод(тахлил)'!$B10,манзилли!$AA:$AA,"&lt;01.04.2021",манзилли!$AA:$AA,"&gt;=01.01.2021")</f>
        <v>15</v>
      </c>
      <c r="Y10" s="29">
        <f>(+SUMIFS(манзилли!$K:$K,манзилли!$D:$D,'свод(тахлил)'!$B10,манзилли!$AA:$AA,"&lt;01.04.2021",манзилли!$AA:$AA,"&gt;=01.01.2021"))</f>
        <v>83922</v>
      </c>
      <c r="Z10" s="29">
        <f>(+SUMIFS(манзилли!$M:$M,манзилли!$D:$D,'свод(тахлил)'!$B10,манзилли!$AA:$AA,"&lt;01.04.2021",манзилли!$AA:$AA,"&gt;=01.01.2021"))</f>
        <v>41450</v>
      </c>
      <c r="AA10" s="29">
        <f>(+SUMIFS(манзилли!$Q:$Q,манзилли!$D:$D,'свод(тахлил)'!$B10,манзилли!$AA:$AA,"&lt;01.04.2021",манзилли!$AA:$AA,"&gt;=01.01.2021"))</f>
        <v>33910</v>
      </c>
      <c r="AB10" s="29">
        <f>(+SUMIFS(манзилли!$S:$S,манзилли!$D:$D,'свод(тахлил)'!$B10,манзилли!$AA:$AA,"&lt;01.04.2021",манзилли!$AA:$AA,"&gt;=01.01.2021"))</f>
        <v>600</v>
      </c>
      <c r="AC10" s="29">
        <f>(+SUMIFS(манзилли!$U:$U,манзилли!$D:$D,'свод(тахлил)'!$B10,манзилли!$AA:$AA,"&lt;01.04.2021",манзилли!$AA:$AA,"&gt;=01.01.2021"))</f>
        <v>260</v>
      </c>
      <c r="AD10" s="30">
        <f>+SUMIFS(манзилли!$Y:$Y,манзилли!$D:$D,'свод(тахлил)'!$B10,манзилли!$AA:$AA,"&lt;01.04.2021",манзилли!$AA:$AA,"&gt;=01.01.2021")</f>
        <v>337</v>
      </c>
      <c r="AE10" s="28">
        <f>+COUNTIFS(манзилли!$D:$D,'свод(тахлил)'!$B10,манзилли!$AB:$AB,"&lt;01.10.2023",манзилли!$AA:$AA,"&lt;01.04.2021",манзилли!$AA:$AA,"&gt;=01.01.2021")</f>
        <v>2</v>
      </c>
      <c r="AF10" s="29">
        <f>(+SUMIFS(манзилли!$L:$L,манзилли!$D:$D,'свод(тахлил)'!$B10,манзилли!$AB:$AB,"&lt;01.10.2023",манзилли!$AA:$AA,"&lt;01.04.2021",манзилли!$AA:$AA,"&gt;=01.01.2021"))</f>
        <v>2100</v>
      </c>
      <c r="AG10" s="29">
        <f>(+SUMIFS(манзилли!$N:$N,манзилли!$D:$D,'свод(тахлил)'!$B10,манзилли!$AB:$AB,"&lt;01.10.2023",манзилли!$AA:$AA,"&lt;01.04.2021",манзилли!$AA:$AA,"&gt;=01.01.2021"))</f>
        <v>2000</v>
      </c>
      <c r="AH10" s="29">
        <f>(+SUMIFS(манзилли!$R:$R,манзилли!$D:$D,'свод(тахлил)'!$B10,манзилли!$AB:$AB,"&lt;01.10.2023",манзилли!$AA:$AA,"&lt;01.04.2021",манзилли!$AA:$AA,"&gt;=01.01.2021"))</f>
        <v>100</v>
      </c>
      <c r="AI10" s="29">
        <f>(+SUMIFS(манзилли!$T:$T,манзилли!$D:$D,'свод(тахлил)'!$B10,манзилли!$AB:$AB,"&lt;01.10.2023",манзилли!$AA:$AA,"&lt;01.04.2021",манзилли!$AA:$AA,"&gt;=01.01.2021"))</f>
        <v>0</v>
      </c>
      <c r="AJ10" s="29">
        <f>(+SUMIFS(манзилли!$V:$V,манзилли!$D:$D,'свод(тахлил)'!$B10,манзилли!$AB:$AB,"&lt;01.10.2023",манзилли!$AA:$AA,"&lt;01.04.2021",манзилли!$AA:$AA,"&gt;=01.01.2021"))</f>
        <v>0</v>
      </c>
      <c r="AK10" s="30">
        <f>+SUMIFS(манзилли!$Z:$Z,манзилли!$D:$D,'свод(тахлил)'!$B10,манзилли!$AB:$AB,"&lt;01.10.2023",манзилли!$AA:$AA,"&lt;01.04.2021",манзилли!$AA:$AA,"&gt;=01.01.2021")</f>
        <v>4</v>
      </c>
      <c r="AL10" s="28">
        <f>+COUNTIFS(манзилли!$D:$D,'свод(тахлил)'!$B10,манзилли!$AA:$AA,"&lt;01.04.2021",манзилли!$AA:$AA,"&gt;=01.01.2021",манзилли!$AC:$AC,"")</f>
        <v>13</v>
      </c>
      <c r="AM10" s="29">
        <f>(+SUMIFS(манзилли!$K:$K,манзилли!$D:$D,'свод(тахлил)'!$B10,манзилли!$AA:$AA,"&lt;01.04.2021",манзилли!$AA:$AA,"&gt;=01.01.2021",манзилли!$AC:$AC,""))</f>
        <v>81822</v>
      </c>
      <c r="AN10" s="29">
        <f>(+SUMIFS(манзилли!$M:$M,манзилли!$D:$D,'свод(тахлил)'!$B10,манзилли!$AA:$AA,"&lt;01.04.2021",манзилли!$AA:$AA,"&gt;=01.01.2021",манзилли!$AC:$AC,""))</f>
        <v>39450</v>
      </c>
      <c r="AO10" s="29">
        <f>(+SUMIFS(манзилли!$Q:$Q,манзилли!$D:$D,'свод(тахлил)'!$B10,манзилли!$AA:$AA,"&lt;01.04.2021",манзилли!$AA:$AA,"&gt;=01.01.2021",манзилли!$AC:$AC,""))</f>
        <v>33810</v>
      </c>
      <c r="AP10" s="29">
        <f>(+SUMIFS(манзилли!$S:$S,манзилли!$D:$D,'свод(тахлил)'!$B10,манзилли!$AA:$AA,"&lt;01.04.2021",манзилли!$AA:$AA,"&gt;=01.01.2021",манзилли!$AC:$AC,""))</f>
        <v>600</v>
      </c>
      <c r="AQ10" s="29">
        <f>(+SUMIFS(манзилли!$U:$U,манзилли!$D:$D,'свод(тахлил)'!$B10,манзилли!$AA:$AA,"&lt;01.04.2021",манзилли!$AA:$AA,"&gt;=01.01.2021",манзилли!$AC:$AC,""))</f>
        <v>260</v>
      </c>
      <c r="AR10" s="30">
        <f>+SUMIFS(манзилли!$Y:$Y,манзилли!$D:$D,'свод(тахлил)'!$B10,манзилли!$AA:$AA,"&lt;01.04.2021",манзилли!$AA:$AA,"&gt;=01.01.2021",манзилли!$AC:$AC,"")</f>
        <v>333</v>
      </c>
    </row>
    <row r="11" spans="1:44" s="3" customFormat="1" ht="35.25" customHeight="1">
      <c r="A11" s="26">
        <f t="shared" si="3"/>
        <v>5</v>
      </c>
      <c r="B11" s="27" t="s">
        <v>212</v>
      </c>
      <c r="C11" s="28">
        <f>+COUNTIFS(манзилли!$D:$D,'свод(тахлил)'!$B11)</f>
        <v>52</v>
      </c>
      <c r="D11" s="29">
        <f>(+SUMIFS(манзилли!$K:$K,манзилли!$D:$D,'свод(тахлил)'!$B11))</f>
        <v>245577.5</v>
      </c>
      <c r="E11" s="29">
        <f>(+SUMIFS(манзилли!$M:$M,манзилли!$D:$D,'свод(тахлил)'!$B11))</f>
        <v>67534</v>
      </c>
      <c r="F11" s="29">
        <f>(+SUMIFS(манзилли!$Q:$Q,манзилли!$D:$D,'свод(тахлил)'!$B11))</f>
        <v>59644</v>
      </c>
      <c r="G11" s="29">
        <f>(+SUMIFS(манзилли!$S:$S,манзилли!$D:$D,'свод(тахлил)'!$B11))</f>
        <v>8365</v>
      </c>
      <c r="H11" s="29">
        <f>(+SUMIFS(манзилли!$U:$U,манзилли!$D:$D,'свод(тахлил)'!$B11))</f>
        <v>500</v>
      </c>
      <c r="I11" s="30">
        <f>+SUMIFS(манзилли!$Y:$Y,манзилли!$D:$D,'свод(тахлил)'!$B11)</f>
        <v>400</v>
      </c>
      <c r="J11" s="28">
        <f>+COUNTIFS(манзилли!$D:$D,'свод(тахлил)'!$B11,манзилли!$AA:$AA,"&lt;01.01.2022",манзилли!$AA:$AA,"&gt;=01.01.2021")</f>
        <v>45</v>
      </c>
      <c r="K11" s="29">
        <f>(+SUMIFS(манзилли!$K:$K,манзилли!$D:$D,'свод(тахлил)'!$B11,манзилли!$AA:$AA,"&lt;01.01.2022",манзилли!$AA:$AA,"&gt;=01.01.2021"))</f>
        <v>190108</v>
      </c>
      <c r="L11" s="29">
        <f>(+SUMIFS(манзилли!$M:$M,манзилли!$D:$D,'свод(тахлил)'!$B11,манзилли!$AA:$AA,"&lt;01.01.2022",манзилли!$AA:$AA,"&gt;=01.01.2021"))</f>
        <v>53834</v>
      </c>
      <c r="M11" s="29">
        <f>(+SUMIFS(манзилли!$Q:$Q,манзилли!$D:$D,'свод(тахлил)'!$B11,манзилли!$AA:$AA,"&lt;01.01.2022",манзилли!$AA:$AA,"&gt;=01.01.2021"))</f>
        <v>58644</v>
      </c>
      <c r="N11" s="29">
        <f>(+SUMIFS(манзилли!$S:$S,манзилли!$D:$D,'свод(тахлил)'!$B11,манзилли!$AA:$AA,"&lt;01.01.2022",манзилли!$AA:$AA,"&gt;=01.01.2021"))</f>
        <v>5100</v>
      </c>
      <c r="O11" s="29">
        <f>(+SUMIFS(манзилли!$U:$U,манзилли!$D:$D,'свод(тахлил)'!$B11,манзилли!$AA:$AA,"&lt;01.01.2022",манзилли!$AA:$AA,"&gt;=01.01.2021"))</f>
        <v>0</v>
      </c>
      <c r="P11" s="30">
        <f>+SUMIFS(манзилли!$Y:$Y,манзилли!$D:$D,'свод(тахлил)'!$B11,манзилли!$AA:$AA,"&lt;01.01.2022",манзилли!$AA:$AA,"&gt;=01.01.2021")</f>
        <v>280</v>
      </c>
      <c r="Q11" s="28">
        <f>+COUNTIFS(манзилли!$D:$D,'свод(тахлил)'!$B11,манзилли!$AB:$AB,"&lt;01.10.2023",манзилли!$AA:$AA,"&lt;01.01.2022",манзилли!$AA:$AA,"&gt;=01.01.2021")</f>
        <v>5</v>
      </c>
      <c r="R11" s="29">
        <f>(+SUMIFS(манзилли!$L:$L,манзилли!$D:$D,'свод(тахлил)'!$B11,манзилли!$AB:$AB,"&lt;01.10.2023",манзилли!$AA:$AA,"&lt;01.01.2022",манзилли!$AA:$AA,"&gt;=01.01.2021"))</f>
        <v>25320</v>
      </c>
      <c r="S11" s="29">
        <f>(+SUMIFS(манзилли!$N:$N,манзилли!$D:$D,'свод(тахлил)'!$B11,манзилли!$AB:$AB,"&lt;01.10.2023",манзилли!$AA:$AA,"&lt;01.01.2022",манзилли!$AA:$AA,"&gt;=01.01.2021"))</f>
        <v>17627</v>
      </c>
      <c r="T11" s="29">
        <f>(+SUMIFS(манзилли!$R:$R,манзилли!$D:$D,'свод(тахлил)'!$B11,манзилли!$AB:$AB,"&lt;01.10.2023",манзилли!$AA:$AA,"&lt;01.01.2022",манзилли!$AA:$AA,"&gt;=01.01.2021"))</f>
        <v>7693</v>
      </c>
      <c r="U11" s="29">
        <f>(+SUMIFS(манзилли!$T:$T,манзилли!$D:$D,'свод(тахлил)'!$B11,манзилли!$AB:$AB,"&lt;01.10.2023",манзилли!$AA:$AA,"&lt;01.01.2022",манзилли!$AA:$AA,"&gt;=01.01.2021"))</f>
        <v>0</v>
      </c>
      <c r="V11" s="29">
        <f>(+SUMIFS(манзилли!$V:$V,манзилли!$D:$D,'свод(тахлил)'!$B11,манзилли!$AB:$AB,"&lt;01.10.2023",манзилли!$AA:$AA,"&lt;01.01.2022",манзилли!$AA:$AA,"&gt;=01.01.2021"))</f>
        <v>0</v>
      </c>
      <c r="W11" s="30">
        <f>+SUMIFS(манзилли!$Z:$Z,манзилли!$D:$D,'свод(тахлил)'!$B11,манзилли!$AB:$AB,"&lt;01.10.2023",манзилли!$AA:$AA,"&lt;01.01.2022",манзилли!$AA:$AA,"&gt;=01.01.2021")</f>
        <v>53</v>
      </c>
      <c r="X11" s="28">
        <f>+COUNTIFS(манзилли!$D:$D,'свод(тахлил)'!$B11,манзилли!$AA:$AA,"&lt;01.04.2021",манзилли!$AA:$AA,"&gt;=01.01.2021")</f>
        <v>6</v>
      </c>
      <c r="Y11" s="29">
        <f>(+SUMIFS(манзилли!$K:$K,манзилли!$D:$D,'свод(тахлил)'!$B11,манзилли!$AA:$AA,"&lt;01.04.2021",манзилли!$AA:$AA,"&gt;=01.01.2021"))</f>
        <v>30000</v>
      </c>
      <c r="Z11" s="29">
        <f>(+SUMIFS(манзилли!$M:$M,манзилли!$D:$D,'свод(тахлил)'!$B11,манзилли!$AA:$AA,"&lt;01.04.2021",манзилли!$AA:$AA,"&gt;=01.01.2021"))</f>
        <v>11000</v>
      </c>
      <c r="AA11" s="29">
        <f>(+SUMIFS(манзилли!$Q:$Q,манзилли!$D:$D,'свод(тахлил)'!$B11,манзилли!$AA:$AA,"&lt;01.04.2021",манзилли!$AA:$AA,"&gt;=01.01.2021"))</f>
        <v>12500</v>
      </c>
      <c r="AB11" s="29">
        <f>(+SUMIFS(манзилли!$S:$S,манзилли!$D:$D,'свод(тахлил)'!$B11,манзилли!$AA:$AA,"&lt;01.04.2021",манзилли!$AA:$AA,"&gt;=01.01.2021"))</f>
        <v>0</v>
      </c>
      <c r="AC11" s="29">
        <f>(+SUMIFS(манзилли!$U:$U,манзилли!$D:$D,'свод(тахлил)'!$B11,манзилли!$AA:$AA,"&lt;01.04.2021",манзилли!$AA:$AA,"&gt;=01.01.2021"))</f>
        <v>0</v>
      </c>
      <c r="AD11" s="30">
        <f>+SUMIFS(манзилли!$Y:$Y,манзилли!$D:$D,'свод(тахлил)'!$B11,манзилли!$AA:$AA,"&lt;01.04.2021",манзилли!$AA:$AA,"&gt;=01.01.2021")</f>
        <v>63</v>
      </c>
      <c r="AE11" s="28">
        <f>+COUNTIFS(манзилли!$D:$D,'свод(тахлил)'!$B11,манзилли!$AB:$AB,"&lt;01.10.2023",манзилли!$AA:$AA,"&lt;01.04.2021",манзилли!$AA:$AA,"&gt;=01.01.2021")</f>
        <v>2</v>
      </c>
      <c r="AF11" s="29">
        <f>(+SUMIFS(манзилли!$L:$L,манзилли!$D:$D,'свод(тахлил)'!$B11,манзилли!$AB:$AB,"&lt;01.10.2023",манзилли!$AA:$AA,"&lt;01.04.2021",манзилли!$AA:$AA,"&gt;=01.01.2021"))</f>
        <v>20000</v>
      </c>
      <c r="AG11" s="29">
        <f>(+SUMIFS(манзилли!$N:$N,манзилли!$D:$D,'свод(тахлил)'!$B11,манзилли!$AB:$AB,"&lt;01.10.2023",манзилли!$AA:$AA,"&lt;01.04.2021",манзилли!$AA:$AA,"&gt;=01.01.2021"))</f>
        <v>15600</v>
      </c>
      <c r="AH11" s="29">
        <f>(+SUMIFS(манзилли!$R:$R,манзилли!$D:$D,'свод(тахлил)'!$B11,манзилли!$AB:$AB,"&lt;01.10.2023",манзилли!$AA:$AA,"&lt;01.04.2021",манзилли!$AA:$AA,"&gt;=01.01.2021"))</f>
        <v>4400</v>
      </c>
      <c r="AI11" s="29">
        <f>(+SUMIFS(манзилли!$T:$T,манзилли!$D:$D,'свод(тахлил)'!$B11,манзилли!$AB:$AB,"&lt;01.10.2023",манзилли!$AA:$AA,"&lt;01.04.2021",манзилли!$AA:$AA,"&gt;=01.01.2021"))</f>
        <v>0</v>
      </c>
      <c r="AJ11" s="29">
        <f>(+SUMIFS(манзилли!$V:$V,манзилли!$D:$D,'свод(тахлил)'!$B11,манзилли!$AB:$AB,"&lt;01.10.2023",манзилли!$AA:$AA,"&lt;01.04.2021",манзилли!$AA:$AA,"&gt;=01.01.2021"))</f>
        <v>0</v>
      </c>
      <c r="AK11" s="30">
        <f>+SUMIFS(манзилли!$Z:$Z,манзилли!$D:$D,'свод(тахлил)'!$B11,манзилли!$AB:$AB,"&lt;01.10.2023",манзилли!$AA:$AA,"&lt;01.04.2021",манзилли!$AA:$AA,"&gt;=01.01.2021")</f>
        <v>36</v>
      </c>
      <c r="AL11" s="28">
        <f>+COUNTIFS(манзилли!$D:$D,'свод(тахлил)'!$B11,манзилли!$AA:$AA,"&lt;01.04.2021",манзилли!$AA:$AA,"&gt;=01.01.2021",манзилли!$AC:$AC,"")</f>
        <v>4</v>
      </c>
      <c r="AM11" s="29">
        <f>(+SUMIFS(манзилли!$K:$K,манзилли!$D:$D,'свод(тахлил)'!$B11,манзилли!$AA:$AA,"&lt;01.04.2021",манзилли!$AA:$AA,"&gt;=01.01.2021",манзилли!$AC:$AC,""))</f>
        <v>10000</v>
      </c>
      <c r="AN11" s="29">
        <f>(+SUMIFS(манзилли!$M:$M,манзилли!$D:$D,'свод(тахлил)'!$B11,манзилли!$AA:$AA,"&lt;01.04.2021",манзилли!$AA:$AA,"&gt;=01.01.2021",манзилли!$AC:$AC,""))</f>
        <v>1000</v>
      </c>
      <c r="AO11" s="29">
        <f>(+SUMIFS(манзилли!$Q:$Q,манзилли!$D:$D,'свод(тахлил)'!$B11,манзилли!$AA:$AA,"&lt;01.04.2021",манзилли!$AA:$AA,"&gt;=01.01.2021",манзилли!$AC:$AC,""))</f>
        <v>2500</v>
      </c>
      <c r="AP11" s="29">
        <f>(+SUMIFS(манзилли!$S:$S,манзилли!$D:$D,'свод(тахлил)'!$B11,манзилли!$AA:$AA,"&lt;01.04.2021",манзилли!$AA:$AA,"&gt;=01.01.2021",манзилли!$AC:$AC,""))</f>
        <v>0</v>
      </c>
      <c r="AQ11" s="29">
        <f>(+SUMIFS(манзилли!$U:$U,манзилли!$D:$D,'свод(тахлил)'!$B11,манзилли!$AA:$AA,"&lt;01.04.2021",манзилли!$AA:$AA,"&gt;=01.01.2021",манзилли!$AC:$AC,""))</f>
        <v>0</v>
      </c>
      <c r="AR11" s="30">
        <f>+SUMIFS(манзилли!$Y:$Y,манзилли!$D:$D,'свод(тахлил)'!$B11,манзилли!$AA:$AA,"&lt;01.04.2021",манзилли!$AA:$AA,"&gt;=01.01.2021",манзилли!$AC:$AC,"")</f>
        <v>27</v>
      </c>
    </row>
    <row r="12" spans="1:44" s="3" customFormat="1" ht="35.25" customHeight="1">
      <c r="A12" s="26">
        <f t="shared" si="3"/>
        <v>6</v>
      </c>
      <c r="B12" s="27" t="s">
        <v>227</v>
      </c>
      <c r="C12" s="28">
        <f>+COUNTIFS(манзилли!$D:$D,'свод(тахлил)'!$B12)</f>
        <v>44</v>
      </c>
      <c r="D12" s="29">
        <f>(+SUMIFS(манзилли!$K:$K,манзилли!$D:$D,'свод(тахлил)'!$B12))</f>
        <v>255310.40000000002</v>
      </c>
      <c r="E12" s="29">
        <f>(+SUMIFS(манзилли!$M:$M,манзилли!$D:$D,'свод(тахлил)'!$B12))</f>
        <v>132758</v>
      </c>
      <c r="F12" s="29">
        <f>(+SUMIFS(манзилли!$Q:$Q,манзилли!$D:$D,'свод(тахлил)'!$B12))</f>
        <v>59125</v>
      </c>
      <c r="G12" s="29">
        <f>(+SUMIFS(манзилли!$S:$S,манзилли!$D:$D,'свод(тахлил)'!$B12))</f>
        <v>6058</v>
      </c>
      <c r="H12" s="29">
        <f>(+SUMIFS(манзилли!$U:$U,манзилли!$D:$D,'свод(тахлил)'!$B12))</f>
        <v>100</v>
      </c>
      <c r="I12" s="30">
        <f>+SUMIFS(манзилли!$Y:$Y,манзилли!$D:$D,'свод(тахлил)'!$B12)</f>
        <v>968</v>
      </c>
      <c r="J12" s="28">
        <f>+COUNTIFS(манзилли!$D:$D,'свод(тахлил)'!$B12,манзилли!$AA:$AA,"&lt;01.01.2022",манзилли!$AA:$AA,"&gt;=01.01.2021")</f>
        <v>30</v>
      </c>
      <c r="K12" s="29">
        <f>(+SUMIFS(манзилли!$K:$K,манзилли!$D:$D,'свод(тахлил)'!$B12,манзилли!$AA:$AA,"&lt;01.01.2022",манзилли!$AA:$AA,"&gt;=01.01.2021"))</f>
        <v>154936.40000000002</v>
      </c>
      <c r="L12" s="29">
        <f>(+SUMIFS(манзилли!$M:$M,манзилли!$D:$D,'свод(тахлил)'!$B12,манзилли!$AA:$AA,"&lt;01.01.2022",манзилли!$AA:$AA,"&gt;=01.01.2021"))</f>
        <v>100133</v>
      </c>
      <c r="M12" s="29">
        <f>(+SUMIFS(манзилли!$Q:$Q,манзилли!$D:$D,'свод(тахлил)'!$B12,манзилли!$AA:$AA,"&lt;01.01.2022",манзилли!$AA:$AA,"&gt;=01.01.2021"))</f>
        <v>33400</v>
      </c>
      <c r="N12" s="29">
        <f>(+SUMIFS(манзилли!$S:$S,манзилли!$D:$D,'свод(тахлил)'!$B12,манзилли!$AA:$AA,"&lt;01.01.2022",манзилли!$AA:$AA,"&gt;=01.01.2021"))</f>
        <v>1978</v>
      </c>
      <c r="O12" s="29">
        <f>(+SUMIFS(манзилли!$U:$U,манзилли!$D:$D,'свод(тахлил)'!$B12,манзилли!$AA:$AA,"&lt;01.01.2022",манзилли!$AA:$AA,"&gt;=01.01.2021"))</f>
        <v>100</v>
      </c>
      <c r="P12" s="30">
        <f>+SUMIFS(манзилли!$Y:$Y,манзилли!$D:$D,'свод(тахлил)'!$B12,манзилли!$AA:$AA,"&lt;01.01.2022",манзилли!$AA:$AA,"&gt;=01.01.2021")</f>
        <v>347</v>
      </c>
      <c r="Q12" s="28">
        <f>+COUNTIFS(манзилли!$D:$D,'свод(тахлил)'!$B12,манзилли!$AB:$AB,"&lt;01.10.2023",манзилли!$AA:$AA,"&lt;01.01.2022",манзилли!$AA:$AA,"&gt;=01.01.2021")</f>
        <v>9</v>
      </c>
      <c r="R12" s="29">
        <f>(+SUMIFS(манзилли!$L:$L,манзилли!$D:$D,'свод(тахлил)'!$B12,манзилли!$AB:$AB,"&lt;01.10.2023",манзилли!$AA:$AA,"&lt;01.01.2022",манзилли!$AA:$AA,"&gt;=01.01.2021"))</f>
        <v>10612.3</v>
      </c>
      <c r="S12" s="29">
        <f>(+SUMIFS(манзилли!$N:$N,манзилли!$D:$D,'свод(тахлил)'!$B12,манзилли!$AB:$AB,"&lt;01.10.2023",манзилли!$AA:$AA,"&lt;01.01.2022",манзилли!$AA:$AA,"&gt;=01.01.2021"))</f>
        <v>4575</v>
      </c>
      <c r="T12" s="29">
        <f>(+SUMIFS(манзилли!$R:$R,манзилли!$D:$D,'свод(тахлил)'!$B12,манзилли!$AB:$AB,"&lt;01.10.2023",манзилли!$AA:$AA,"&lt;01.01.2022",манзилли!$AA:$AA,"&gt;=01.01.2021"))</f>
        <v>2230</v>
      </c>
      <c r="U12" s="29">
        <f>(+SUMIFS(манзилли!$T:$T,манзилли!$D:$D,'свод(тахлил)'!$B12,манзилли!$AB:$AB,"&lt;01.10.2023",манзилли!$AA:$AA,"&lt;01.01.2022",манзилли!$AA:$AA,"&gt;=01.01.2021"))</f>
        <v>395.5</v>
      </c>
      <c r="V12" s="29">
        <f>(+SUMIFS(манзилли!$V:$V,манзилли!$D:$D,'свод(тахлил)'!$B12,манзилли!$AB:$AB,"&lt;01.10.2023",манзилли!$AA:$AA,"&lt;01.01.2022",манзилли!$AA:$AA,"&gt;=01.01.2021"))</f>
        <v>0</v>
      </c>
      <c r="W12" s="30">
        <f>+SUMIFS(манзилли!$Z:$Z,манзилли!$D:$D,'свод(тахлил)'!$B12,манзилли!$AB:$AB,"&lt;01.10.2023",манзилли!$AA:$AA,"&lt;01.01.2022",манзилли!$AA:$AA,"&gt;=01.01.2021")</f>
        <v>28</v>
      </c>
      <c r="X12" s="28">
        <f>+COUNTIFS(манзилли!$D:$D,'свод(тахлил)'!$B12,манзилли!$AA:$AA,"&lt;01.04.2021",манзилли!$AA:$AA,"&gt;=01.01.2021")</f>
        <v>11</v>
      </c>
      <c r="Y12" s="29">
        <f>(+SUMIFS(манзилли!$K:$K,манзилли!$D:$D,'свод(тахлил)'!$B12,манзилли!$AA:$AA,"&lt;01.04.2021",манзилли!$AA:$AA,"&gt;=01.01.2021"))</f>
        <v>11480</v>
      </c>
      <c r="Z12" s="29">
        <f>(+SUMIFS(манзилли!$M:$M,манзилли!$D:$D,'свод(тахлил)'!$B12,манзилли!$AA:$AA,"&lt;01.04.2021",манзилли!$AA:$AA,"&gt;=01.01.2021"))</f>
        <v>9500</v>
      </c>
      <c r="AA12" s="29">
        <f>(+SUMIFS(манзилли!$Q:$Q,манзилли!$D:$D,'свод(тахлил)'!$B12,манзилли!$AA:$AA,"&lt;01.04.2021",манзилли!$AA:$AA,"&gt;=01.01.2021"))</f>
        <v>1980</v>
      </c>
      <c r="AB12" s="29">
        <f>(+SUMIFS(манзилли!$S:$S,манзилли!$D:$D,'свод(тахлил)'!$B12,манзилли!$AA:$AA,"&lt;01.04.2021",манзилли!$AA:$AA,"&gt;=01.01.2021"))</f>
        <v>0</v>
      </c>
      <c r="AC12" s="29">
        <f>(+SUMIFS(манзилли!$U:$U,манзилли!$D:$D,'свод(тахлил)'!$B12,манзилли!$AA:$AA,"&lt;01.04.2021",манзилли!$AA:$AA,"&gt;=01.01.2021"))</f>
        <v>0</v>
      </c>
      <c r="AD12" s="30">
        <f>+SUMIFS(манзилли!$Y:$Y,манзилли!$D:$D,'свод(тахлил)'!$B12,манзилли!$AA:$AA,"&lt;01.04.2021",манзилли!$AA:$AA,"&gt;=01.01.2021")</f>
        <v>72</v>
      </c>
      <c r="AE12" s="28">
        <f>+COUNTIFS(манзилли!$D:$D,'свод(тахлил)'!$B12,манзилли!$AB:$AB,"&lt;01.10.2023",манзилли!$AA:$AA,"&lt;01.04.2021",манзилли!$AA:$AA,"&gt;=01.01.2021")</f>
        <v>6</v>
      </c>
      <c r="AF12" s="29">
        <f>(+SUMIFS(манзилли!$L:$L,манзилли!$D:$D,'свод(тахлил)'!$B12,манзилли!$AB:$AB,"&lt;01.10.2023",манзилли!$AA:$AA,"&lt;01.04.2021",манзилли!$AA:$AA,"&gt;=01.01.2021"))</f>
        <v>2955</v>
      </c>
      <c r="AG12" s="29">
        <f>(+SUMIFS(манзилли!$N:$N,манзилли!$D:$D,'свод(тахлил)'!$B12,манзилли!$AB:$AB,"&lt;01.10.2023",манзилли!$AA:$AA,"&lt;01.04.2021",манзилли!$AA:$AA,"&gt;=01.01.2021"))</f>
        <v>1825</v>
      </c>
      <c r="AH12" s="29">
        <f>(+SUMIFS(манзилли!$R:$R,манзилли!$D:$D,'свод(тахлил)'!$B12,манзилли!$AB:$AB,"&lt;01.10.2023",манзилли!$AA:$AA,"&lt;01.04.2021",манзилли!$AA:$AA,"&gt;=01.01.2021"))</f>
        <v>1130</v>
      </c>
      <c r="AI12" s="29">
        <f>(+SUMIFS(манзилли!$T:$T,манзилли!$D:$D,'свод(тахлил)'!$B12,манзилли!$AB:$AB,"&lt;01.10.2023",манзилли!$AA:$AA,"&lt;01.04.2021",манзилли!$AA:$AA,"&gt;=01.01.2021"))</f>
        <v>0</v>
      </c>
      <c r="AJ12" s="29">
        <f>(+SUMIFS(манзилли!$V:$V,манзилли!$D:$D,'свод(тахлил)'!$B12,манзилли!$AB:$AB,"&lt;01.10.2023",манзилли!$AA:$AA,"&lt;01.04.2021",манзилли!$AA:$AA,"&gt;=01.01.2021"))</f>
        <v>0</v>
      </c>
      <c r="AK12" s="30">
        <f>+SUMIFS(манзилли!$Z:$Z,манзилли!$D:$D,'свод(тахлил)'!$B12,манзилли!$AB:$AB,"&lt;01.10.2023",манзилли!$AA:$AA,"&lt;01.04.2021",манзилли!$AA:$AA,"&gt;=01.01.2021")</f>
        <v>15</v>
      </c>
      <c r="AL12" s="28">
        <f>+COUNTIFS(манзилли!$D:$D,'свод(тахлил)'!$B12,манзилли!$AA:$AA,"&lt;01.04.2021",манзилли!$AA:$AA,"&gt;=01.01.2021",манзилли!$AC:$AC,"")</f>
        <v>5</v>
      </c>
      <c r="AM12" s="29">
        <f>(+SUMIFS(манзилли!$K:$K,манзилли!$D:$D,'свод(тахлил)'!$B12,манзилли!$AA:$AA,"&lt;01.04.2021",манзилли!$AA:$AA,"&gt;=01.01.2021",манзилли!$AC:$AC,""))</f>
        <v>7450</v>
      </c>
      <c r="AN12" s="29">
        <f>(+SUMIFS(манзилли!$M:$M,манзилли!$D:$D,'свод(тахлил)'!$B12,манзилли!$AA:$AA,"&lt;01.04.2021",манзилли!$AA:$AA,"&gt;=01.01.2021",манзилли!$AC:$AC,""))</f>
        <v>7300</v>
      </c>
      <c r="AO12" s="29">
        <f>(+SUMIFS(манзилли!$Q:$Q,манзилли!$D:$D,'свод(тахлил)'!$B12,манзилли!$AA:$AA,"&lt;01.04.2021",манзилли!$AA:$AA,"&gt;=01.01.2021",манзилли!$AC:$AC,""))</f>
        <v>150</v>
      </c>
      <c r="AP12" s="29">
        <f>(+SUMIFS(манзилли!$S:$S,манзилли!$D:$D,'свод(тахлил)'!$B12,манзилли!$AA:$AA,"&lt;01.04.2021",манзилли!$AA:$AA,"&gt;=01.01.2021",манзилли!$AC:$AC,""))</f>
        <v>0</v>
      </c>
      <c r="AQ12" s="29">
        <f>(+SUMIFS(манзилли!$U:$U,манзилли!$D:$D,'свод(тахлил)'!$B12,манзилли!$AA:$AA,"&lt;01.04.2021",манзилли!$AA:$AA,"&gt;=01.01.2021",манзилли!$AC:$AC,""))</f>
        <v>0</v>
      </c>
      <c r="AR12" s="30">
        <f>+SUMIFS(манзилли!$Y:$Y,манзилли!$D:$D,'свод(тахлил)'!$B12,манзилли!$AA:$AA,"&lt;01.04.2021",манзилли!$AA:$AA,"&gt;=01.01.2021",манзилли!$AC:$AC,"")</f>
        <v>47</v>
      </c>
    </row>
    <row r="13" spans="1:44" s="3" customFormat="1" ht="35.25" customHeight="1">
      <c r="A13" s="26">
        <f t="shared" si="3"/>
        <v>7</v>
      </c>
      <c r="B13" s="27" t="s">
        <v>243</v>
      </c>
      <c r="C13" s="28">
        <f>+COUNTIFS(манзилли!$D:$D,'свод(тахлил)'!$B13)</f>
        <v>87</v>
      </c>
      <c r="D13" s="29">
        <f>(+SUMIFS(манзилли!$K:$K,манзилли!$D:$D,'свод(тахлил)'!$B13))</f>
        <v>1096004.1000000001</v>
      </c>
      <c r="E13" s="29">
        <f>(+SUMIFS(манзилли!$M:$M,манзилли!$D:$D,'свод(тахлил)'!$B13))</f>
        <v>483180</v>
      </c>
      <c r="F13" s="29">
        <f>(+SUMIFS(манзилли!$Q:$Q,манзилли!$D:$D,'свод(тахлил)'!$B13))</f>
        <v>130305</v>
      </c>
      <c r="G13" s="29">
        <f>(+SUMIFS(манзилли!$S:$S,манзилли!$D:$D,'свод(тахлил)'!$B13))</f>
        <v>9242</v>
      </c>
      <c r="H13" s="29">
        <f>(+SUMIFS(манзилли!$U:$U,манзилли!$D:$D,'свод(тахлил)'!$B13))</f>
        <v>37585</v>
      </c>
      <c r="I13" s="30">
        <f>+SUMIFS(манзилли!$Y:$Y,манзилли!$D:$D,'свод(тахлил)'!$B13)</f>
        <v>1449</v>
      </c>
      <c r="J13" s="28">
        <f>+COUNTIFS(манзилли!$D:$D,'свод(тахлил)'!$B13,манзилли!$AA:$AA,"&lt;01.01.2022",манзилли!$AA:$AA,"&gt;=01.01.2021")</f>
        <v>75</v>
      </c>
      <c r="K13" s="29">
        <f>(+SUMIFS(манзилли!$K:$K,манзилли!$D:$D,'свод(тахлил)'!$B13,манзилли!$AA:$AA,"&lt;01.01.2022",манзилли!$AA:$AA,"&gt;=01.01.2021"))</f>
        <v>966818.1</v>
      </c>
      <c r="L13" s="29">
        <f>(+SUMIFS(манзилли!$M:$M,манзилли!$D:$D,'свод(тахлил)'!$B13,манзилли!$AA:$AA,"&lt;01.01.2022",манзилли!$AA:$AA,"&gt;=01.01.2021"))</f>
        <v>442850</v>
      </c>
      <c r="M13" s="29">
        <f>(+SUMIFS(манзилли!$Q:$Q,манзилли!$D:$D,'свод(тахлил)'!$B13,манзилли!$AA:$AA,"&lt;01.01.2022",манзилли!$AA:$AA,"&gt;=01.01.2021"))</f>
        <v>86845</v>
      </c>
      <c r="N13" s="29">
        <f>(+SUMIFS(манзилли!$S:$S,манзилли!$D:$D,'свод(тахлил)'!$B13,манзилли!$AA:$AA,"&lt;01.01.2022",манзилли!$AA:$AA,"&gt;=01.01.2021"))</f>
        <v>7342</v>
      </c>
      <c r="O13" s="29">
        <f>(+SUMIFS(манзилли!$U:$U,манзилли!$D:$D,'свод(тахлил)'!$B13,манзилли!$AA:$AA,"&lt;01.01.2022",манзилли!$AA:$AA,"&gt;=01.01.2021"))</f>
        <v>35085</v>
      </c>
      <c r="P13" s="30">
        <f>+SUMIFS(манзилли!$Y:$Y,манзилли!$D:$D,'свод(тахлил)'!$B13,манзилли!$AA:$AA,"&lt;01.01.2022",манзилли!$AA:$AA,"&gt;=01.01.2021")</f>
        <v>1237</v>
      </c>
      <c r="Q13" s="28">
        <f>+COUNTIFS(манзилли!$D:$D,'свод(тахлил)'!$B13,манзилли!$AB:$AB,"&lt;01.10.2023",манзилли!$AA:$AA,"&lt;01.01.2022",манзилли!$AA:$AA,"&gt;=01.01.2021")</f>
        <v>17</v>
      </c>
      <c r="R13" s="29">
        <f>(+SUMIFS(манзилли!$L:$L,манзилли!$D:$D,'свод(тахлил)'!$B13,манзилли!$AB:$AB,"&lt;01.10.2023",манзилли!$AA:$AA,"&lt;01.01.2022",манзилли!$AA:$AA,"&gt;=01.01.2021"))</f>
        <v>17449.5</v>
      </c>
      <c r="S13" s="29">
        <f>(+SUMIFS(манзилли!$N:$N,манзилли!$D:$D,'свод(тахлил)'!$B13,манзилли!$AB:$AB,"&lt;01.10.2023",манзилли!$AA:$AA,"&lt;01.01.2022",манзилли!$AA:$AA,"&gt;=01.01.2021"))</f>
        <v>9650</v>
      </c>
      <c r="T13" s="29">
        <f>(+SUMIFS(манзилли!$R:$R,манзилли!$D:$D,'свод(тахлил)'!$B13,манзилли!$AB:$AB,"&lt;01.10.2023",манзилли!$AA:$AA,"&lt;01.01.2022",манзилли!$AA:$AA,"&gt;=01.01.2021"))</f>
        <v>6265</v>
      </c>
      <c r="U13" s="29">
        <f>(+SUMIFS(манзилли!$T:$T,манзилли!$D:$D,'свод(тахлил)'!$B13,манзилли!$AB:$AB,"&lt;01.10.2023",манзилли!$AA:$AA,"&lt;01.01.2022",манзилли!$AA:$AA,"&gt;=01.01.2021"))</f>
        <v>149</v>
      </c>
      <c r="V13" s="29">
        <f>(+SUMIFS(манзилли!$V:$V,манзилли!$D:$D,'свод(тахлил)'!$B13,манзилли!$AB:$AB,"&lt;01.10.2023",манзилли!$AA:$AA,"&lt;01.01.2022",манзилли!$AA:$AA,"&gt;=01.01.2021"))</f>
        <v>0</v>
      </c>
      <c r="W13" s="30">
        <f>+SUMIFS(манзилли!$Z:$Z,манзилли!$D:$D,'свод(тахлил)'!$B13,манзилли!$AB:$AB,"&lt;01.10.2023",манзилли!$AA:$AA,"&lt;01.01.2022",манзилли!$AA:$AA,"&gt;=01.01.2021")</f>
        <v>87</v>
      </c>
      <c r="X13" s="28">
        <f>+COUNTIFS(манзилли!$D:$D,'свод(тахлил)'!$B13,манзилли!$AA:$AA,"&lt;01.04.2021",манзилли!$AA:$AA,"&gt;=01.01.2021")</f>
        <v>12</v>
      </c>
      <c r="Y13" s="29">
        <f>(+SUMIFS(манзилли!$K:$K,манзилли!$D:$D,'свод(тахлил)'!$B13,манзилли!$AA:$AA,"&lt;01.04.2021",манзилли!$AA:$AA,"&gt;=01.01.2021"))</f>
        <v>18252</v>
      </c>
      <c r="Z13" s="29">
        <f>(+SUMIFS(манзилли!$M:$M,манзилли!$D:$D,'свод(тахлил)'!$B13,манзилли!$AA:$AA,"&lt;01.04.2021",манзилли!$AA:$AA,"&gt;=01.01.2021"))</f>
        <v>6650</v>
      </c>
      <c r="AA13" s="29">
        <f>(+SUMIFS(манзилли!$Q:$Q,манзилли!$D:$D,'свод(тахлил)'!$B13,манзилли!$AA:$AA,"&lt;01.04.2021",манзилли!$AA:$AA,"&gt;=01.01.2021"))</f>
        <v>5525</v>
      </c>
      <c r="AB13" s="29">
        <f>(+SUMIFS(манзилли!$S:$S,манзилли!$D:$D,'свод(тахлил)'!$B13,манзилли!$AA:$AA,"&lt;01.04.2021",манзилли!$AA:$AA,"&gt;=01.01.2021"))</f>
        <v>590</v>
      </c>
      <c r="AC13" s="29">
        <f>(+SUMIFS(манзилли!$U:$U,манзилли!$D:$D,'свод(тахлил)'!$B13,манзилли!$AA:$AA,"&lt;01.04.2021",манзилли!$AA:$AA,"&gt;=01.01.2021"))</f>
        <v>0</v>
      </c>
      <c r="AD13" s="30">
        <f>+SUMIFS(манзилли!$Y:$Y,манзилли!$D:$D,'свод(тахлил)'!$B13,манзилли!$AA:$AA,"&lt;01.04.2021",манзилли!$AA:$AA,"&gt;=01.01.2021")</f>
        <v>84</v>
      </c>
      <c r="AE13" s="28">
        <f>+COUNTIFS(манзилли!$D:$D,'свод(тахлил)'!$B13,манзилли!$AB:$AB,"&lt;01.10.2023",манзилли!$AA:$AA,"&lt;01.04.2021",манзилли!$AA:$AA,"&gt;=01.01.2021")</f>
        <v>10</v>
      </c>
      <c r="AF13" s="29">
        <f>(+SUMIFS(манзилли!$L:$L,манзилли!$D:$D,'свод(тахлил)'!$B13,манзилли!$AB:$AB,"&lt;01.10.2023",манзилли!$AA:$AA,"&lt;01.04.2021",манзилли!$AA:$AA,"&gt;=01.01.2021"))</f>
        <v>10520</v>
      </c>
      <c r="AG13" s="29">
        <f>(+SUMIFS(манзилли!$N:$N,манзилли!$D:$D,'свод(тахлил)'!$B13,манзилли!$AB:$AB,"&lt;01.10.2023",манзилли!$AA:$AA,"&lt;01.04.2021",манзилли!$AA:$AA,"&gt;=01.01.2021"))</f>
        <v>6050</v>
      </c>
      <c r="AH13" s="29">
        <f>(+SUMIFS(манзилли!$R:$R,манзилли!$D:$D,'свод(тахлил)'!$B13,манзилли!$AB:$AB,"&lt;01.10.2023",манзилли!$AA:$AA,"&lt;01.04.2021",манзилли!$AA:$AA,"&gt;=01.01.2021"))</f>
        <v>3450</v>
      </c>
      <c r="AI13" s="29">
        <f>(+SUMIFS(манзилли!$T:$T,манзилли!$D:$D,'свод(тахлил)'!$B13,манзилли!$AB:$AB,"&lt;01.10.2023",манзилли!$AA:$AA,"&lt;01.04.2021",манзилли!$AA:$AA,"&gt;=01.01.2021"))</f>
        <v>100</v>
      </c>
      <c r="AJ13" s="29">
        <f>(+SUMIFS(манзилли!$V:$V,манзилли!$D:$D,'свод(тахлил)'!$B13,манзилли!$AB:$AB,"&lt;01.10.2023",манзилли!$AA:$AA,"&lt;01.04.2021",манзилли!$AA:$AA,"&gt;=01.01.2021"))</f>
        <v>0</v>
      </c>
      <c r="AK13" s="30">
        <f>+SUMIFS(манзилли!$Z:$Z,манзилли!$D:$D,'свод(тахлил)'!$B13,манзилли!$AB:$AB,"&lt;01.10.2023",манзилли!$AA:$AA,"&lt;01.04.2021",манзилли!$AA:$AA,"&gt;=01.01.2021")</f>
        <v>48</v>
      </c>
      <c r="AL13" s="28">
        <f>+COUNTIFS(манзилли!$D:$D,'свод(тахлил)'!$B13,манзилли!$AA:$AA,"&lt;01.04.2021",манзилли!$AA:$AA,"&gt;=01.01.2021",манзилли!$AC:$AC,"")</f>
        <v>2</v>
      </c>
      <c r="AM13" s="29">
        <f>(+SUMIFS(манзилли!$K:$K,манзилли!$D:$D,'свод(тахлил)'!$B13,манзилли!$AA:$AA,"&lt;01.04.2021",манзилли!$AA:$AA,"&gt;=01.01.2021",манзилли!$AC:$AC,""))</f>
        <v>6745</v>
      </c>
      <c r="AN13" s="29">
        <f>(+SUMIFS(манзилли!$M:$M,манзилли!$D:$D,'свод(тахлил)'!$B13,манзилли!$AA:$AA,"&lt;01.04.2021",манзилли!$AA:$AA,"&gt;=01.01.2021",манзилли!$AC:$AC,""))</f>
        <v>2100</v>
      </c>
      <c r="AO13" s="29">
        <f>(+SUMIFS(манзилли!$Q:$Q,манзилли!$D:$D,'свод(тахлил)'!$B13,манзилли!$AA:$AA,"&lt;01.04.2021",манзилли!$AA:$AA,"&gt;=01.01.2021",манзилли!$AC:$AC,""))</f>
        <v>525</v>
      </c>
      <c r="AP13" s="29">
        <f>(+SUMIFS(манзилли!$S:$S,манзилли!$D:$D,'свод(тахлил)'!$B13,манзилли!$AA:$AA,"&lt;01.04.2021",манзилли!$AA:$AA,"&gt;=01.01.2021",манзилли!$AC:$AC,""))</f>
        <v>400</v>
      </c>
      <c r="AQ13" s="29">
        <f>(+SUMIFS(манзилли!$U:$U,манзилли!$D:$D,'свод(тахлил)'!$B13,манзилли!$AA:$AA,"&lt;01.04.2021",манзилли!$AA:$AA,"&gt;=01.01.2021",манзилли!$AC:$AC,""))</f>
        <v>0</v>
      </c>
      <c r="AR13" s="30">
        <f>+SUMIFS(манзилли!$Y:$Y,манзилли!$D:$D,'свод(тахлил)'!$B13,манзилли!$AA:$AA,"&lt;01.04.2021",манзилли!$AA:$AA,"&gt;=01.01.2021",манзилли!$AC:$AC,"")</f>
        <v>8</v>
      </c>
    </row>
    <row r="14" spans="1:44" s="3" customFormat="1" ht="35.25" customHeight="1">
      <c r="A14" s="26">
        <f t="shared" si="3"/>
        <v>8</v>
      </c>
      <c r="B14" s="27" t="s">
        <v>281</v>
      </c>
      <c r="C14" s="28">
        <f>+COUNTIFS(манзилли!$D:$D,'свод(тахлил)'!$B14)</f>
        <v>46</v>
      </c>
      <c r="D14" s="29">
        <f>(+SUMIFS(манзилли!$K:$K,манзилли!$D:$D,'свод(тахлил)'!$B14))</f>
        <v>787695.2</v>
      </c>
      <c r="E14" s="29">
        <f>(+SUMIFS(манзилли!$M:$M,манзилли!$D:$D,'свод(тахлил)'!$B14))</f>
        <v>313292.3</v>
      </c>
      <c r="F14" s="29">
        <f>(+SUMIFS(манзилли!$Q:$Q,манзилли!$D:$D,'свод(тахлил)'!$B14))</f>
        <v>36323.300000000003</v>
      </c>
      <c r="G14" s="29">
        <f>(+SUMIFS(манзилли!$S:$S,манзилли!$D:$D,'свод(тахлил)'!$B14))</f>
        <v>17532</v>
      </c>
      <c r="H14" s="29">
        <f>(+SUMIFS(манзилли!$U:$U,манзилли!$D:$D,'свод(тахлил)'!$B14))</f>
        <v>25000</v>
      </c>
      <c r="I14" s="30">
        <f>+SUMIFS(манзилли!$Y:$Y,манзилли!$D:$D,'свод(тахлил)'!$B14)</f>
        <v>1314</v>
      </c>
      <c r="J14" s="28">
        <f>+COUNTIFS(манзилли!$D:$D,'свод(тахлил)'!$B14,манзилли!$AA:$AA,"&lt;01.01.2022",манзилли!$AA:$AA,"&gt;=01.01.2021")</f>
        <v>17</v>
      </c>
      <c r="K14" s="29">
        <f>(+SUMIFS(манзилли!$K:$K,манзилли!$D:$D,'свод(тахлил)'!$B14,манзилли!$AA:$AA,"&lt;01.01.2022",манзилли!$AA:$AA,"&gt;=01.01.2021"))</f>
        <v>764608.2</v>
      </c>
      <c r="L14" s="29">
        <f>(+SUMIFS(манзилли!$M:$M,манзилли!$D:$D,'свод(тахлил)'!$B14,манзилли!$AA:$AA,"&lt;01.01.2022",манзилли!$AA:$AA,"&gt;=01.01.2021"))</f>
        <v>306532.3</v>
      </c>
      <c r="M14" s="29">
        <f>(+SUMIFS(манзилли!$Q:$Q,манзилли!$D:$D,'свод(тахлил)'!$B14,манзилли!$AA:$AA,"&lt;01.01.2022",манзилли!$AA:$AA,"&gt;=01.01.2021"))</f>
        <v>21953.3</v>
      </c>
      <c r="N14" s="29">
        <f>(+SUMIFS(манзилли!$S:$S,манзилли!$D:$D,'свод(тахлил)'!$B14,манзилли!$AA:$AA,"&lt;01.01.2022",манзилли!$AA:$AA,"&gt;=01.01.2021"))</f>
        <v>17342</v>
      </c>
      <c r="O14" s="29">
        <f>(+SUMIFS(манзилли!$U:$U,манзилли!$D:$D,'свод(тахлил)'!$B14,манзилли!$AA:$AA,"&lt;01.01.2022",манзилли!$AA:$AA,"&gt;=01.01.2021"))</f>
        <v>25000</v>
      </c>
      <c r="P14" s="30">
        <f>+SUMIFS(манзилли!$Y:$Y,манзилли!$D:$D,'свод(тахлил)'!$B14,манзилли!$AA:$AA,"&lt;01.01.2022",манзилли!$AA:$AA,"&gt;=01.01.2021")</f>
        <v>1171</v>
      </c>
      <c r="Q14" s="28">
        <f>+COUNTIFS(манзилли!$D:$D,'свод(тахлил)'!$B14,манзилли!$AB:$AB,"&lt;01.10.2023",манзилли!$AA:$AA,"&lt;01.01.2022",манзилли!$AA:$AA,"&gt;=01.01.2021")</f>
        <v>3</v>
      </c>
      <c r="R14" s="29">
        <f>(+SUMIFS(манзилли!$L:$L,манзилли!$D:$D,'свод(тахлил)'!$B14,манзилли!$AB:$AB,"&lt;01.10.2023",манзилли!$AA:$AA,"&lt;01.01.2022",манзилли!$AA:$AA,"&gt;=01.01.2021"))</f>
        <v>9091.1</v>
      </c>
      <c r="S14" s="29">
        <f>(+SUMIFS(манзилли!$N:$N,манзилли!$D:$D,'свод(тахлил)'!$B14,манзилли!$AB:$AB,"&lt;01.10.2023",манзилли!$AA:$AA,"&lt;01.01.2022",манзилли!$AA:$AA,"&gt;=01.01.2021"))</f>
        <v>3847.8</v>
      </c>
      <c r="T14" s="29">
        <f>(+SUMIFS(манзилли!$R:$R,манзилли!$D:$D,'свод(тахлил)'!$B14,манзилли!$AB:$AB,"&lt;01.10.2023",манзилли!$AA:$AA,"&lt;01.01.2022",манзилли!$AA:$AA,"&gt;=01.01.2021"))</f>
        <v>5243.3</v>
      </c>
      <c r="U14" s="29">
        <f>(+SUMIFS(манзилли!$T:$T,манзилли!$D:$D,'свод(тахлил)'!$B14,манзилли!$AB:$AB,"&lt;01.10.2023",манзилли!$AA:$AA,"&lt;01.01.2022",манзилли!$AA:$AA,"&gt;=01.01.2021"))</f>
        <v>0</v>
      </c>
      <c r="V14" s="29">
        <f>(+SUMIFS(манзилли!$V:$V,манзилли!$D:$D,'свод(тахлил)'!$B14,манзилли!$AB:$AB,"&lt;01.10.2023",манзилли!$AA:$AA,"&lt;01.01.2022",манзилли!$AA:$AA,"&gt;=01.01.2021"))</f>
        <v>0</v>
      </c>
      <c r="W14" s="30">
        <f>+SUMIFS(манзилли!$Z:$Z,манзилли!$D:$D,'свод(тахлил)'!$B14,манзилли!$AB:$AB,"&lt;01.10.2023",манзилли!$AA:$AA,"&lt;01.01.2022",манзилли!$AA:$AA,"&gt;=01.01.2021")</f>
        <v>34</v>
      </c>
      <c r="X14" s="28">
        <f>+COUNTIFS(манзилли!$D:$D,'свод(тахлил)'!$B14,манзилли!$AA:$AA,"&lt;01.04.2021",манзилли!$AA:$AA,"&gt;=01.01.2021")</f>
        <v>1</v>
      </c>
      <c r="Y14" s="29">
        <f>(+SUMIFS(манзилли!$K:$K,манзилли!$D:$D,'свод(тахлил)'!$B14,манзилли!$AA:$AA,"&lt;01.04.2021",манзилли!$AA:$AA,"&gt;=01.01.2021"))</f>
        <v>4500</v>
      </c>
      <c r="Z14" s="29">
        <f>(+SUMIFS(манзилли!$M:$M,манзилли!$D:$D,'свод(тахлил)'!$B14,манзилли!$AA:$AA,"&lt;01.04.2021",манзилли!$AA:$AA,"&gt;=01.01.2021"))</f>
        <v>1500</v>
      </c>
      <c r="AA14" s="29">
        <f>(+SUMIFS(манзилли!$Q:$Q,манзилли!$D:$D,'свод(тахлил)'!$B14,манзилли!$AA:$AA,"&lt;01.04.2021",манзилли!$AA:$AA,"&gt;=01.01.2021"))</f>
        <v>3000</v>
      </c>
      <c r="AB14" s="29">
        <f>(+SUMIFS(манзилли!$S:$S,манзилли!$D:$D,'свод(тахлил)'!$B14,манзилли!$AA:$AA,"&lt;01.04.2021",манзилли!$AA:$AA,"&gt;=01.01.2021"))</f>
        <v>0</v>
      </c>
      <c r="AC14" s="29">
        <f>(+SUMIFS(манзилли!$U:$U,манзилли!$D:$D,'свод(тахлил)'!$B14,манзилли!$AA:$AA,"&lt;01.04.2021",манзилли!$AA:$AA,"&gt;=01.01.2021"))</f>
        <v>0</v>
      </c>
      <c r="AD14" s="30">
        <f>+SUMIFS(манзилли!$Y:$Y,манзилли!$D:$D,'свод(тахлил)'!$B14,манзилли!$AA:$AA,"&lt;01.04.2021",манзилли!$AA:$AA,"&gt;=01.01.2021")</f>
        <v>12</v>
      </c>
      <c r="AE14" s="28">
        <f>+COUNTIFS(манзилли!$D:$D,'свод(тахлил)'!$B14,манзилли!$AB:$AB,"&lt;01.10.2023",манзилли!$AA:$AA,"&lt;01.04.2021",манзилли!$AA:$AA,"&gt;=01.01.2021")</f>
        <v>1</v>
      </c>
      <c r="AF14" s="29">
        <f>(+SUMIFS(манзилли!$L:$L,манзилли!$D:$D,'свод(тахлил)'!$B14,манзилли!$AB:$AB,"&lt;01.10.2023",манзилли!$AA:$AA,"&lt;01.04.2021",манзилли!$AA:$AA,"&gt;=01.01.2021"))</f>
        <v>4500</v>
      </c>
      <c r="AG14" s="29">
        <f>(+SUMIFS(манзилли!$N:$N,манзилли!$D:$D,'свод(тахлил)'!$B14,манзилли!$AB:$AB,"&lt;01.10.2023",манзилли!$AA:$AA,"&lt;01.04.2021",манзилли!$AA:$AA,"&gt;=01.01.2021"))</f>
        <v>1500</v>
      </c>
      <c r="AH14" s="29">
        <f>(+SUMIFS(манзилли!$R:$R,манзилли!$D:$D,'свод(тахлил)'!$B14,манзилли!$AB:$AB,"&lt;01.10.2023",манзилли!$AA:$AA,"&lt;01.04.2021",манзилли!$AA:$AA,"&gt;=01.01.2021"))</f>
        <v>3000</v>
      </c>
      <c r="AI14" s="29">
        <f>(+SUMIFS(манзилли!$T:$T,манзилли!$D:$D,'свод(тахлил)'!$B14,манзилли!$AB:$AB,"&lt;01.10.2023",манзилли!$AA:$AA,"&lt;01.04.2021",манзилли!$AA:$AA,"&gt;=01.01.2021"))</f>
        <v>0</v>
      </c>
      <c r="AJ14" s="29">
        <f>(+SUMIFS(манзилли!$V:$V,манзилли!$D:$D,'свод(тахлил)'!$B14,манзилли!$AB:$AB,"&lt;01.10.2023",манзилли!$AA:$AA,"&lt;01.04.2021",манзилли!$AA:$AA,"&gt;=01.01.2021"))</f>
        <v>0</v>
      </c>
      <c r="AK14" s="30">
        <f>+SUMIFS(манзилли!$Z:$Z,манзилли!$D:$D,'свод(тахлил)'!$B14,манзилли!$AB:$AB,"&lt;01.10.2023",манзилли!$AA:$AA,"&lt;01.04.2021",манзилли!$AA:$AA,"&gt;=01.01.2021")</f>
        <v>10</v>
      </c>
      <c r="AL14" s="28">
        <f>+COUNTIFS(манзилли!$D:$D,'свод(тахлил)'!$B14,манзилли!$AA:$AA,"&lt;01.04.2021",манзилли!$AA:$AA,"&gt;=01.01.2021",манзилли!$AC:$AC,"")</f>
        <v>0</v>
      </c>
      <c r="AM14" s="29">
        <f>(+SUMIFS(манзилли!$K:$K,манзилли!$D:$D,'свод(тахлил)'!$B14,манзилли!$AA:$AA,"&lt;01.04.2021",манзилли!$AA:$AA,"&gt;=01.01.2021",манзилли!$AC:$AC,""))</f>
        <v>0</v>
      </c>
      <c r="AN14" s="29">
        <f>(+SUMIFS(манзилли!$M:$M,манзилли!$D:$D,'свод(тахлил)'!$B14,манзилли!$AA:$AA,"&lt;01.04.2021",манзилли!$AA:$AA,"&gt;=01.01.2021",манзилли!$AC:$AC,""))</f>
        <v>0</v>
      </c>
      <c r="AO14" s="29">
        <f>(+SUMIFS(манзилли!$Q:$Q,манзилли!$D:$D,'свод(тахлил)'!$B14,манзилли!$AA:$AA,"&lt;01.04.2021",манзилли!$AA:$AA,"&gt;=01.01.2021",манзилли!$AC:$AC,""))</f>
        <v>0</v>
      </c>
      <c r="AP14" s="29">
        <f>(+SUMIFS(манзилли!$S:$S,манзилли!$D:$D,'свод(тахлил)'!$B14,манзилли!$AA:$AA,"&lt;01.04.2021",манзилли!$AA:$AA,"&gt;=01.01.2021",манзилли!$AC:$AC,""))</f>
        <v>0</v>
      </c>
      <c r="AQ14" s="29">
        <f>(+SUMIFS(манзилли!$U:$U,манзилли!$D:$D,'свод(тахлил)'!$B14,манзилли!$AA:$AA,"&lt;01.04.2021",манзилли!$AA:$AA,"&gt;=01.01.2021",манзилли!$AC:$AC,""))</f>
        <v>0</v>
      </c>
      <c r="AR14" s="30">
        <f>+SUMIFS(манзилли!$Y:$Y,манзилли!$D:$D,'свод(тахлил)'!$B14,манзилли!$AA:$AA,"&lt;01.04.2021",манзилли!$AA:$AA,"&gt;=01.01.2021",манзилли!$AC:$AC,"")</f>
        <v>0</v>
      </c>
    </row>
    <row r="15" spans="1:44" s="3" customFormat="1" ht="35.25" customHeight="1">
      <c r="A15" s="26">
        <f t="shared" si="3"/>
        <v>9</v>
      </c>
      <c r="B15" s="27" t="s">
        <v>286</v>
      </c>
      <c r="C15" s="28">
        <f>+COUNTIFS(манзилли!$D:$D,'свод(тахлил)'!$B15)</f>
        <v>91</v>
      </c>
      <c r="D15" s="29">
        <f>(+SUMIFS(манзилли!$K:$K,манзилли!$D:$D,'свод(тахлил)'!$B15))</f>
        <v>299126</v>
      </c>
      <c r="E15" s="29">
        <f>(+SUMIFS(манзилли!$M:$M,манзилли!$D:$D,'свод(тахлил)'!$B15))</f>
        <v>113890</v>
      </c>
      <c r="F15" s="29">
        <f>(+SUMIFS(манзилли!$Q:$Q,манзилли!$D:$D,'свод(тахлил)'!$B15))</f>
        <v>82030</v>
      </c>
      <c r="G15" s="29">
        <f>(+SUMIFS(манзилли!$S:$S,манзилли!$D:$D,'свод(тахлил)'!$B15))</f>
        <v>10020</v>
      </c>
      <c r="H15" s="29">
        <f>(+SUMIFS(манзилли!$U:$U,манзилли!$D:$D,'свод(тахлил)'!$B15))</f>
        <v>0</v>
      </c>
      <c r="I15" s="30">
        <f>+SUMIFS(манзилли!$Y:$Y,манзилли!$D:$D,'свод(тахлил)'!$B15)</f>
        <v>765</v>
      </c>
      <c r="J15" s="32">
        <f>+COUNTIFS(манзилли!$D:$D,'свод(тахлил)'!$B15,манзилли!$AA:$AA,"&lt;01.01.2022",манзилли!$AA:$AA,"&gt;=01.01.2021")</f>
        <v>59</v>
      </c>
      <c r="K15" s="29">
        <f>(+SUMIFS(манзилли!$K:$K,манзилли!$D:$D,'свод(тахлил)'!$B15,манзилли!$AA:$AA,"&lt;01.01.2022",манзилли!$AA:$AA,"&gt;=01.01.2021"))</f>
        <v>136861</v>
      </c>
      <c r="L15" s="33">
        <f>(+SUMIFS(манзилли!$M:$M,манзилли!$D:$D,'свод(тахлил)'!$B15,манзилли!$AA:$AA,"&lt;01.01.2022",манзилли!$AA:$AA,"&gt;=01.01.2021"))</f>
        <v>56160</v>
      </c>
      <c r="M15" s="33">
        <f>(+SUMIFS(манзилли!$Q:$Q,манзилли!$D:$D,'свод(тахлил)'!$B15,манзилли!$AA:$AA,"&lt;01.01.2022",манзилли!$AA:$AA,"&gt;=01.01.2021"))</f>
        <v>42900</v>
      </c>
      <c r="N15" s="33">
        <f>(+SUMIFS(манзилли!$S:$S,манзилли!$D:$D,'свод(тахлил)'!$B15,манзилли!$AA:$AA,"&lt;01.01.2022",манзилли!$AA:$AA,"&gt;=01.01.2021"))</f>
        <v>3670</v>
      </c>
      <c r="O15" s="33">
        <f>(+SUMIFS(манзилли!$U:$U,манзилли!$D:$D,'свод(тахлил)'!$B15,манзилли!$AA:$AA,"&lt;01.01.2022",манзилли!$AA:$AA,"&gt;=01.01.2021"))</f>
        <v>0</v>
      </c>
      <c r="P15" s="34">
        <f>+SUMIFS(манзилли!$Y:$Y,манзилли!$D:$D,'свод(тахлил)'!$B15,манзилли!$AA:$AA,"&lt;01.01.2022",манзилли!$AA:$AA,"&gt;=01.01.2021")</f>
        <v>467</v>
      </c>
      <c r="Q15" s="28">
        <f>+COUNTIFS(манзилли!$D:$D,'свод(тахлил)'!$B15,манзилли!$AB:$AB,"&lt;01.10.2023",манзилли!$AA:$AA,"&lt;01.01.2022",манзилли!$AA:$AA,"&gt;=01.01.2021")</f>
        <v>7</v>
      </c>
      <c r="R15" s="29">
        <f>(+SUMIFS(манзилли!$L:$L,манзилли!$D:$D,'свод(тахлил)'!$B15,манзилли!$AB:$AB,"&lt;01.10.2023",манзилли!$AA:$AA,"&lt;01.01.2022",манзилли!$AA:$AA,"&gt;=01.01.2021"))</f>
        <v>4687</v>
      </c>
      <c r="S15" s="29">
        <f>(+SUMIFS(манзилли!$N:$N,манзилли!$D:$D,'свод(тахлил)'!$B15,манзилли!$AB:$AB,"&lt;01.10.2023",манзилли!$AA:$AA,"&lt;01.01.2022",манзилли!$AA:$AA,"&gt;=01.01.2021"))</f>
        <v>2200</v>
      </c>
      <c r="T15" s="29">
        <f>(+SUMIFS(манзилли!$R:$R,манзилли!$D:$D,'свод(тахлил)'!$B15,манзилли!$AB:$AB,"&lt;01.10.2023",манзилли!$AA:$AA,"&lt;01.01.2022",манзилли!$AA:$AA,"&gt;=01.01.2021"))</f>
        <v>2487</v>
      </c>
      <c r="U15" s="29">
        <f>(+SUMIFS(манзилли!$T:$T,манзилли!$D:$D,'свод(тахлил)'!$B15,манзилли!$AB:$AB,"&lt;01.10.2023",манзилли!$AA:$AA,"&lt;01.01.2022",манзилли!$AA:$AA,"&gt;=01.01.2021"))</f>
        <v>0</v>
      </c>
      <c r="V15" s="29">
        <f>(+SUMIFS(манзилли!$V:$V,манзилли!$D:$D,'свод(тахлил)'!$B15,манзилли!$AB:$AB,"&lt;01.10.2023",манзилли!$AA:$AA,"&lt;01.01.2022",манзилли!$AA:$AA,"&gt;=01.01.2021"))</f>
        <v>0</v>
      </c>
      <c r="W15" s="30">
        <f>+SUMIFS(манзилли!$Z:$Z,манзилли!$D:$D,'свод(тахлил)'!$B15,манзилли!$AB:$AB,"&lt;01.10.2023",манзилли!$AA:$AA,"&lt;01.01.2022",манзилли!$AA:$AA,"&gt;=01.01.2021")</f>
        <v>18</v>
      </c>
      <c r="X15" s="32">
        <f>+COUNTIFS(манзилли!$D:$D,'свод(тахлил)'!$B15,манзилли!$AA:$AA,"&lt;01.04.2021",манзилли!$AA:$AA,"&gt;=01.01.2021")</f>
        <v>3</v>
      </c>
      <c r="Y15" s="29">
        <f>(+SUMIFS(манзилли!$K:$K,манзилли!$D:$D,'свод(тахлил)'!$B15,манзилли!$AA:$AA,"&lt;01.04.2021",манзилли!$AA:$AA,"&gt;=01.01.2021"))</f>
        <v>22850</v>
      </c>
      <c r="Z15" s="33">
        <f>(+SUMIFS(манзилли!$M:$M,манзилли!$D:$D,'свод(тахлил)'!$B15,манзилли!$AA:$AA,"&lt;01.04.2021",манзилли!$AA:$AA,"&gt;=01.01.2021"))</f>
        <v>1450</v>
      </c>
      <c r="AA15" s="33">
        <f>(+SUMIFS(манзилли!$Q:$Q,манзилли!$D:$D,'свод(тахлил)'!$B15,манзилли!$AA:$AA,"&lt;01.04.2021",манзилли!$AA:$AA,"&gt;=01.01.2021"))</f>
        <v>800</v>
      </c>
      <c r="AB15" s="33">
        <f>(+SUMIFS(манзилли!$S:$S,манзилли!$D:$D,'свод(тахлил)'!$B15,манзилли!$AA:$AA,"&lt;01.04.2021",манзилли!$AA:$AA,"&gt;=01.01.2021"))</f>
        <v>2000</v>
      </c>
      <c r="AC15" s="33">
        <f>(+SUMIFS(манзилли!$U:$U,манзилли!$D:$D,'свод(тахлил)'!$B15,манзилли!$AA:$AA,"&lt;01.04.2021",манзилли!$AA:$AA,"&gt;=01.01.2021"))</f>
        <v>0</v>
      </c>
      <c r="AD15" s="34">
        <f>+SUMIFS(манзилли!$Y:$Y,манзилли!$D:$D,'свод(тахлил)'!$B15,манзилли!$AA:$AA,"&lt;01.04.2021",манзилли!$AA:$AA,"&gt;=01.01.2021")</f>
        <v>21</v>
      </c>
      <c r="AE15" s="28">
        <f>+COUNTIFS(манзилли!$D:$D,'свод(тахлил)'!$B15,манзилли!$AB:$AB,"&lt;01.10.2023",манзилли!$AA:$AA,"&lt;01.04.2021",манзилли!$AA:$AA,"&gt;=01.01.2021")</f>
        <v>1</v>
      </c>
      <c r="AF15" s="29">
        <f>(+SUMIFS(манзилли!$L:$L,манзилли!$D:$D,'свод(тахлил)'!$B15,манзилли!$AB:$AB,"&lt;01.10.2023",манзилли!$AA:$AA,"&lt;01.04.2021",манзилли!$AA:$AA,"&gt;=01.01.2021"))</f>
        <v>430.5</v>
      </c>
      <c r="AG15" s="29">
        <f>(+SUMIFS(манзилли!$N:$N,манзилли!$D:$D,'свод(тахлил)'!$B15,манзилли!$AB:$AB,"&lt;01.10.2023",манзилли!$AA:$AA,"&lt;01.04.2021",манзилли!$AA:$AA,"&gt;=01.01.2021"))</f>
        <v>150</v>
      </c>
      <c r="AH15" s="29">
        <f>(+SUMIFS(манзилли!$R:$R,манзилли!$D:$D,'свод(тахлил)'!$B15,манзилли!$AB:$AB,"&lt;01.10.2023",манзилли!$AA:$AA,"&lt;01.04.2021",манзилли!$AA:$AA,"&gt;=01.01.2021"))</f>
        <v>280.5</v>
      </c>
      <c r="AI15" s="29">
        <f>(+SUMIFS(манзилли!$T:$T,манзилли!$D:$D,'свод(тахлил)'!$B15,манзилли!$AB:$AB,"&lt;01.10.2023",манзилли!$AA:$AA,"&lt;01.04.2021",манзилли!$AA:$AA,"&gt;=01.01.2021"))</f>
        <v>0</v>
      </c>
      <c r="AJ15" s="29">
        <f>(+SUMIFS(манзилли!$V:$V,манзилли!$D:$D,'свод(тахлил)'!$B15,манзилли!$AB:$AB,"&lt;01.10.2023",манзилли!$AA:$AA,"&lt;01.04.2021",манзилли!$AA:$AA,"&gt;=01.01.2021"))</f>
        <v>0</v>
      </c>
      <c r="AK15" s="30">
        <f>+SUMIFS(манзилли!$Z:$Z,манзилли!$D:$D,'свод(тахлил)'!$B15,манзилли!$AB:$AB,"&lt;01.10.2023",манзилли!$AA:$AA,"&lt;01.04.2021",манзилли!$AA:$AA,"&gt;=01.01.2021")</f>
        <v>2</v>
      </c>
      <c r="AL15" s="28">
        <f>+COUNTIFS(манзилли!$D:$D,'свод(тахлил)'!$B15,манзилли!$AA:$AA,"&lt;01.04.2021",манзилли!$AA:$AA,"&gt;=01.01.2021",манзилли!$AC:$AC,"")</f>
        <v>2</v>
      </c>
      <c r="AM15" s="29">
        <f>(+SUMIFS(манзилли!$K:$K,манзилли!$D:$D,'свод(тахлил)'!$B15,манзилли!$AA:$AA,"&lt;01.04.2021",манзилли!$AA:$AA,"&gt;=01.01.2021",манзилли!$AC:$AC,""))</f>
        <v>22400</v>
      </c>
      <c r="AN15" s="29">
        <f>(+SUMIFS(манзилли!$M:$M,манзилли!$D:$D,'свод(тахлил)'!$B15,манзилли!$AA:$AA,"&lt;01.04.2021",манзилли!$AA:$AA,"&gt;=01.01.2021",манзилли!$AC:$AC,""))</f>
        <v>1300</v>
      </c>
      <c r="AO15" s="29">
        <f>(+SUMIFS(манзилли!$Q:$Q,манзилли!$D:$D,'свод(тахлил)'!$B15,манзилли!$AA:$AA,"&lt;01.04.2021",манзилли!$AA:$AA,"&gt;=01.01.2021",манзилли!$AC:$AC,""))</f>
        <v>500</v>
      </c>
      <c r="AP15" s="29">
        <f>(+SUMIFS(манзилли!$S:$S,манзилли!$D:$D,'свод(тахлил)'!$B15,манзилли!$AA:$AA,"&lt;01.04.2021",манзилли!$AA:$AA,"&gt;=01.01.2021",манзилли!$AC:$AC,""))</f>
        <v>2000</v>
      </c>
      <c r="AQ15" s="29">
        <f>(+SUMIFS(манзилли!$U:$U,манзилли!$D:$D,'свод(тахлил)'!$B15,манзилли!$AA:$AA,"&lt;01.04.2021",манзилли!$AA:$AA,"&gt;=01.01.2021",манзилли!$AC:$AC,""))</f>
        <v>0</v>
      </c>
      <c r="AR15" s="30">
        <f>+SUMIFS(манзилли!$Y:$Y,манзилли!$D:$D,'свод(тахлил)'!$B15,манзилли!$AA:$AA,"&lt;01.04.2021",манзилли!$AA:$AA,"&gt;=01.01.2021",манзилли!$AC:$AC,"")</f>
        <v>18</v>
      </c>
    </row>
    <row r="16" spans="1:44" s="3" customFormat="1" ht="35.25" customHeight="1">
      <c r="A16" s="26">
        <f t="shared" si="3"/>
        <v>10</v>
      </c>
      <c r="B16" s="27" t="s">
        <v>298</v>
      </c>
      <c r="C16" s="28">
        <f>+COUNTIFS(манзилли!$D:$D,'свод(тахлил)'!$B16)</f>
        <v>36</v>
      </c>
      <c r="D16" s="29">
        <f>(+SUMIFS(манзилли!$K:$K,манзилли!$D:$D,'свод(тахлил)'!$B16))</f>
        <v>248028.9</v>
      </c>
      <c r="E16" s="29">
        <f>(+SUMIFS(манзилли!$M:$M,манзилли!$D:$D,'свод(тахлил)'!$B16))</f>
        <v>147430</v>
      </c>
      <c r="F16" s="29">
        <f>(+SUMIFS(манзилли!$Q:$Q,манзилли!$D:$D,'свод(тахлил)'!$B16))</f>
        <v>67505</v>
      </c>
      <c r="G16" s="29">
        <f>(+SUMIFS(манзилли!$S:$S,манзилли!$D:$D,'свод(тахлил)'!$B16))</f>
        <v>213</v>
      </c>
      <c r="H16" s="29">
        <f>(+SUMIFS(манзилли!$U:$U,манзилли!$D:$D,'свод(тахлил)'!$B16))</f>
        <v>3000</v>
      </c>
      <c r="I16" s="30">
        <f>+SUMIFS(манзилли!$Y:$Y,манзилли!$D:$D,'свод(тахлил)'!$B16)</f>
        <v>425</v>
      </c>
      <c r="J16" s="28">
        <f>+COUNTIFS(манзилли!$D:$D,'свод(тахлил)'!$B16,манзилли!$AA:$AA,"&lt;01.01.2022",манзилли!$AA:$AA,"&gt;=01.01.2021")</f>
        <v>29</v>
      </c>
      <c r="K16" s="29">
        <f>(+SUMIFS(манзилли!$K:$K,манзилли!$D:$D,'свод(тахлил)'!$B16,манзилли!$AA:$AA,"&lt;01.01.2022",манзилли!$AA:$AA,"&gt;=01.01.2021"))</f>
        <v>234513.9</v>
      </c>
      <c r="L16" s="29">
        <f>(+SUMIFS(манзилли!$M:$M,манзилли!$D:$D,'свод(тахлил)'!$B16,манзилли!$AA:$AA,"&lt;01.01.2022",манзилли!$AA:$AA,"&gt;=01.01.2021"))</f>
        <v>143830</v>
      </c>
      <c r="M16" s="29">
        <f>(+SUMIFS(манзилли!$Q:$Q,манзилли!$D:$D,'свод(тахлил)'!$B16,манзилли!$AA:$AA,"&lt;01.01.2022",манзилли!$AA:$AA,"&gt;=01.01.2021"))</f>
        <v>58105</v>
      </c>
      <c r="N16" s="29">
        <f>(+SUMIFS(манзилли!$S:$S,манзилли!$D:$D,'свод(тахлил)'!$B16,манзилли!$AA:$AA,"&lt;01.01.2022",манзилли!$AA:$AA,"&gt;=01.01.2021"))</f>
        <v>163</v>
      </c>
      <c r="O16" s="29">
        <f>(+SUMIFS(манзилли!$U:$U,манзилли!$D:$D,'свод(тахлил)'!$B16,манзилли!$AA:$AA,"&lt;01.01.2022",манзилли!$AA:$AA,"&gt;=01.01.2021"))</f>
        <v>3000</v>
      </c>
      <c r="P16" s="30">
        <f>+SUMIFS(манзилли!$Y:$Y,манзилли!$D:$D,'свод(тахлил)'!$B16,манзилли!$AA:$AA,"&lt;01.01.2022",манзилли!$AA:$AA,"&gt;=01.01.2021")</f>
        <v>395</v>
      </c>
      <c r="Q16" s="28">
        <f>+COUNTIFS(манзилли!$D:$D,'свод(тахлил)'!$B16,манзилли!$AB:$AB,"&lt;01.10.2023",манзилли!$AA:$AA,"&lt;01.01.2022",манзилли!$AA:$AA,"&gt;=01.01.2021")</f>
        <v>2</v>
      </c>
      <c r="R16" s="29">
        <f>(+SUMIFS(манзилли!$L:$L,манзилли!$D:$D,'свод(тахлил)'!$B16,манзилли!$AB:$AB,"&lt;01.10.2023",манзилли!$AA:$AA,"&lt;01.01.2022",манзилли!$AA:$AA,"&gt;=01.01.2021"))</f>
        <v>4900</v>
      </c>
      <c r="S16" s="29">
        <f>(+SUMIFS(манзилли!$N:$N,манзилли!$D:$D,'свод(тахлил)'!$B16,манзилли!$AB:$AB,"&lt;01.10.2023",манзилли!$AA:$AA,"&lt;01.01.2022",манзилли!$AA:$AA,"&gt;=01.01.2021"))</f>
        <v>3700</v>
      </c>
      <c r="T16" s="29">
        <f>(+SUMIFS(манзилли!$R:$R,манзилли!$D:$D,'свод(тахлил)'!$B16,манзилли!$AB:$AB,"&lt;01.10.2023",манзилли!$AA:$AA,"&lt;01.01.2022",манзилли!$AA:$AA,"&gt;=01.01.2021"))</f>
        <v>1200</v>
      </c>
      <c r="U16" s="29">
        <f>(+SUMIFS(манзилли!$T:$T,манзилли!$D:$D,'свод(тахлил)'!$B16,манзилли!$AB:$AB,"&lt;01.10.2023",манзилли!$AA:$AA,"&lt;01.01.2022",манзилли!$AA:$AA,"&gt;=01.01.2021"))</f>
        <v>0</v>
      </c>
      <c r="V16" s="29">
        <f>(+SUMIFS(манзилли!$V:$V,манзилли!$D:$D,'свод(тахлил)'!$B16,манзилли!$AB:$AB,"&lt;01.10.2023",манзилли!$AA:$AA,"&lt;01.01.2022",манзилли!$AA:$AA,"&gt;=01.01.2021"))</f>
        <v>0</v>
      </c>
      <c r="W16" s="30">
        <f>+SUMIFS(манзилли!$Z:$Z,манзилли!$D:$D,'свод(тахлил)'!$B16,манзилли!$AB:$AB,"&lt;01.10.2023",манзилли!$AA:$AA,"&lt;01.01.2022",манзилли!$AA:$AA,"&gt;=01.01.2021")</f>
        <v>7</v>
      </c>
      <c r="X16" s="28">
        <f>+COUNTIFS(манзилли!$D:$D,'свод(тахлил)'!$B16,манзилли!$AA:$AA,"&lt;01.04.2021",манзилли!$AA:$AA,"&gt;=01.01.2021")</f>
        <v>0</v>
      </c>
      <c r="Y16" s="29">
        <f>(+SUMIFS(манзилли!$K:$K,манзилли!$D:$D,'свод(тахлил)'!$B16,манзилли!$AA:$AA,"&lt;01.04.2021",манзилли!$AA:$AA,"&gt;=01.01.2021"))</f>
        <v>0</v>
      </c>
      <c r="Z16" s="29">
        <f>(+SUMIFS(манзилли!$M:$M,манзилли!$D:$D,'свод(тахлил)'!$B16,манзилли!$AA:$AA,"&lt;01.04.2021",манзилли!$AA:$AA,"&gt;=01.01.2021"))</f>
        <v>0</v>
      </c>
      <c r="AA16" s="29">
        <f>(+SUMIFS(манзилли!$Q:$Q,манзилли!$D:$D,'свод(тахлил)'!$B16,манзилли!$AA:$AA,"&lt;01.04.2021",манзилли!$AA:$AA,"&gt;=01.01.2021"))</f>
        <v>0</v>
      </c>
      <c r="AB16" s="29">
        <f>(+SUMIFS(манзилли!$S:$S,манзилли!$D:$D,'свод(тахлил)'!$B16,манзилли!$AA:$AA,"&lt;01.04.2021",манзилли!$AA:$AA,"&gt;=01.01.2021"))</f>
        <v>0</v>
      </c>
      <c r="AC16" s="29">
        <f>(+SUMIFS(манзилли!$U:$U,манзилли!$D:$D,'свод(тахлил)'!$B16,манзилли!$AA:$AA,"&lt;01.04.2021",манзилли!$AA:$AA,"&gt;=01.01.2021"))</f>
        <v>0</v>
      </c>
      <c r="AD16" s="30">
        <f>+SUMIFS(манзилли!$Y:$Y,манзилли!$D:$D,'свод(тахлил)'!$B16,манзилли!$AA:$AA,"&lt;01.04.2021",манзилли!$AA:$AA,"&gt;=01.01.2021")</f>
        <v>0</v>
      </c>
      <c r="AE16" s="28">
        <f>+COUNTIFS(манзилли!$D:$D,'свод(тахлил)'!$B16,манзилли!$AB:$AB,"&lt;01.10.2023",манзилли!$AA:$AA,"&lt;01.04.2021",манзилли!$AA:$AA,"&gt;=01.01.2021")</f>
        <v>0</v>
      </c>
      <c r="AF16" s="29">
        <f>(+SUMIFS(манзилли!$L:$L,манзилли!$D:$D,'свод(тахлил)'!$B16,манзилли!$AB:$AB,"&lt;01.10.2023",манзилли!$AA:$AA,"&lt;01.04.2021",манзилли!$AA:$AA,"&gt;=01.01.2021"))</f>
        <v>0</v>
      </c>
      <c r="AG16" s="29">
        <f>(+SUMIFS(манзилли!$N:$N,манзилли!$D:$D,'свод(тахлил)'!$B16,манзилли!$AB:$AB,"&lt;01.10.2023",манзилли!$AA:$AA,"&lt;01.04.2021",манзилли!$AA:$AA,"&gt;=01.01.2021"))</f>
        <v>0</v>
      </c>
      <c r="AH16" s="29">
        <f>(+SUMIFS(манзилли!$R:$R,манзилли!$D:$D,'свод(тахлил)'!$B16,манзилли!$AB:$AB,"&lt;01.10.2023",манзилли!$AA:$AA,"&lt;01.04.2021",манзилли!$AA:$AA,"&gt;=01.01.2021"))</f>
        <v>0</v>
      </c>
      <c r="AI16" s="29">
        <f>(+SUMIFS(манзилли!$T:$T,манзилли!$D:$D,'свод(тахлил)'!$B16,манзилли!$AB:$AB,"&lt;01.10.2023",манзилли!$AA:$AA,"&lt;01.04.2021",манзилли!$AA:$AA,"&gt;=01.01.2021"))</f>
        <v>0</v>
      </c>
      <c r="AJ16" s="29">
        <f>(+SUMIFS(манзилли!$V:$V,манзилли!$D:$D,'свод(тахлил)'!$B16,манзилли!$AB:$AB,"&lt;01.10.2023",манзилли!$AA:$AA,"&lt;01.04.2021",манзилли!$AA:$AA,"&gt;=01.01.2021"))</f>
        <v>0</v>
      </c>
      <c r="AK16" s="30">
        <f>+SUMIFS(манзилли!$Z:$Z,манзилли!$D:$D,'свод(тахлил)'!$B16,манзилли!$AB:$AB,"&lt;01.10.2023",манзилли!$AA:$AA,"&lt;01.04.2021",манзилли!$AA:$AA,"&gt;=01.01.2021")</f>
        <v>0</v>
      </c>
      <c r="AL16" s="28">
        <f>+COUNTIFS(манзилли!$D:$D,'свод(тахлил)'!$B16,манзилли!$AA:$AA,"&lt;01.04.2021",манзилли!$AA:$AA,"&gt;=01.01.2021",манзилли!$AC:$AC,"")</f>
        <v>0</v>
      </c>
      <c r="AM16" s="29">
        <f>(+SUMIFS(манзилли!$K:$K,манзилли!$D:$D,'свод(тахлил)'!$B16,манзилли!$AA:$AA,"&lt;01.04.2021",манзилли!$AA:$AA,"&gt;=01.01.2021",манзилли!$AC:$AC,""))</f>
        <v>0</v>
      </c>
      <c r="AN16" s="29">
        <f>(+SUMIFS(манзилли!$M:$M,манзилли!$D:$D,'свод(тахлил)'!$B16,манзилли!$AA:$AA,"&lt;01.04.2021",манзилли!$AA:$AA,"&gt;=01.01.2021",манзилли!$AC:$AC,""))</f>
        <v>0</v>
      </c>
      <c r="AO16" s="29">
        <f>(+SUMIFS(манзилли!$Q:$Q,манзилли!$D:$D,'свод(тахлил)'!$B16,манзилли!$AA:$AA,"&lt;01.04.2021",манзилли!$AA:$AA,"&gt;=01.01.2021",манзилли!$AC:$AC,""))</f>
        <v>0</v>
      </c>
      <c r="AP16" s="29">
        <f>(+SUMIFS(манзилли!$S:$S,манзилли!$D:$D,'свод(тахлил)'!$B16,манзилли!$AA:$AA,"&lt;01.04.2021",манзилли!$AA:$AA,"&gt;=01.01.2021",манзилли!$AC:$AC,""))</f>
        <v>0</v>
      </c>
      <c r="AQ16" s="29">
        <f>(+SUMIFS(манзилли!$U:$U,манзилли!$D:$D,'свод(тахлил)'!$B16,манзилли!$AA:$AA,"&lt;01.04.2021",манзилли!$AA:$AA,"&gt;=01.01.2021",манзилли!$AC:$AC,""))</f>
        <v>0</v>
      </c>
      <c r="AR16" s="30">
        <f>+SUMIFS(манзилли!$Y:$Y,манзилли!$D:$D,'свод(тахлил)'!$B16,манзилли!$AA:$AA,"&lt;01.04.2021",манзилли!$AA:$AA,"&gt;=01.01.2021",манзилли!$AC:$AC,"")</f>
        <v>0</v>
      </c>
    </row>
    <row r="17" spans="1:44" s="3" customFormat="1" ht="35.25" customHeight="1">
      <c r="A17" s="26">
        <f t="shared" si="3"/>
        <v>11</v>
      </c>
      <c r="B17" s="27" t="s">
        <v>310</v>
      </c>
      <c r="C17" s="28">
        <f>+COUNTIFS(манзилли!$D:$D,'свод(тахлил)'!$B17)</f>
        <v>56</v>
      </c>
      <c r="D17" s="29">
        <f>(+SUMIFS(манзилли!$K:$K,манзилли!$D:$D,'свод(тахлил)'!$B17))</f>
        <v>921533</v>
      </c>
      <c r="E17" s="29">
        <f>(+SUMIFS(манзилли!$M:$M,манзилли!$D:$D,'свод(тахлил)'!$B17))</f>
        <v>256541</v>
      </c>
      <c r="F17" s="29">
        <f>(+SUMIFS(манзилли!$Q:$Q,манзилли!$D:$D,'свод(тахлил)'!$B17))</f>
        <v>108380</v>
      </c>
      <c r="G17" s="29">
        <f>(+SUMIFS(манзилли!$S:$S,манзилли!$D:$D,'свод(тахлил)'!$B17))</f>
        <v>46340</v>
      </c>
      <c r="H17" s="29">
        <f>(+SUMIFS(манзилли!$U:$U,манзилли!$D:$D,'свод(тахлил)'!$B17))</f>
        <v>7700</v>
      </c>
      <c r="I17" s="30">
        <f>+SUMIFS(манзилли!$Y:$Y,манзилли!$D:$D,'свод(тахлил)'!$B17)</f>
        <v>3562</v>
      </c>
      <c r="J17" s="28">
        <f>+COUNTIFS(манзилли!$D:$D,'свод(тахлил)'!$B17,манзилли!$AA:$AA,"&lt;01.01.2022",манзилли!$AA:$AA,"&gt;=01.01.2021")</f>
        <v>45</v>
      </c>
      <c r="K17" s="29">
        <f>(+SUMIFS(манзилли!$K:$K,манзилли!$D:$D,'свод(тахлил)'!$B17,манзилли!$AA:$AA,"&lt;01.01.2022",манзилли!$AA:$AA,"&gt;=01.01.2021"))</f>
        <v>779231</v>
      </c>
      <c r="L17" s="29">
        <f>(+SUMIFS(манзилли!$M:$M,манзилли!$D:$D,'свод(тахлил)'!$B17,манзилли!$AA:$AA,"&lt;01.01.2022",манзилли!$AA:$AA,"&gt;=01.01.2021"))</f>
        <v>195691</v>
      </c>
      <c r="M17" s="29">
        <f>(+SUMIFS(манзилли!$Q:$Q,манзилли!$D:$D,'свод(тахлил)'!$B17,манзилли!$AA:$AA,"&lt;01.01.2022",манзилли!$AA:$AA,"&gt;=01.01.2021"))</f>
        <v>87080</v>
      </c>
      <c r="N17" s="29">
        <f>(+SUMIFS(манзилли!$S:$S,манзилли!$D:$D,'свод(тахлил)'!$B17,манзилли!$AA:$AA,"&lt;01.01.2022",манзилли!$AA:$AA,"&gt;=01.01.2021"))</f>
        <v>40500</v>
      </c>
      <c r="O17" s="29">
        <f>(+SUMIFS(манзилли!$U:$U,манзилли!$D:$D,'свод(тахлил)'!$B17,манзилли!$AA:$AA,"&lt;01.01.2022",манзилли!$AA:$AA,"&gt;=01.01.2021"))</f>
        <v>7700</v>
      </c>
      <c r="P17" s="30">
        <f>+SUMIFS(манзилли!$Y:$Y,манзилли!$D:$D,'свод(тахлил)'!$B17,манзилли!$AA:$AA,"&lt;01.01.2022",манзилли!$AA:$AA,"&gt;=01.01.2021")</f>
        <v>3377</v>
      </c>
      <c r="Q17" s="28">
        <f>+COUNTIFS(манзилли!$D:$D,'свод(тахлил)'!$B17,манзилли!$AB:$AB,"&lt;01.10.2023",манзилли!$AA:$AA,"&lt;01.01.2022",манзилли!$AA:$AA,"&gt;=01.01.2021")</f>
        <v>1</v>
      </c>
      <c r="R17" s="29">
        <f>(+SUMIFS(манзилли!$L:$L,манзилли!$D:$D,'свод(тахлил)'!$B17,манзилли!$AB:$AB,"&lt;01.10.2023",манзилли!$AA:$AA,"&lt;01.01.2022",манзилли!$AA:$AA,"&gt;=01.01.2021"))</f>
        <v>850</v>
      </c>
      <c r="S17" s="29">
        <f>(+SUMIFS(манзилли!$N:$N,манзилли!$D:$D,'свод(тахлил)'!$B17,манзилли!$AB:$AB,"&lt;01.10.2023",манзилли!$AA:$AA,"&lt;01.01.2022",манзилли!$AA:$AA,"&gt;=01.01.2021"))</f>
        <v>400</v>
      </c>
      <c r="T17" s="29">
        <f>(+SUMIFS(манзилли!$R:$R,манзилли!$D:$D,'свод(тахлил)'!$B17,манзилли!$AB:$AB,"&lt;01.10.2023",манзилли!$AA:$AA,"&lt;01.01.2022",манзилли!$AA:$AA,"&gt;=01.01.2021"))</f>
        <v>450</v>
      </c>
      <c r="U17" s="29">
        <f>(+SUMIFS(манзилли!$T:$T,манзилли!$D:$D,'свод(тахлил)'!$B17,манзилли!$AB:$AB,"&lt;01.10.2023",манзилли!$AA:$AA,"&lt;01.01.2022",манзилли!$AA:$AA,"&gt;=01.01.2021"))</f>
        <v>0</v>
      </c>
      <c r="V17" s="29">
        <f>(+SUMIFS(манзилли!$V:$V,манзилли!$D:$D,'свод(тахлил)'!$B17,манзилли!$AB:$AB,"&lt;01.10.2023",манзилли!$AA:$AA,"&lt;01.01.2022",манзилли!$AA:$AA,"&gt;=01.01.2021"))</f>
        <v>0</v>
      </c>
      <c r="W17" s="30">
        <f>+SUMIFS(манзилли!$Z:$Z,манзилли!$D:$D,'свод(тахлил)'!$B17,манзилли!$AB:$AB,"&lt;01.10.2023",манзилли!$AA:$AA,"&lt;01.01.2022",манзилли!$AA:$AA,"&gt;=01.01.2021")</f>
        <v>8</v>
      </c>
      <c r="X17" s="28">
        <f>+COUNTIFS(манзилли!$D:$D,'свод(тахлил)'!$B17,манзилли!$AA:$AA,"&lt;01.04.2021",манзилли!$AA:$AA,"&gt;=01.01.2021")</f>
        <v>7</v>
      </c>
      <c r="Y17" s="29">
        <f>(+SUMIFS(манзилли!$K:$K,манзилли!$D:$D,'свод(тахлил)'!$B17,манзилли!$AA:$AA,"&lt;01.04.2021",манзилли!$AA:$AA,"&gt;=01.01.2021"))</f>
        <v>14828</v>
      </c>
      <c r="Z17" s="29">
        <f>(+SUMIFS(манзилли!$M:$M,манзилли!$D:$D,'свод(тахлил)'!$B17,манзилли!$AA:$AA,"&lt;01.04.2021",манзилли!$AA:$AA,"&gt;=01.01.2021"))</f>
        <v>2985</v>
      </c>
      <c r="AA17" s="29">
        <f>(+SUMIFS(манзилли!$Q:$Q,манзилли!$D:$D,'свод(тахлил)'!$B17,манзилли!$AA:$AA,"&lt;01.04.2021",манзилли!$AA:$AA,"&gt;=01.01.2021"))</f>
        <v>3500</v>
      </c>
      <c r="AB17" s="29">
        <f>(+SUMIFS(манзилли!$S:$S,манзилли!$D:$D,'свод(тахлил)'!$B17,манзилли!$AA:$AA,"&lt;01.04.2021",манзилли!$AA:$AA,"&gt;=01.01.2021"))</f>
        <v>810</v>
      </c>
      <c r="AC17" s="29">
        <f>(+SUMIFS(манзилли!$U:$U,манзилли!$D:$D,'свод(тахлил)'!$B17,манзилли!$AA:$AA,"&lt;01.04.2021",манзилли!$AA:$AA,"&gt;=01.01.2021"))</f>
        <v>0</v>
      </c>
      <c r="AD17" s="30">
        <f>+SUMIFS(манзилли!$Y:$Y,манзилли!$D:$D,'свод(тахлил)'!$B17,манзилли!$AA:$AA,"&lt;01.04.2021",манзилли!$AA:$AA,"&gt;=01.01.2021")</f>
        <v>65</v>
      </c>
      <c r="AE17" s="28">
        <f>+COUNTIFS(манзилли!$D:$D,'свод(тахлил)'!$B17,манзилли!$AB:$AB,"&lt;01.10.2023",манзилли!$AA:$AA,"&lt;01.04.2021",манзилли!$AA:$AA,"&gt;=01.01.2021")</f>
        <v>1</v>
      </c>
      <c r="AF17" s="29">
        <f>(+SUMIFS(манзилли!$L:$L,манзилли!$D:$D,'свод(тахлил)'!$B17,манзилли!$AB:$AB,"&lt;01.10.2023",манзилли!$AA:$AA,"&lt;01.04.2021",манзилли!$AA:$AA,"&gt;=01.01.2021"))</f>
        <v>850</v>
      </c>
      <c r="AG17" s="29">
        <f>(+SUMIFS(манзилли!$N:$N,манзилли!$D:$D,'свод(тахлил)'!$B17,манзилли!$AB:$AB,"&lt;01.10.2023",манзилли!$AA:$AA,"&lt;01.04.2021",манзилли!$AA:$AA,"&gt;=01.01.2021"))</f>
        <v>400</v>
      </c>
      <c r="AH17" s="29">
        <f>(+SUMIFS(манзилли!$R:$R,манзилли!$D:$D,'свод(тахлил)'!$B17,манзилли!$AB:$AB,"&lt;01.10.2023",манзилли!$AA:$AA,"&lt;01.04.2021",манзилли!$AA:$AA,"&gt;=01.01.2021"))</f>
        <v>450</v>
      </c>
      <c r="AI17" s="29">
        <f>(+SUMIFS(манзилли!$T:$T,манзилли!$D:$D,'свод(тахлил)'!$B17,манзилли!$AB:$AB,"&lt;01.10.2023",манзилли!$AA:$AA,"&lt;01.04.2021",манзилли!$AA:$AA,"&gt;=01.01.2021"))</f>
        <v>0</v>
      </c>
      <c r="AJ17" s="29">
        <f>(+SUMIFS(манзилли!$V:$V,манзилли!$D:$D,'свод(тахлил)'!$B17,манзилли!$AB:$AB,"&lt;01.10.2023",манзилли!$AA:$AA,"&lt;01.04.2021",манзилли!$AA:$AA,"&gt;=01.01.2021"))</f>
        <v>0</v>
      </c>
      <c r="AK17" s="30">
        <f>+SUMIFS(манзилли!$Z:$Z,манзилли!$D:$D,'свод(тахлил)'!$B17,манзилли!$AB:$AB,"&lt;01.10.2023",манзилли!$AA:$AA,"&lt;01.04.2021",манзилли!$AA:$AA,"&gt;=01.01.2021")</f>
        <v>8</v>
      </c>
      <c r="AL17" s="28">
        <f>+COUNTIFS(манзилли!$D:$D,'свод(тахлил)'!$B17,манзилли!$AA:$AA,"&lt;01.04.2021",манзилли!$AA:$AA,"&gt;=01.01.2021",манзилли!$AC:$AC,"")</f>
        <v>6</v>
      </c>
      <c r="AM17" s="29">
        <f>(+SUMIFS(манзилли!$K:$K,манзилли!$D:$D,'свод(тахлил)'!$B17,манзилли!$AA:$AA,"&lt;01.04.2021",манзилли!$AA:$AA,"&gt;=01.01.2021",манзилли!$AC:$AC,""))</f>
        <v>13328</v>
      </c>
      <c r="AN17" s="29">
        <f>(+SUMIFS(манзилли!$M:$M,манзилли!$D:$D,'свод(тахлил)'!$B17,манзилли!$AA:$AA,"&lt;01.04.2021",манзилли!$AA:$AA,"&gt;=01.01.2021",манзилли!$AC:$AC,""))</f>
        <v>2585</v>
      </c>
      <c r="AO17" s="29">
        <f>(+SUMIFS(манзилли!$Q:$Q,манзилли!$D:$D,'свод(тахлил)'!$B17,манзилли!$AA:$AA,"&lt;01.04.2021",манзилли!$AA:$AA,"&gt;=01.01.2021",манзилли!$AC:$AC,""))</f>
        <v>2400</v>
      </c>
      <c r="AP17" s="29">
        <f>(+SUMIFS(манзилли!$S:$S,манзилли!$D:$D,'свод(тахлил)'!$B17,манзилли!$AA:$AA,"&lt;01.04.2021",манзилли!$AA:$AA,"&gt;=01.01.2021",манзилли!$AC:$AC,""))</f>
        <v>810</v>
      </c>
      <c r="AQ17" s="29">
        <f>(+SUMIFS(манзилли!$U:$U,манзилли!$D:$D,'свод(тахлил)'!$B17,манзилли!$AA:$AA,"&lt;01.04.2021",манзилли!$AA:$AA,"&gt;=01.01.2021",манзилли!$AC:$AC,""))</f>
        <v>0</v>
      </c>
      <c r="AR17" s="30">
        <f>+SUMIFS(манзилли!$Y:$Y,манзилли!$D:$D,'свод(тахлил)'!$B17,манзилли!$AA:$AA,"&lt;01.04.2021",манзилли!$AA:$AA,"&gt;=01.01.2021",манзилли!$AC:$AC,"")</f>
        <v>57</v>
      </c>
    </row>
    <row r="18" spans="1:44" s="3" customFormat="1" ht="35.25" customHeight="1">
      <c r="A18" s="26">
        <f t="shared" si="3"/>
        <v>12</v>
      </c>
      <c r="B18" s="27" t="s">
        <v>326</v>
      </c>
      <c r="C18" s="28">
        <f>+COUNTIFS(манзилли!$D:$D,'свод(тахлил)'!$B18)</f>
        <v>46</v>
      </c>
      <c r="D18" s="29">
        <f>(+SUMIFS(манзилли!$K:$K,манзилли!$D:$D,'свод(тахлил)'!$B18))</f>
        <v>855336.23157894739</v>
      </c>
      <c r="E18" s="29">
        <f>(+SUMIFS(манзилли!$M:$M,манзилли!$D:$D,'свод(тахлил)'!$B18))</f>
        <v>313097.13157894736</v>
      </c>
      <c r="F18" s="29">
        <f>(+SUMIFS(манзилли!$Q:$Q,манзилли!$D:$D,'свод(тахлил)'!$B18))</f>
        <v>115850</v>
      </c>
      <c r="G18" s="29">
        <f>(+SUMIFS(манзилли!$S:$S,манзилли!$D:$D,'свод(тахлил)'!$B18))</f>
        <v>16397</v>
      </c>
      <c r="H18" s="29">
        <f>(+SUMIFS(манзилли!$U:$U,манзилли!$D:$D,'свод(тахлил)'!$B18))</f>
        <v>25000</v>
      </c>
      <c r="I18" s="30">
        <f>+SUMIFS(манзилли!$Y:$Y,манзилли!$D:$D,'свод(тахлил)'!$B18)</f>
        <v>1154</v>
      </c>
      <c r="J18" s="28">
        <f>+COUNTIFS(манзилли!$D:$D,'свод(тахлил)'!$B18,манзилли!$AA:$AA,"&lt;01.01.2022",манзилли!$AA:$AA,"&gt;=01.01.2021")</f>
        <v>34</v>
      </c>
      <c r="K18" s="29">
        <f>(+SUMIFS(манзилли!$K:$K,манзилли!$D:$D,'свод(тахлил)'!$B18,манзилли!$AA:$AA,"&lt;01.01.2022",манзилли!$AA:$AA,"&gt;=01.01.2021"))</f>
        <v>715856.23157894739</v>
      </c>
      <c r="L18" s="29">
        <f>(+SUMIFS(манзилли!$M:$M,манзилли!$D:$D,'свод(тахлил)'!$B18,манзилли!$AA:$AA,"&lt;01.01.2022",манзилли!$AA:$AA,"&gt;=01.01.2021"))</f>
        <v>291727.13157894736</v>
      </c>
      <c r="M18" s="29">
        <f>(+SUMIFS(манзилли!$Q:$Q,манзилли!$D:$D,'свод(тахлил)'!$B18,манзилли!$AA:$AA,"&lt;01.01.2022",манзилли!$AA:$AA,"&gt;=01.01.2021"))</f>
        <v>97650</v>
      </c>
      <c r="N18" s="29">
        <f>(+SUMIFS(манзилли!$S:$S,манзилли!$D:$D,'свод(тахлил)'!$B18,манзилли!$AA:$AA,"&lt;01.01.2022",манзилли!$AA:$AA,"&gt;=01.01.2021"))</f>
        <v>15197</v>
      </c>
      <c r="O18" s="29">
        <f>(+SUMIFS(манзилли!$U:$U,манзилли!$D:$D,'свод(тахлил)'!$B18,манзилли!$AA:$AA,"&lt;01.01.2022",манзилли!$AA:$AA,"&gt;=01.01.2021"))</f>
        <v>16500</v>
      </c>
      <c r="P18" s="30">
        <f>+SUMIFS(манзилли!$Y:$Y,манзилли!$D:$D,'свод(тахлил)'!$B18,манзилли!$AA:$AA,"&lt;01.01.2022",манзилли!$AA:$AA,"&gt;=01.01.2021")</f>
        <v>978</v>
      </c>
      <c r="Q18" s="28">
        <f>+COUNTIFS(манзилли!$D:$D,'свод(тахлил)'!$B18,манзилли!$AB:$AB,"&lt;01.10.2023",манзилли!$AA:$AA,"&lt;01.01.2022",манзилли!$AA:$AA,"&gt;=01.01.2021")</f>
        <v>7</v>
      </c>
      <c r="R18" s="29">
        <f>(+SUMIFS(манзилли!$L:$L,манзилли!$D:$D,'свод(тахлил)'!$B18,манзилли!$AB:$AB,"&lt;01.10.2023",манзилли!$AA:$AA,"&lt;01.01.2022",манзилли!$AA:$AA,"&gt;=01.01.2021"))</f>
        <v>158932</v>
      </c>
      <c r="S18" s="29">
        <f>(+SUMIFS(манзилли!$N:$N,манзилли!$D:$D,'свод(тахлил)'!$B18,манзилли!$AB:$AB,"&lt;01.10.2023",манзилли!$AA:$AA,"&lt;01.01.2022",манзилли!$AA:$AA,"&gt;=01.01.2021"))</f>
        <v>130172</v>
      </c>
      <c r="T18" s="29">
        <f>(+SUMIFS(манзилли!$R:$R,манзилли!$D:$D,'свод(тахлил)'!$B18,манзилли!$AB:$AB,"&lt;01.10.2023",манзилли!$AA:$AA,"&lt;01.01.2022",манзилли!$AA:$AA,"&gt;=01.01.2021"))</f>
        <v>28760</v>
      </c>
      <c r="U18" s="29">
        <f>(+SUMIFS(манзилли!$T:$T,манзилли!$D:$D,'свод(тахлил)'!$B18,манзилли!$AB:$AB,"&lt;01.10.2023",манзилли!$AA:$AA,"&lt;01.01.2022",манзилли!$AA:$AA,"&gt;=01.01.2021"))</f>
        <v>0</v>
      </c>
      <c r="V18" s="29">
        <f>(+SUMIFS(манзилли!$V:$V,манзилли!$D:$D,'свод(тахлил)'!$B18,манзилли!$AB:$AB,"&lt;01.10.2023",манзилли!$AA:$AA,"&lt;01.01.2022",манзилли!$AA:$AA,"&gt;=01.01.2021"))</f>
        <v>0</v>
      </c>
      <c r="W18" s="30">
        <f>+SUMIFS(манзилли!$Z:$Z,манзилли!$D:$D,'свод(тахлил)'!$B18,манзилли!$AB:$AB,"&lt;01.10.2023",манзилли!$AA:$AA,"&lt;01.01.2022",манзилли!$AA:$AA,"&gt;=01.01.2021")</f>
        <v>259</v>
      </c>
      <c r="X18" s="28">
        <f>+COUNTIFS(манзилли!$D:$D,'свод(тахлил)'!$B18,манзилли!$AA:$AA,"&lt;01.04.2021",манзилли!$AA:$AA,"&gt;=01.01.2021")</f>
        <v>3</v>
      </c>
      <c r="Y18" s="29">
        <f>(+SUMIFS(манзилли!$K:$K,манзилли!$D:$D,'свод(тахлил)'!$B18,манзилли!$AA:$AA,"&lt;01.04.2021",манзилли!$AA:$AA,"&gt;=01.01.2021"))</f>
        <v>66200</v>
      </c>
      <c r="Z18" s="29">
        <f>(+SUMIFS(манзилли!$M:$M,манзилли!$D:$D,'свод(тахлил)'!$B18,манзилли!$AA:$AA,"&lt;01.04.2021",манзилли!$AA:$AA,"&gt;=01.01.2021"))</f>
        <v>43200</v>
      </c>
      <c r="AA18" s="29">
        <f>(+SUMIFS(манзилли!$Q:$Q,манзилли!$D:$D,'свод(тахлил)'!$B18,манзилли!$AA:$AA,"&lt;01.04.2021",манзилли!$AA:$AA,"&gt;=01.01.2021"))</f>
        <v>23000</v>
      </c>
      <c r="AB18" s="29">
        <f>(+SUMIFS(манзилли!$S:$S,манзилли!$D:$D,'свод(тахлил)'!$B18,манзилли!$AA:$AA,"&lt;01.04.2021",манзилли!$AA:$AA,"&gt;=01.01.2021"))</f>
        <v>0</v>
      </c>
      <c r="AC18" s="29">
        <f>(+SUMIFS(манзилли!$U:$U,манзилли!$D:$D,'свод(тахлил)'!$B18,манзилли!$AA:$AA,"&lt;01.04.2021",манзилли!$AA:$AA,"&gt;=01.01.2021"))</f>
        <v>0</v>
      </c>
      <c r="AD18" s="30">
        <f>+SUMIFS(манзилли!$Y:$Y,манзилли!$D:$D,'свод(тахлил)'!$B18,манзилли!$AA:$AA,"&lt;01.04.2021",манзилли!$AA:$AA,"&gt;=01.01.2021")</f>
        <v>55</v>
      </c>
      <c r="AE18" s="28">
        <f>+COUNTIFS(манзилли!$D:$D,'свод(тахлил)'!$B18,манзилли!$AB:$AB,"&lt;01.10.2023",манзилли!$AA:$AA,"&lt;01.04.2021",манзилли!$AA:$AA,"&gt;=01.01.2021")</f>
        <v>3</v>
      </c>
      <c r="AF18" s="29">
        <f>(+SUMIFS(манзилли!$L:$L,манзилли!$D:$D,'свод(тахлил)'!$B18,манзилли!$AB:$AB,"&lt;01.10.2023",манзилли!$AA:$AA,"&lt;01.04.2021",манзилли!$AA:$AA,"&gt;=01.01.2021"))</f>
        <v>66260</v>
      </c>
      <c r="AG18" s="29">
        <f>(+SUMIFS(манзилли!$N:$N,манзилли!$D:$D,'свод(тахлил)'!$B18,манзилли!$AB:$AB,"&lt;01.10.2023",манзилли!$AA:$AA,"&lt;01.04.2021",манзилли!$AA:$AA,"&gt;=01.01.2021"))</f>
        <v>43200</v>
      </c>
      <c r="AH18" s="29">
        <f>(+SUMIFS(манзилли!$R:$R,манзилли!$D:$D,'свод(тахлил)'!$B18,манзилли!$AB:$AB,"&lt;01.10.2023",манзилли!$AA:$AA,"&lt;01.04.2021",манзилли!$AA:$AA,"&gt;=01.01.2021"))</f>
        <v>23060</v>
      </c>
      <c r="AI18" s="29">
        <f>(+SUMIFS(манзилли!$T:$T,манзилли!$D:$D,'свод(тахлил)'!$B18,манзилли!$AB:$AB,"&lt;01.10.2023",манзилли!$AA:$AA,"&lt;01.04.2021",манзилли!$AA:$AA,"&gt;=01.01.2021"))</f>
        <v>0</v>
      </c>
      <c r="AJ18" s="29">
        <f>(+SUMIFS(манзилли!$V:$V,манзилли!$D:$D,'свод(тахлил)'!$B18,манзилли!$AB:$AB,"&lt;01.10.2023",манзилли!$AA:$AA,"&lt;01.04.2021",манзилли!$AA:$AA,"&gt;=01.01.2021"))</f>
        <v>0</v>
      </c>
      <c r="AK18" s="30">
        <f>+SUMIFS(манзилли!$Z:$Z,манзилли!$D:$D,'свод(тахлил)'!$B18,манзилли!$AB:$AB,"&lt;01.10.2023",манзилли!$AA:$AA,"&lt;01.04.2021",манзилли!$AA:$AA,"&gt;=01.01.2021")</f>
        <v>65</v>
      </c>
      <c r="AL18" s="28">
        <f>+COUNTIFS(манзилли!$D:$D,'свод(тахлил)'!$B18,манзилли!$AA:$AA,"&lt;01.04.2021",манзилли!$AA:$AA,"&gt;=01.01.2021",манзилли!$AC:$AC,"")</f>
        <v>0</v>
      </c>
      <c r="AM18" s="29">
        <f>(+SUMIFS(манзилли!$K:$K,манзилли!$D:$D,'свод(тахлил)'!$B18,манзилли!$AA:$AA,"&lt;01.04.2021",манзилли!$AA:$AA,"&gt;=01.01.2021",манзилли!$AC:$AC,""))</f>
        <v>0</v>
      </c>
      <c r="AN18" s="29">
        <f>(+SUMIFS(манзилли!$M:$M,манзилли!$D:$D,'свод(тахлил)'!$B18,манзилли!$AA:$AA,"&lt;01.04.2021",манзилли!$AA:$AA,"&gt;=01.01.2021",манзилли!$AC:$AC,""))</f>
        <v>0</v>
      </c>
      <c r="AO18" s="29">
        <f>(+SUMIFS(манзилли!$Q:$Q,манзилли!$D:$D,'свод(тахлил)'!$B18,манзилли!$AA:$AA,"&lt;01.04.2021",манзилли!$AA:$AA,"&gt;=01.01.2021",манзилли!$AC:$AC,""))</f>
        <v>0</v>
      </c>
      <c r="AP18" s="29">
        <f>(+SUMIFS(манзилли!$S:$S,манзилли!$D:$D,'свод(тахлил)'!$B18,манзилли!$AA:$AA,"&lt;01.04.2021",манзилли!$AA:$AA,"&gt;=01.01.2021",манзилли!$AC:$AC,""))</f>
        <v>0</v>
      </c>
      <c r="AQ18" s="29">
        <f>(+SUMIFS(манзилли!$U:$U,манзилли!$D:$D,'свод(тахлил)'!$B18,манзилли!$AA:$AA,"&lt;01.04.2021",манзилли!$AA:$AA,"&gt;=01.01.2021",манзилли!$AC:$AC,""))</f>
        <v>0</v>
      </c>
      <c r="AR18" s="30">
        <f>+SUMIFS(манзилли!$Y:$Y,манзилли!$D:$D,'свод(тахлил)'!$B18,манзилли!$AA:$AA,"&lt;01.04.2021",манзилли!$AA:$AA,"&gt;=01.01.2021",манзилли!$AC:$AC,"")</f>
        <v>0</v>
      </c>
    </row>
    <row r="19" spans="1:44" s="3" customFormat="1" ht="35.25" customHeight="1">
      <c r="A19" s="26">
        <f t="shared" si="3"/>
        <v>13</v>
      </c>
      <c r="B19" s="27" t="s">
        <v>360</v>
      </c>
      <c r="C19" s="28">
        <f>+COUNTIFS(манзилли!$D:$D,'свод(тахлил)'!$B19)</f>
        <v>51</v>
      </c>
      <c r="D19" s="29">
        <f>(+SUMIFS(манзилли!$K:$K,манзилли!$D:$D,'свод(тахлил)'!$B19))</f>
        <v>296513.59999999998</v>
      </c>
      <c r="E19" s="29">
        <f>(+SUMIFS(манзилли!$M:$M,манзилли!$D:$D,'свод(тахлил)'!$B19))</f>
        <v>130077</v>
      </c>
      <c r="F19" s="29">
        <f>(+SUMIFS(манзилли!$Q:$Q,манзилли!$D:$D,'свод(тахлил)'!$B19))</f>
        <v>74540</v>
      </c>
      <c r="G19" s="29">
        <f>(+SUMIFS(манзилли!$S:$S,манзилли!$D:$D,'свод(тахлил)'!$B19))</f>
        <v>5622</v>
      </c>
      <c r="H19" s="29">
        <f>(+SUMIFS(манзилли!$U:$U,манзилли!$D:$D,'свод(тахлил)'!$B19))</f>
        <v>3300</v>
      </c>
      <c r="I19" s="30">
        <f>+SUMIFS(манзилли!$Y:$Y,манзилли!$D:$D,'свод(тахлил)'!$B19)</f>
        <v>885</v>
      </c>
      <c r="J19" s="28">
        <f>+COUNTIFS(манзилли!$D:$D,'свод(тахлил)'!$B19,манзилли!$AA:$AA,"&lt;01.01.2022",манзилли!$AA:$AA,"&gt;=01.01.2021")</f>
        <v>37</v>
      </c>
      <c r="K19" s="29">
        <f>(+SUMIFS(манзилли!$K:$K,манзилли!$D:$D,'свод(тахлил)'!$B19,манзилли!$AA:$AA,"&lt;01.01.2022",манзилли!$AA:$AA,"&gt;=01.01.2021"))</f>
        <v>200808.6</v>
      </c>
      <c r="L19" s="29">
        <f>(+SUMIFS(манзилли!$M:$M,манзилли!$D:$D,'свод(тахлил)'!$B19,манзилли!$AA:$AA,"&lt;01.01.2022",манзилли!$AA:$AA,"&gt;=01.01.2021"))</f>
        <v>84437</v>
      </c>
      <c r="M19" s="29">
        <f>(+SUMIFS(манзилли!$Q:$Q,манзилли!$D:$D,'свод(тахлил)'!$B19,манзилли!$AA:$AA,"&lt;01.01.2022",манзилли!$AA:$AA,"&gt;=01.01.2021"))</f>
        <v>52800</v>
      </c>
      <c r="N19" s="29">
        <f>(+SUMIFS(манзилли!$S:$S,манзилли!$D:$D,'свод(тахлил)'!$B19,манзилли!$AA:$AA,"&lt;01.01.2022",манзилли!$AA:$AA,"&gt;=01.01.2021"))</f>
        <v>2872</v>
      </c>
      <c r="O19" s="29">
        <f>(+SUMIFS(манзилли!$U:$U,манзилли!$D:$D,'свод(тахлил)'!$B19,манзилли!$AA:$AA,"&lt;01.01.2022",манзилли!$AA:$AA,"&gt;=01.01.2021"))</f>
        <v>3300</v>
      </c>
      <c r="P19" s="30">
        <f>+SUMIFS(манзилли!$Y:$Y,манзилли!$D:$D,'свод(тахлил)'!$B19,манзилли!$AA:$AA,"&lt;01.01.2022",манзилли!$AA:$AA,"&gt;=01.01.2021")</f>
        <v>527</v>
      </c>
      <c r="Q19" s="28">
        <f>+COUNTIFS(манзилли!$D:$D,'свод(тахлил)'!$B19,манзилли!$AB:$AB,"&lt;01.10.2023",манзилли!$AA:$AA,"&lt;01.01.2022",манзилли!$AA:$AA,"&gt;=01.01.2021")</f>
        <v>6</v>
      </c>
      <c r="R19" s="29">
        <f>(+SUMIFS(манзилли!$L:$L,манзилли!$D:$D,'свод(тахлил)'!$B19,манзилли!$AB:$AB,"&lt;01.10.2023",манзилли!$AA:$AA,"&lt;01.01.2022",манзилли!$AA:$AA,"&gt;=01.01.2021"))</f>
        <v>7995</v>
      </c>
      <c r="S19" s="29">
        <f>(+SUMIFS(манзилли!$N:$N,манзилли!$D:$D,'свод(тахлил)'!$B19,манзилли!$AB:$AB,"&lt;01.10.2023",манзилли!$AA:$AA,"&lt;01.01.2022",манзилли!$AA:$AA,"&gt;=01.01.2021"))</f>
        <v>4700</v>
      </c>
      <c r="T19" s="29">
        <f>(+SUMIFS(манзилли!$R:$R,манзилли!$D:$D,'свод(тахлил)'!$B19,манзилли!$AB:$AB,"&lt;01.10.2023",манзилли!$AA:$AA,"&lt;01.01.2022",манзилли!$AA:$AA,"&gt;=01.01.2021"))</f>
        <v>3295</v>
      </c>
      <c r="U19" s="29">
        <f>(+SUMIFS(манзилли!$T:$T,манзилли!$D:$D,'свод(тахлил)'!$B19,манзилли!$AB:$AB,"&lt;01.10.2023",манзилли!$AA:$AA,"&lt;01.01.2022",манзилли!$AA:$AA,"&gt;=01.01.2021"))</f>
        <v>0</v>
      </c>
      <c r="V19" s="29">
        <f>(+SUMIFS(манзилли!$V:$V,манзилли!$D:$D,'свод(тахлил)'!$B19,манзилли!$AB:$AB,"&lt;01.10.2023",манзилли!$AA:$AA,"&lt;01.01.2022",манзилли!$AA:$AA,"&gt;=01.01.2021"))</f>
        <v>0</v>
      </c>
      <c r="W19" s="30">
        <f>+SUMIFS(манзилли!$Z:$Z,манзилли!$D:$D,'свод(тахлил)'!$B19,манзилли!$AB:$AB,"&lt;01.10.2023",манзилли!$AA:$AA,"&lt;01.01.2022",манзилли!$AA:$AA,"&gt;=01.01.2021")</f>
        <v>35</v>
      </c>
      <c r="X19" s="28">
        <f>+COUNTIFS(манзилли!$D:$D,'свод(тахлил)'!$B19,манзилли!$AA:$AA,"&lt;01.04.2021",манзилли!$AA:$AA,"&gt;=01.01.2021")</f>
        <v>4</v>
      </c>
      <c r="Y19" s="29">
        <f>(+SUMIFS(манзилли!$K:$K,манзилли!$D:$D,'свод(тахлил)'!$B19,манзилли!$AA:$AA,"&lt;01.04.2021",манзилли!$AA:$AA,"&gt;=01.01.2021"))</f>
        <v>14893.6</v>
      </c>
      <c r="Z19" s="29">
        <f>(+SUMIFS(манзилли!$M:$M,манзилли!$D:$D,'свод(тахлил)'!$B19,манзилли!$AA:$AA,"&lt;01.04.2021",манзилли!$AA:$AA,"&gt;=01.01.2021"))</f>
        <v>12437</v>
      </c>
      <c r="AA19" s="29">
        <f>(+SUMIFS(манзилли!$Q:$Q,манзилли!$D:$D,'свод(тахлил)'!$B19,манзилли!$AA:$AA,"&lt;01.04.2021",манзилли!$AA:$AA,"&gt;=01.01.2021"))</f>
        <v>1200</v>
      </c>
      <c r="AB19" s="29">
        <f>(+SUMIFS(манзилли!$S:$S,манзилли!$D:$D,'свод(тахлил)'!$B19,манзилли!$AA:$AA,"&lt;01.04.2021",манзилли!$AA:$AA,"&gt;=01.01.2021"))</f>
        <v>122</v>
      </c>
      <c r="AC19" s="29">
        <f>(+SUMIFS(манзилли!$U:$U,манзилли!$D:$D,'свод(тахлил)'!$B19,манзилли!$AA:$AA,"&lt;01.04.2021",манзилли!$AA:$AA,"&gt;=01.01.2021"))</f>
        <v>0</v>
      </c>
      <c r="AD19" s="30">
        <f>+SUMIFS(манзилли!$Y:$Y,манзилли!$D:$D,'свод(тахлил)'!$B19,манзилли!$AA:$AA,"&lt;01.04.2021",манзилли!$AA:$AA,"&gt;=01.01.2021")</f>
        <v>48</v>
      </c>
      <c r="AE19" s="28">
        <f>+COUNTIFS(манзилли!$D:$D,'свод(тахлил)'!$B19,манзилли!$AB:$AB,"&lt;01.10.2023",манзилли!$AA:$AA,"&lt;01.04.2021",манзилли!$AA:$AA,"&gt;=01.01.2021")</f>
        <v>1</v>
      </c>
      <c r="AF19" s="29">
        <f>(+SUMIFS(манзилли!$L:$L,манзилли!$D:$D,'свод(тахлил)'!$B19,манзилли!$AB:$AB,"&lt;01.10.2023",манзилли!$AA:$AA,"&lt;01.04.2021",манзилли!$AA:$AA,"&gt;=01.01.2021"))</f>
        <v>300</v>
      </c>
      <c r="AG19" s="29">
        <f>(+SUMIFS(манзилли!$N:$N,манзилли!$D:$D,'свод(тахлил)'!$B19,манзилли!$AB:$AB,"&lt;01.10.2023",манзилли!$AA:$AA,"&lt;01.04.2021",манзилли!$AA:$AA,"&gt;=01.01.2021"))</f>
        <v>100</v>
      </c>
      <c r="AH19" s="29">
        <f>(+SUMIFS(манзилли!$R:$R,манзилли!$D:$D,'свод(тахлил)'!$B19,манзилли!$AB:$AB,"&lt;01.10.2023",манзилли!$AA:$AA,"&lt;01.04.2021",манзилли!$AA:$AA,"&gt;=01.01.2021"))</f>
        <v>200</v>
      </c>
      <c r="AI19" s="29">
        <f>(+SUMIFS(манзилли!$T:$T,манзилли!$D:$D,'свод(тахлил)'!$B19,манзилли!$AB:$AB,"&lt;01.10.2023",манзилли!$AA:$AA,"&lt;01.04.2021",манзилли!$AA:$AA,"&gt;=01.01.2021"))</f>
        <v>0</v>
      </c>
      <c r="AJ19" s="29">
        <f>(+SUMIFS(манзилли!$V:$V,манзилли!$D:$D,'свод(тахлил)'!$B19,манзилли!$AB:$AB,"&lt;01.10.2023",манзилли!$AA:$AA,"&lt;01.04.2021",манзилли!$AA:$AA,"&gt;=01.01.2021"))</f>
        <v>0</v>
      </c>
      <c r="AK19" s="30">
        <f>+SUMIFS(манзилли!$Z:$Z,манзилли!$D:$D,'свод(тахлил)'!$B19,манзилли!$AB:$AB,"&lt;01.10.2023",манзилли!$AA:$AA,"&lt;01.04.2021",манзилли!$AA:$AA,"&gt;=01.01.2021")</f>
        <v>2</v>
      </c>
      <c r="AL19" s="28">
        <f>+COUNTIFS(манзилли!$D:$D,'свод(тахлил)'!$B19,манзилли!$AA:$AA,"&lt;01.04.2021",манзилли!$AA:$AA,"&gt;=01.01.2021",манзилли!$AC:$AC,"")</f>
        <v>3</v>
      </c>
      <c r="AM19" s="29">
        <f>(+SUMIFS(манзилли!$K:$K,манзилли!$D:$D,'свод(тахлил)'!$B19,манзилли!$AA:$AA,"&lt;01.04.2021",манзилли!$AA:$AA,"&gt;=01.01.2021",манзилли!$AC:$AC,""))</f>
        <v>14593.6</v>
      </c>
      <c r="AN19" s="29">
        <f>(+SUMIFS(манзилли!$M:$M,манзилли!$D:$D,'свод(тахлил)'!$B19,манзилли!$AA:$AA,"&lt;01.04.2021",манзилли!$AA:$AA,"&gt;=01.01.2021",манзилли!$AC:$AC,""))</f>
        <v>12337</v>
      </c>
      <c r="AO19" s="29">
        <f>(+SUMIFS(манзилли!$Q:$Q,манзилли!$D:$D,'свод(тахлил)'!$B19,манзилли!$AA:$AA,"&lt;01.04.2021",манзилли!$AA:$AA,"&gt;=01.01.2021",манзилли!$AC:$AC,""))</f>
        <v>1000</v>
      </c>
      <c r="AP19" s="29">
        <f>(+SUMIFS(манзилли!$S:$S,манзилли!$D:$D,'свод(тахлил)'!$B19,манзилли!$AA:$AA,"&lt;01.04.2021",манзилли!$AA:$AA,"&gt;=01.01.2021",манзилли!$AC:$AC,""))</f>
        <v>122</v>
      </c>
      <c r="AQ19" s="29">
        <f>(+SUMIFS(манзилли!$U:$U,манзилли!$D:$D,'свод(тахлил)'!$B19,манзилли!$AA:$AA,"&lt;01.04.2021",манзилли!$AA:$AA,"&gt;=01.01.2021",манзилли!$AC:$AC,""))</f>
        <v>0</v>
      </c>
      <c r="AR19" s="30">
        <f>+SUMIFS(манзилли!$Y:$Y,манзилли!$D:$D,'свод(тахлил)'!$B19,манзилли!$AA:$AA,"&lt;01.04.2021",манзилли!$AA:$AA,"&gt;=01.01.2021",манзилли!$AC:$AC,"")</f>
        <v>43</v>
      </c>
    </row>
    <row r="20" spans="1:44" s="3" customFormat="1" ht="35.25" customHeight="1">
      <c r="A20" s="26">
        <f t="shared" si="3"/>
        <v>14</v>
      </c>
      <c r="B20" s="27" t="s">
        <v>381</v>
      </c>
      <c r="C20" s="28">
        <f>+COUNTIFS(манзилли!$D:$D,'свод(тахлил)'!$B20)</f>
        <v>38</v>
      </c>
      <c r="D20" s="29">
        <f>(+SUMIFS(манзилли!$K:$K,манзилли!$D:$D,'свод(тахлил)'!$B20))</f>
        <v>159438</v>
      </c>
      <c r="E20" s="29">
        <f>(+SUMIFS(манзилли!$M:$M,манзилли!$D:$D,'свод(тахлил)'!$B20))</f>
        <v>72760</v>
      </c>
      <c r="F20" s="29">
        <f>(+SUMIFS(манзилли!$Q:$Q,манзилли!$D:$D,'свод(тахлил)'!$B20))</f>
        <v>22818</v>
      </c>
      <c r="G20" s="29">
        <f>(+SUMIFS(манзилли!$S:$S,манзилли!$D:$D,'свод(тахлил)'!$B20))</f>
        <v>5700</v>
      </c>
      <c r="H20" s="29">
        <f>(+SUMIFS(манзилли!$U:$U,манзилли!$D:$D,'свод(тахлил)'!$B20))</f>
        <v>500</v>
      </c>
      <c r="I20" s="30">
        <f>+SUMIFS(манзилли!$Y:$Y,манзилли!$D:$D,'свод(тахлил)'!$B20)</f>
        <v>427</v>
      </c>
      <c r="J20" s="28">
        <f>+COUNTIFS(манзилли!$D:$D,'свод(тахлил)'!$B20,манзилли!$AA:$AA,"&lt;01.01.2022",манзилли!$AA:$AA,"&gt;=01.01.2021")</f>
        <v>35</v>
      </c>
      <c r="K20" s="29">
        <f>(+SUMIFS(манзилли!$K:$K,манзилли!$D:$D,'свод(тахлил)'!$B20,манзилли!$AA:$AA,"&lt;01.01.2022",манзилли!$AA:$AA,"&gt;=01.01.2021"))</f>
        <v>150538</v>
      </c>
      <c r="L20" s="29">
        <f>(+SUMIFS(манзилли!$M:$M,манзилли!$D:$D,'свод(тахлил)'!$B20,манзилли!$AA:$AA,"&lt;01.01.2022",манзилли!$AA:$AA,"&gt;=01.01.2021"))</f>
        <v>69460</v>
      </c>
      <c r="M20" s="29">
        <f>(+SUMIFS(манзилли!$Q:$Q,манзилли!$D:$D,'свод(тахлил)'!$B20,манзилли!$AA:$AA,"&lt;01.01.2022",манзилли!$AA:$AA,"&gt;=01.01.2021"))</f>
        <v>17218</v>
      </c>
      <c r="N20" s="29">
        <f>(+SUMIFS(манзилли!$S:$S,манзилли!$D:$D,'свод(тахлил)'!$B20,манзилли!$AA:$AA,"&lt;01.01.2022",манзилли!$AA:$AA,"&gt;=01.01.2021"))</f>
        <v>5700</v>
      </c>
      <c r="O20" s="29">
        <f>(+SUMIFS(манзилли!$U:$U,манзилли!$D:$D,'свод(тахлил)'!$B20,манзилли!$AA:$AA,"&lt;01.01.2022",манзилли!$AA:$AA,"&gt;=01.01.2021"))</f>
        <v>500</v>
      </c>
      <c r="P20" s="30">
        <f>+SUMIFS(манзилли!$Y:$Y,манзилли!$D:$D,'свод(тахлил)'!$B20,манзилли!$AA:$AA,"&lt;01.01.2022",манзилли!$AA:$AA,"&gt;=01.01.2021")</f>
        <v>342</v>
      </c>
      <c r="Q20" s="28">
        <f>+COUNTIFS(манзилли!$D:$D,'свод(тахлил)'!$B20,манзилли!$AB:$AB,"&lt;01.10.2023",манзилли!$AA:$AA,"&lt;01.01.2022",манзилли!$AA:$AA,"&gt;=01.01.2021")</f>
        <v>10</v>
      </c>
      <c r="R20" s="29">
        <f>(+SUMIFS(манзилли!$L:$L,манзилли!$D:$D,'свод(тахлил)'!$B20,манзилли!$AB:$AB,"&lt;01.10.2023",манзилли!$AA:$AA,"&lt;01.01.2022",манзилли!$AA:$AA,"&gt;=01.01.2021"))</f>
        <v>8773</v>
      </c>
      <c r="S20" s="29">
        <f>(+SUMIFS(манзилли!$N:$N,манзилли!$D:$D,'свод(тахлил)'!$B20,манзилли!$AB:$AB,"&lt;01.10.2023",манзилли!$AA:$AA,"&lt;01.01.2022",манзилли!$AA:$AA,"&gt;=01.01.2021"))</f>
        <v>5275</v>
      </c>
      <c r="T20" s="29">
        <f>(+SUMIFS(манзилли!$R:$R,манзилли!$D:$D,'свод(тахлил)'!$B20,манзилли!$AB:$AB,"&lt;01.10.2023",манзилли!$AA:$AA,"&lt;01.01.2022",манзилли!$AA:$AA,"&gt;=01.01.2021"))</f>
        <v>3498</v>
      </c>
      <c r="U20" s="29">
        <f>(+SUMIFS(манзилли!$T:$T,манзилли!$D:$D,'свод(тахлил)'!$B20,манзилли!$AB:$AB,"&lt;01.10.2023",манзилли!$AA:$AA,"&lt;01.01.2022",манзилли!$AA:$AA,"&gt;=01.01.2021"))</f>
        <v>0</v>
      </c>
      <c r="V20" s="29">
        <f>(+SUMIFS(манзилли!$V:$V,манзилли!$D:$D,'свод(тахлил)'!$B20,манзилли!$AB:$AB,"&lt;01.10.2023",манзилли!$AA:$AA,"&lt;01.01.2022",манзилли!$AA:$AA,"&gt;=01.01.2021"))</f>
        <v>0</v>
      </c>
      <c r="W20" s="30">
        <f>+SUMIFS(манзилли!$Z:$Z,манзилли!$D:$D,'свод(тахлил)'!$B20,манзилли!$AB:$AB,"&lt;01.10.2023",манзилли!$AA:$AA,"&lt;01.01.2022",манзилли!$AA:$AA,"&gt;=01.01.2021")</f>
        <v>78</v>
      </c>
      <c r="X20" s="28">
        <f>+COUNTIFS(манзилли!$D:$D,'свод(тахлил)'!$B20,манзилли!$AA:$AA,"&lt;01.04.2021",манзилли!$AA:$AA,"&gt;=01.01.2021")</f>
        <v>1</v>
      </c>
      <c r="Y20" s="29">
        <f>(+SUMIFS(манзилли!$K:$K,манзилли!$D:$D,'свод(тахлил)'!$B20,манзилли!$AA:$AA,"&lt;01.04.2021",манзилли!$AA:$AA,"&gt;=01.01.2021"))</f>
        <v>900</v>
      </c>
      <c r="Z20" s="29">
        <f>(+SUMIFS(манзилли!$M:$M,манзилли!$D:$D,'свод(тахлил)'!$B20,манзилли!$AA:$AA,"&lt;01.04.2021",манзилли!$AA:$AA,"&gt;=01.01.2021"))</f>
        <v>425</v>
      </c>
      <c r="AA20" s="29">
        <f>(+SUMIFS(манзилли!$Q:$Q,манзилли!$D:$D,'свод(тахлил)'!$B20,манзилли!$AA:$AA,"&lt;01.04.2021",манзилли!$AA:$AA,"&gt;=01.01.2021"))</f>
        <v>475</v>
      </c>
      <c r="AB20" s="29">
        <f>(+SUMIFS(манзилли!$S:$S,манзилли!$D:$D,'свод(тахлил)'!$B20,манзилли!$AA:$AA,"&lt;01.04.2021",манзилли!$AA:$AA,"&gt;=01.01.2021"))</f>
        <v>0</v>
      </c>
      <c r="AC20" s="29">
        <f>(+SUMIFS(манзилли!$U:$U,манзилли!$D:$D,'свод(тахлил)'!$B20,манзилли!$AA:$AA,"&lt;01.04.2021",манзилли!$AA:$AA,"&gt;=01.01.2021"))</f>
        <v>0</v>
      </c>
      <c r="AD20" s="30">
        <f>+SUMIFS(манзилли!$Y:$Y,манзилли!$D:$D,'свод(тахлил)'!$B20,манзилли!$AA:$AA,"&lt;01.04.2021",манзилли!$AA:$AA,"&gt;=01.01.2021")</f>
        <v>5</v>
      </c>
      <c r="AE20" s="28">
        <f>+COUNTIFS(манзилли!$D:$D,'свод(тахлил)'!$B20,манзилли!$AB:$AB,"&lt;01.10.2023",манзилли!$AA:$AA,"&lt;01.04.2021",манзилли!$AA:$AA,"&gt;=01.01.2021")</f>
        <v>1</v>
      </c>
      <c r="AF20" s="29">
        <f>(+SUMIFS(манзилли!$L:$L,манзилли!$D:$D,'свод(тахлил)'!$B20,манзилли!$AB:$AB,"&lt;01.10.2023",манзилли!$AA:$AA,"&lt;01.04.2021",манзилли!$AA:$AA,"&gt;=01.01.2021"))</f>
        <v>900</v>
      </c>
      <c r="AG20" s="29">
        <f>(+SUMIFS(манзилли!$N:$N,манзилли!$D:$D,'свод(тахлил)'!$B20,манзилли!$AB:$AB,"&lt;01.10.2023",манзилли!$AA:$AA,"&lt;01.04.2021",манзилли!$AA:$AA,"&gt;=01.01.2021"))</f>
        <v>425</v>
      </c>
      <c r="AH20" s="29">
        <f>(+SUMIFS(манзилли!$R:$R,манзилли!$D:$D,'свод(тахлил)'!$B20,манзилли!$AB:$AB,"&lt;01.10.2023",манзилли!$AA:$AA,"&lt;01.04.2021",манзилли!$AA:$AA,"&gt;=01.01.2021"))</f>
        <v>475</v>
      </c>
      <c r="AI20" s="29">
        <f>(+SUMIFS(манзилли!$T:$T,манзилли!$D:$D,'свод(тахлил)'!$B20,манзилли!$AB:$AB,"&lt;01.10.2023",манзилли!$AA:$AA,"&lt;01.04.2021",манзилли!$AA:$AA,"&gt;=01.01.2021"))</f>
        <v>0</v>
      </c>
      <c r="AJ20" s="29">
        <f>(+SUMIFS(манзилли!$V:$V,манзилли!$D:$D,'свод(тахлил)'!$B20,манзилли!$AB:$AB,"&lt;01.10.2023",манзилли!$AA:$AA,"&lt;01.04.2021",манзилли!$AA:$AA,"&gt;=01.01.2021"))</f>
        <v>0</v>
      </c>
      <c r="AK20" s="30">
        <f>+SUMIFS(манзилли!$Z:$Z,манзилли!$D:$D,'свод(тахлил)'!$B20,манзилли!$AB:$AB,"&lt;01.10.2023",манзилли!$AA:$AA,"&lt;01.04.2021",манзилли!$AA:$AA,"&gt;=01.01.2021")</f>
        <v>5</v>
      </c>
      <c r="AL20" s="28">
        <f>+COUNTIFS(манзилли!$D:$D,'свод(тахлил)'!$B20,манзилли!$AA:$AA,"&lt;01.04.2021",манзилли!$AA:$AA,"&gt;=01.01.2021",манзилли!$AC:$AC,"")</f>
        <v>0</v>
      </c>
      <c r="AM20" s="29">
        <f>(+SUMIFS(манзилли!$K:$K,манзилли!$D:$D,'свод(тахлил)'!$B20,манзилли!$AA:$AA,"&lt;01.04.2021",манзилли!$AA:$AA,"&gt;=01.01.2021",манзилли!$AC:$AC,""))</f>
        <v>0</v>
      </c>
      <c r="AN20" s="29">
        <f>(+SUMIFS(манзилли!$M:$M,манзилли!$D:$D,'свод(тахлил)'!$B20,манзилли!$AA:$AA,"&lt;01.04.2021",манзилли!$AA:$AA,"&gt;=01.01.2021",манзилли!$AC:$AC,""))</f>
        <v>0</v>
      </c>
      <c r="AO20" s="29">
        <f>(+SUMIFS(манзилли!$Q:$Q,манзилли!$D:$D,'свод(тахлил)'!$B20,манзилли!$AA:$AA,"&lt;01.04.2021",манзилли!$AA:$AA,"&gt;=01.01.2021",манзилли!$AC:$AC,""))</f>
        <v>0</v>
      </c>
      <c r="AP20" s="29">
        <f>(+SUMIFS(манзилли!$S:$S,манзилли!$D:$D,'свод(тахлил)'!$B20,манзилли!$AA:$AA,"&lt;01.04.2021",манзилли!$AA:$AA,"&gt;=01.01.2021",манзилли!$AC:$AC,""))</f>
        <v>0</v>
      </c>
      <c r="AQ20" s="29">
        <f>(+SUMIFS(манзилли!$U:$U,манзилли!$D:$D,'свод(тахлил)'!$B20,манзилли!$AA:$AA,"&lt;01.04.2021",манзилли!$AA:$AA,"&gt;=01.01.2021",манзилли!$AC:$AC,""))</f>
        <v>0</v>
      </c>
      <c r="AR20" s="30">
        <f>+SUMIFS(манзилли!$Y:$Y,манзилли!$D:$D,'свод(тахлил)'!$B20,манзилли!$AA:$AA,"&lt;01.04.2021",манзилли!$AA:$AA,"&gt;=01.01.2021",манзилли!$AC:$AC,"")</f>
        <v>0</v>
      </c>
    </row>
    <row r="21" spans="1:44" s="3" customFormat="1" ht="35.25" customHeight="1" thickBot="1">
      <c r="A21" s="35">
        <f t="shared" si="3"/>
        <v>15</v>
      </c>
      <c r="B21" s="36" t="s">
        <v>402</v>
      </c>
      <c r="C21" s="37">
        <f>+COUNTIFS(манзилли!$D:$D,'свод(тахлил)'!$B21)</f>
        <v>45</v>
      </c>
      <c r="D21" s="38">
        <f>(+SUMIFS(манзилли!$K:$K,манзилли!$D:$D,'свод(тахлил)'!$B21))</f>
        <v>296562.5</v>
      </c>
      <c r="E21" s="38">
        <f>(+SUMIFS(манзилли!$M:$M,манзилли!$D:$D,'свод(тахлил)'!$B21))</f>
        <v>97568</v>
      </c>
      <c r="F21" s="38">
        <f>(+SUMIFS(манзилли!$Q:$Q,манзилли!$D:$D,'свод(тахлил)'!$B21))</f>
        <v>54537</v>
      </c>
      <c r="G21" s="38">
        <f>(+SUMIFS(манзилли!$S:$S,манзилли!$D:$D,'свод(тахлил)'!$B21))</f>
        <v>6425</v>
      </c>
      <c r="H21" s="38">
        <f>(+SUMIFS(манзилли!$U:$U,манзилли!$D:$D,'свод(тахлил)'!$B21))</f>
        <v>7600</v>
      </c>
      <c r="I21" s="39">
        <f>+SUMIFS(манзилли!$Y:$Y,манзилли!$D:$D,'свод(тахлил)'!$B21)</f>
        <v>910</v>
      </c>
      <c r="J21" s="37">
        <f>+COUNTIFS(манзилли!$D:$D,'свод(тахлил)'!$B21,манзилли!$AA:$AA,"&lt;01.01.2022",манзилли!$AA:$AA,"&gt;=01.01.2021")</f>
        <v>30</v>
      </c>
      <c r="K21" s="38">
        <f>(+SUMIFS(манзилли!$K:$K,манзилли!$D:$D,'свод(тахлил)'!$B21,манзилли!$AA:$AA,"&lt;01.01.2022",манзилли!$AA:$AA,"&gt;=01.01.2021"))</f>
        <v>179947.5</v>
      </c>
      <c r="L21" s="38">
        <f>(+SUMIFS(манзилли!$M:$M,манзилли!$D:$D,'свод(тахлил)'!$B21,манзилли!$AA:$AA,"&lt;01.01.2022",манзилли!$AA:$AA,"&gt;=01.01.2021"))</f>
        <v>81630</v>
      </c>
      <c r="M21" s="38">
        <f>(+SUMIFS(манзилли!$Q:$Q,манзилли!$D:$D,'свод(тахлил)'!$B21,манзилли!$AA:$AA,"&lt;01.01.2022",манзилли!$AA:$AA,"&gt;=01.01.2021"))</f>
        <v>21840</v>
      </c>
      <c r="N21" s="38">
        <f>(+SUMIFS(манзилли!$S:$S,манзилли!$D:$D,'свод(тахлил)'!$B21,манзилли!$AA:$AA,"&lt;01.01.2022",манзилли!$AA:$AA,"&gt;=01.01.2021"))</f>
        <v>5825</v>
      </c>
      <c r="O21" s="38">
        <f>(+SUMIFS(манзилли!$U:$U,манзилли!$D:$D,'свод(тахлил)'!$B21,манзилли!$AA:$AA,"&lt;01.01.2022",манзилли!$AA:$AA,"&gt;=01.01.2021"))</f>
        <v>1600</v>
      </c>
      <c r="P21" s="39">
        <f>+SUMIFS(манзилли!$Y:$Y,манзилли!$D:$D,'свод(тахлил)'!$B21,манзилли!$AA:$AA,"&lt;01.01.2022",манзилли!$AA:$AA,"&gt;=01.01.2021")</f>
        <v>696</v>
      </c>
      <c r="Q21" s="37">
        <f>+COUNTIFS(манзилли!$D:$D,'свод(тахлил)'!$B21,манзилли!$AB:$AB,"&lt;01.10.2023",манзилли!$AA:$AA,"&lt;01.01.2022",манзилли!$AA:$AA,"&gt;=01.01.2021")</f>
        <v>4</v>
      </c>
      <c r="R21" s="38">
        <f>(+SUMIFS(манзилли!$L:$L,манзилли!$D:$D,'свод(тахлил)'!$B21,манзилли!$AB:$AB,"&lt;01.10.2023",манзилли!$AA:$AA,"&lt;01.01.2022",манзилли!$AA:$AA,"&gt;=01.01.2021"))</f>
        <v>3415</v>
      </c>
      <c r="S21" s="38">
        <f>(+SUMIFS(манзилли!$N:$N,манзилли!$D:$D,'свод(тахлил)'!$B21,манзилли!$AB:$AB,"&lt;01.10.2023",манзилли!$AA:$AA,"&lt;01.01.2022",манзилли!$AA:$AA,"&gt;=01.01.2021"))</f>
        <v>2405</v>
      </c>
      <c r="T21" s="38">
        <f>(+SUMIFS(манзилли!$R:$R,манзилли!$D:$D,'свод(тахлил)'!$B21,манзилли!$AB:$AB,"&lt;01.10.2023",манзилли!$AA:$AA,"&lt;01.01.2022",манзилли!$AA:$AA,"&gt;=01.01.2021"))</f>
        <v>1210</v>
      </c>
      <c r="U21" s="38">
        <f>(+SUMIFS(манзилли!$T:$T,манзилли!$D:$D,'свод(тахлил)'!$B21,манзилли!$AB:$AB,"&lt;01.10.2023",манзилли!$AA:$AA,"&lt;01.01.2022",манзилли!$AA:$AA,"&gt;=01.01.2021"))</f>
        <v>0</v>
      </c>
      <c r="V21" s="38">
        <f>(+SUMIFS(манзилли!$V:$V,манзилли!$D:$D,'свод(тахлил)'!$B21,манзилли!$AB:$AB,"&lt;01.10.2023",манзилли!$AA:$AA,"&lt;01.01.2022",манзилли!$AA:$AA,"&gt;=01.01.2021"))</f>
        <v>0</v>
      </c>
      <c r="W21" s="39">
        <f>+SUMIFS(манзилли!$Z:$Z,манзилли!$D:$D,'свод(тахлил)'!$B21,манзилли!$AB:$AB,"&lt;01.10.2023",манзилли!$AA:$AA,"&lt;01.01.2022",манзилли!$AA:$AA,"&gt;=01.01.2021")</f>
        <v>19</v>
      </c>
      <c r="X21" s="37">
        <f>+COUNTIFS(манзилли!$D:$D,'свод(тахлил)'!$B21,манзилли!$AA:$AA,"&lt;01.04.2021",манзилли!$AA:$AA,"&gt;=01.01.2021")</f>
        <v>2</v>
      </c>
      <c r="Y21" s="38">
        <f>(+SUMIFS(манзилли!$K:$K,манзилли!$D:$D,'свод(тахлил)'!$B21,манзилли!$AA:$AA,"&lt;01.04.2021",манзилли!$AA:$AA,"&gt;=01.01.2021"))</f>
        <v>6000</v>
      </c>
      <c r="Z21" s="38">
        <f>(+SUMIFS(манзилли!$M:$M,манзилли!$D:$D,'свод(тахлил)'!$B21,манзилли!$AA:$AA,"&lt;01.04.2021",манзилли!$AA:$AA,"&gt;=01.01.2021"))</f>
        <v>1000</v>
      </c>
      <c r="AA21" s="38">
        <f>(+SUMIFS(манзилли!$Q:$Q,манзилли!$D:$D,'свод(тахлил)'!$B21,манзилли!$AA:$AA,"&lt;01.04.2021",манзилли!$AA:$AA,"&gt;=01.01.2021"))</f>
        <v>5000</v>
      </c>
      <c r="AB21" s="38">
        <f>(+SUMIFS(манзилли!$S:$S,манзилли!$D:$D,'свод(тахлил)'!$B21,манзилли!$AA:$AA,"&lt;01.04.2021",манзилли!$AA:$AA,"&gt;=01.01.2021"))</f>
        <v>0</v>
      </c>
      <c r="AC21" s="38">
        <f>(+SUMIFS(манзилли!$U:$U,манзилли!$D:$D,'свод(тахлил)'!$B21,манзилли!$AA:$AA,"&lt;01.04.2021",манзилли!$AA:$AA,"&gt;=01.01.2021"))</f>
        <v>0</v>
      </c>
      <c r="AD21" s="39">
        <f>+SUMIFS(манзилли!$Y:$Y,манзилли!$D:$D,'свод(тахлил)'!$B21,манзилли!$AA:$AA,"&lt;01.04.2021",манзилли!$AA:$AA,"&gt;=01.01.2021")</f>
        <v>35</v>
      </c>
      <c r="AE21" s="37">
        <f>+COUNTIFS(манзилли!$D:$D,'свод(тахлил)'!$B21,манзилли!$AB:$AB,"&lt;01.10.2023",манзилли!$AA:$AA,"&lt;01.04.2021",манзилли!$AA:$AA,"&gt;=01.01.2021")</f>
        <v>0</v>
      </c>
      <c r="AF21" s="38">
        <f>(+SUMIFS(манзилли!$L:$L,манзилли!$D:$D,'свод(тахлил)'!$B21,манзилли!$AB:$AB,"&lt;01.10.2023",манзилли!$AA:$AA,"&lt;01.04.2021",манзилли!$AA:$AA,"&gt;=01.01.2021"))</f>
        <v>0</v>
      </c>
      <c r="AG21" s="38">
        <f>(+SUMIFS(манзилли!$N:$N,манзилли!$D:$D,'свод(тахлил)'!$B21,манзилли!$AB:$AB,"&lt;01.10.2023",манзилли!$AA:$AA,"&lt;01.04.2021",манзилли!$AA:$AA,"&gt;=01.01.2021"))</f>
        <v>0</v>
      </c>
      <c r="AH21" s="38">
        <f>(+SUMIFS(манзилли!$R:$R,манзилли!$D:$D,'свод(тахлил)'!$B21,манзилли!$AB:$AB,"&lt;01.10.2023",манзилли!$AA:$AA,"&lt;01.04.2021",манзилли!$AA:$AA,"&gt;=01.01.2021"))</f>
        <v>0</v>
      </c>
      <c r="AI21" s="38">
        <f>(+SUMIFS(манзилли!$T:$T,манзилли!$D:$D,'свод(тахлил)'!$B21,манзилли!$AB:$AB,"&lt;01.10.2023",манзилли!$AA:$AA,"&lt;01.04.2021",манзилли!$AA:$AA,"&gt;=01.01.2021"))</f>
        <v>0</v>
      </c>
      <c r="AJ21" s="38">
        <f>(+SUMIFS(манзилли!$V:$V,манзилли!$D:$D,'свод(тахлил)'!$B21,манзилли!$AB:$AB,"&lt;01.10.2023",манзилли!$AA:$AA,"&lt;01.04.2021",манзилли!$AA:$AA,"&gt;=01.01.2021"))</f>
        <v>0</v>
      </c>
      <c r="AK21" s="39">
        <f>+SUMIFS(манзилли!$Z:$Z,манзилли!$D:$D,'свод(тахлил)'!$B21,манзилли!$AB:$AB,"&lt;01.10.2023",манзилли!$AA:$AA,"&lt;01.04.2021",манзилли!$AA:$AA,"&gt;=01.01.2021")</f>
        <v>0</v>
      </c>
      <c r="AL21" s="37">
        <f>+COUNTIFS(манзилли!$D:$D,'свод(тахлил)'!$B21,манзилли!$AA:$AA,"&lt;01.04.2021",манзилли!$AA:$AA,"&gt;=01.01.2021",манзилли!$AC:$AC,"")</f>
        <v>2</v>
      </c>
      <c r="AM21" s="38">
        <f>(+SUMIFS(манзилли!$K:$K,манзилли!$D:$D,'свод(тахлил)'!$B21,манзилли!$AA:$AA,"&lt;01.04.2021",манзилли!$AA:$AA,"&gt;=01.01.2021",манзилли!$AC:$AC,""))</f>
        <v>6000</v>
      </c>
      <c r="AN21" s="38">
        <f>(+SUMIFS(манзилли!$M:$M,манзилли!$D:$D,'свод(тахлил)'!$B21,манзилли!$AA:$AA,"&lt;01.04.2021",манзилли!$AA:$AA,"&gt;=01.01.2021",манзилли!$AC:$AC,""))</f>
        <v>1000</v>
      </c>
      <c r="AO21" s="38">
        <f>(+SUMIFS(манзилли!$Q:$Q,манзилли!$D:$D,'свод(тахлил)'!$B21,манзилли!$AA:$AA,"&lt;01.04.2021",манзилли!$AA:$AA,"&gt;=01.01.2021",манзилли!$AC:$AC,""))</f>
        <v>5000</v>
      </c>
      <c r="AP21" s="38">
        <f>(+SUMIFS(манзилли!$S:$S,манзилли!$D:$D,'свод(тахлил)'!$B21,манзилли!$AA:$AA,"&lt;01.04.2021",манзилли!$AA:$AA,"&gt;=01.01.2021",манзилли!$AC:$AC,""))</f>
        <v>0</v>
      </c>
      <c r="AQ21" s="38">
        <f>(+SUMIFS(манзилли!$U:$U,манзилли!$D:$D,'свод(тахлил)'!$B21,манзилли!$AA:$AA,"&lt;01.04.2021",манзилли!$AA:$AA,"&gt;=01.01.2021",манзилли!$AC:$AC,""))</f>
        <v>0</v>
      </c>
      <c r="AR21" s="39">
        <f>+SUMIFS(манзилли!$Y:$Y,манзилли!$D:$D,'свод(тахлил)'!$B21,манзилли!$AA:$AA,"&lt;01.04.2021",манзилли!$AA:$AA,"&gt;=01.01.2021",манзилли!$AC:$AC,"")</f>
        <v>35</v>
      </c>
    </row>
    <row r="22" spans="1:44" s="2" customFormat="1" ht="36" customHeight="1" thickBot="1">
      <c r="A22" s="124" t="s">
        <v>78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</row>
    <row r="23" spans="1:44" s="3" customFormat="1" ht="35.25" customHeight="1">
      <c r="A23" s="20">
        <v>1</v>
      </c>
      <c r="B23" s="21" t="s">
        <v>6</v>
      </c>
      <c r="C23" s="22">
        <f>+COUNTIFS(манзилли!$I:$I,'свод(тахлил)'!$B23)</f>
        <v>273</v>
      </c>
      <c r="D23" s="23">
        <f>(+SUMIFS(манзилли!$K:$K,манзилли!$I:$I,'свод(тахлил)'!$B23))</f>
        <v>4903608.2578947358</v>
      </c>
      <c r="E23" s="23">
        <f>(+SUMIFS(манзилли!$M:$M,манзилли!$I:$I,'свод(тахлил)'!$B23))</f>
        <v>1725533.1578947369</v>
      </c>
      <c r="F23" s="23">
        <f>(+SUMIFS(манзилли!$Q:$Q,манзилли!$I:$I,'свод(тахлил)'!$B23))</f>
        <v>371430</v>
      </c>
      <c r="G23" s="23">
        <f>(+SUMIFS(манзилли!$S:$S,манзилли!$I:$I,'свод(тахлил)'!$B23))</f>
        <v>172767</v>
      </c>
      <c r="H23" s="23">
        <f>(+SUMIFS(манзилли!$U:$U,манзилли!$I:$I,'свод(тахлил)'!$B23))</f>
        <v>101710</v>
      </c>
      <c r="I23" s="24">
        <f>+SUMIFS(манзилли!$Y:$Y,манзилли!$I:$I,'свод(тахлил)'!$B23)</f>
        <v>11817</v>
      </c>
      <c r="J23" s="22">
        <f>+COUNTIFS(манзилли!$I:$I,'свод(тахлил)'!$B23,манзилли!$AA:$AA,"&lt;01.01.2022",манзилли!$AA:$AA,"&gt;=01.01.2021")</f>
        <v>192</v>
      </c>
      <c r="K23" s="23">
        <f>(+SUMIFS(манзилли!$K:$K,манзилли!$I:$I,'свод(тахлил)'!$B23,манзилли!$AA:$AA,"&lt;01.01.2022",манзилли!$AA:$AA,"&gt;=01.01.2021"))</f>
        <v>3996616.7578947372</v>
      </c>
      <c r="L23" s="23">
        <f>(+SUMIFS(манзилли!$M:$M,манзилли!$I:$I,'свод(тахлил)'!$B23,манзилли!$AA:$AA,"&lt;01.01.2022",манзилли!$AA:$AA,"&gt;=01.01.2021"))</f>
        <v>1422133.1578947369</v>
      </c>
      <c r="M23" s="23">
        <f>(+SUMIFS(манзилли!$Q:$Q,манзилли!$I:$I,'свод(тахлил)'!$B23,манзилли!$AA:$AA,"&lt;01.01.2022",манзилли!$AA:$AA,"&gt;=01.01.2021"))</f>
        <v>252968</v>
      </c>
      <c r="N23" s="23">
        <f>(+SUMIFS(манзилли!$S:$S,манзилли!$I:$I,'свод(тахлил)'!$B23,манзилли!$AA:$AA,"&lt;01.01.2022",манзилли!$AA:$AA,"&gt;=01.01.2021"))</f>
        <v>132812</v>
      </c>
      <c r="O23" s="23">
        <f>(+SUMIFS(манзилли!$U:$U,манзилли!$I:$I,'свод(тахлил)'!$B23,манзилли!$AA:$AA,"&lt;01.01.2022",манзилли!$AA:$AA,"&gt;=01.01.2021"))</f>
        <v>95310</v>
      </c>
      <c r="P23" s="24">
        <f>+SUMIFS(манзилли!$Y:$Y,манзилли!$I:$I,'свод(тахлил)'!$B23,манзилли!$AA:$AA,"&lt;01.01.2022",манзилли!$AA:$AA,"&gt;=01.01.2021")</f>
        <v>8687</v>
      </c>
      <c r="Q23" s="22">
        <f>+COUNTIFS(манзилли!$I:$I,'свод(тахлил)'!$B23,манзилли!$AB:$AB,"&lt;01.10.2023",манзилли!$AA:$AA,"&lt;01.01.2022",манзилли!$AA:$AA,"&gt;=01.01.2021")</f>
        <v>22</v>
      </c>
      <c r="R23" s="23">
        <f>(+SUMIFS(манзилли!$L:$L,манзилли!$I:$I,'свод(тахлил)'!$B23,манзилли!$AB:$AB,"&lt;01.10.2023",манзилли!$AA:$AA,"&lt;01.01.2022",манзилли!$AA:$AA,"&gt;=01.01.2021"))</f>
        <v>32959.9</v>
      </c>
      <c r="S23" s="23">
        <f>(+SUMIFS(манзилли!$N:$N,манзилли!$I:$I,'свод(тахлил)'!$B23,манзилли!$AB:$AB,"&lt;01.10.2023",манзилли!$AA:$AA,"&lt;01.01.2022",манзилли!$AA:$AA,"&gt;=01.01.2021"))</f>
        <v>18135.099999999999</v>
      </c>
      <c r="T23" s="23">
        <f>(+SUMIFS(манзилли!$R:$R,манзилли!$I:$I,'свод(тахлил)'!$B23,манзилли!$AB:$AB,"&lt;01.10.2023",манзилли!$AA:$AA,"&lt;01.01.2022",манзилли!$AA:$AA,"&gt;=01.01.2021"))</f>
        <v>11017.5</v>
      </c>
      <c r="U23" s="23">
        <f>(+SUMIFS(манзилли!$T:$T,манзилли!$I:$I,'свод(тахлил)'!$B23,манзилли!$AB:$AB,"&lt;01.10.2023",манзилли!$AA:$AA,"&lt;01.01.2022",манзилли!$AA:$AA,"&gt;=01.01.2021"))</f>
        <v>395.5</v>
      </c>
      <c r="V23" s="23">
        <f>(+SUMIFS(манзилли!$V:$V,манзилли!$I:$I,'свод(тахлил)'!$B23,манзилли!$AB:$AB,"&lt;01.10.2023",манзилли!$AA:$AA,"&lt;01.01.2022",манзилли!$AA:$AA,"&gt;=01.01.2021"))</f>
        <v>0</v>
      </c>
      <c r="W23" s="24">
        <f>+SUMIFS(манзилли!$Z:$Z,манзилли!$I:$I,'свод(тахлил)'!$B23,манзилли!$AB:$AB,"&lt;01.10.2023",манзилли!$AA:$AA,"&lt;01.01.2022",манзилли!$AA:$AA,"&gt;=01.01.2021")</f>
        <v>133</v>
      </c>
      <c r="X23" s="22">
        <f>+COUNTIFS(манзилли!$I:$I,'свод(тахлил)'!$B23,манзилли!$AA:$AA,"&lt;01.04.2021",манзилли!$AA:$AA,"&gt;=01.01.2021")</f>
        <v>22</v>
      </c>
      <c r="Y23" s="23">
        <f>(+SUMIFS(манзилли!$K:$K,манзилли!$I:$I,'свод(тахлил)'!$B23,манзилли!$AA:$AA,"&lt;01.04.2021",манзилли!$AA:$AA,"&gt;=01.01.2021"))</f>
        <v>105958.6</v>
      </c>
      <c r="Z23" s="23">
        <f>(+SUMIFS(манзилли!$M:$M,манзилли!$I:$I,'свод(тахлил)'!$B23,манзилли!$AA:$AA,"&lt;01.04.2021",манзилли!$AA:$AA,"&gt;=01.01.2021"))</f>
        <v>30522</v>
      </c>
      <c r="AA23" s="23">
        <f>(+SUMIFS(манзилли!$Q:$Q,манзилли!$I:$I,'свод(тахлил)'!$B23,манзилли!$AA:$AA,"&lt;01.04.2021",манзилли!$AA:$AA,"&gt;=01.01.2021"))</f>
        <v>33905</v>
      </c>
      <c r="AB23" s="23">
        <f>(+SUMIFS(манзилли!$S:$S,манзилли!$I:$I,'свод(тахлил)'!$B23,манзилли!$AA:$AA,"&lt;01.04.2021",манзилли!$AA:$AA,"&gt;=01.01.2021"))</f>
        <v>3632</v>
      </c>
      <c r="AC23" s="23">
        <f>(+SUMIFS(манзилли!$U:$U,манзилли!$I:$I,'свод(тахлил)'!$B23,манзилли!$AA:$AA,"&lt;01.04.2021",манзилли!$AA:$AA,"&gt;=01.01.2021"))</f>
        <v>260</v>
      </c>
      <c r="AD23" s="24">
        <f>+SUMIFS(манзилли!$Y:$Y,манзилли!$I:$I,'свод(тахлил)'!$B23,манзилли!$AA:$AA,"&lt;01.04.2021",манзилли!$AA:$AA,"&gt;=01.01.2021")</f>
        <v>340</v>
      </c>
      <c r="AE23" s="22">
        <f>+COUNTIFS(манзилли!$I:$I,'свод(тахлил)'!$B23,манзилли!$AB:$AB,"&lt;01.10.2023",манзилли!$AA:$AA,"&lt;01.04.2021",манзилли!$AA:$AA,"&gt;=01.01.2021")</f>
        <v>7</v>
      </c>
      <c r="AF23" s="23">
        <f>(+SUMIFS(манзилли!$L:$L,манзилли!$I:$I,'свод(тахлил)'!$B23,манзилли!$AB:$AB,"&lt;01.10.2023",манзилли!$AA:$AA,"&lt;01.04.2021",манзилли!$AA:$AA,"&gt;=01.01.2021"))</f>
        <v>2855</v>
      </c>
      <c r="AG23" s="23">
        <f>(+SUMIFS(манзилли!$N:$N,манзилли!$I:$I,'свод(тахлил)'!$B23,манзилли!$AB:$AB,"&lt;01.10.2023",манзилли!$AA:$AA,"&lt;01.04.2021",манзилли!$AA:$AA,"&gt;=01.01.2021"))</f>
        <v>1450</v>
      </c>
      <c r="AH23" s="23">
        <f>(+SUMIFS(манзилли!$R:$R,манзилли!$I:$I,'свод(тахлил)'!$B23,манзилли!$AB:$AB,"&lt;01.10.2023",манзилли!$AA:$AA,"&lt;01.04.2021",манзилли!$AA:$AA,"&gt;=01.01.2021"))</f>
        <v>1405</v>
      </c>
      <c r="AI23" s="23">
        <f>(+SUMIFS(манзилли!$T:$T,манзилли!$I:$I,'свод(тахлил)'!$B23,манзилли!$AB:$AB,"&lt;01.10.2023",манзилли!$AA:$AA,"&lt;01.04.2021",манзилли!$AA:$AA,"&gt;=01.01.2021"))</f>
        <v>0</v>
      </c>
      <c r="AJ23" s="23">
        <f>(+SUMIFS(манзилли!$V:$V,манзилли!$I:$I,'свод(тахлил)'!$B23,манзилли!$AB:$AB,"&lt;01.10.2023",манзилли!$AA:$AA,"&lt;01.04.2021",манзилли!$AA:$AA,"&gt;=01.01.2021"))</f>
        <v>0</v>
      </c>
      <c r="AK23" s="24">
        <f>+SUMIFS(манзилли!$Z:$Z,манзилли!$I:$I,'свод(тахлил)'!$B23,манзилли!$AB:$AB,"&lt;01.10.2023",манзилли!$AA:$AA,"&lt;01.04.2021",манзилли!$AA:$AA,"&gt;=01.01.2021")</f>
        <v>21</v>
      </c>
      <c r="AL23" s="22">
        <f>+COUNTIFS(манзилли!$I:$I,'свод(тахлил)'!$B23,манзилли!$AA:$AA,"&lt;01.04.2021",манзилли!$AA:$AA,"&gt;=01.01.2021",манзилли!$AC:$AC,"")</f>
        <v>15</v>
      </c>
      <c r="AM23" s="23">
        <f>(+SUMIFS(манзилли!$K:$K,манзилли!$I:$I,'свод(тахлил)'!$B23,манзилли!$AA:$AA,"&lt;01.04.2021",манзилли!$AA:$AA,"&gt;=01.01.2021",манзилли!$AC:$AC,""))</f>
        <v>102928.6</v>
      </c>
      <c r="AN23" s="23">
        <f>(+SUMIFS(манзилли!$M:$M,манзилли!$I:$I,'свод(тахлил)'!$B23,манзилли!$AA:$AA,"&lt;01.04.2021",манзилли!$AA:$AA,"&gt;=01.01.2021",манзилли!$AC:$AC,""))</f>
        <v>28897</v>
      </c>
      <c r="AO23" s="23">
        <f>(+SUMIFS(манзилли!$Q:$Q,манзилли!$I:$I,'свод(тахлил)'!$B23,манзилли!$AA:$AA,"&lt;01.04.2021",манзилли!$AA:$AA,"&gt;=01.01.2021",манзилли!$AC:$AC,""))</f>
        <v>32500</v>
      </c>
      <c r="AP23" s="23">
        <f>(+SUMIFS(манзилли!$S:$S,манзилли!$I:$I,'свод(тахлил)'!$B23,манзилли!$AA:$AA,"&lt;01.04.2021",манзилли!$AA:$AA,"&gt;=01.01.2021",манзилли!$AC:$AC,""))</f>
        <v>3632</v>
      </c>
      <c r="AQ23" s="23">
        <f>(+SUMIFS(манзилли!$U:$U,манзилли!$I:$I,'свод(тахлил)'!$B23,манзилли!$AA:$AA,"&lt;01.04.2021",манзилли!$AA:$AA,"&gt;=01.01.2021",манзилли!$AC:$AC,""))</f>
        <v>260</v>
      </c>
      <c r="AR23" s="24">
        <f>+SUMIFS(манзилли!$Y:$Y,манзилли!$I:$I,'свод(тахлил)'!$B23,манзилли!$AA:$AA,"&lt;01.04.2021",манзилли!$AA:$AA,"&gt;=01.01.2021",манзилли!$AC:$AC,"")</f>
        <v>312</v>
      </c>
    </row>
    <row r="24" spans="1:44" s="3" customFormat="1" ht="35.25" customHeight="1">
      <c r="A24" s="26">
        <v>2</v>
      </c>
      <c r="B24" s="27" t="s">
        <v>9</v>
      </c>
      <c r="C24" s="28">
        <f>+COUNTIFS(манзилли!$I:$I,'свод(тахлил)'!$B24)</f>
        <v>330</v>
      </c>
      <c r="D24" s="29">
        <f>(+SUMIFS(манзилли!$K:$K,манзилли!$I:$I,'свод(тахлил)'!$B24))</f>
        <v>1684802.9</v>
      </c>
      <c r="E24" s="29">
        <f>(+SUMIFS(манзилли!$M:$M,манзилли!$I:$I,'свод(тахлил)'!$B24))</f>
        <v>622703</v>
      </c>
      <c r="F24" s="29">
        <f>(+SUMIFS(манзилли!$Q:$Q,манзилли!$I:$I,'свод(тахлил)'!$B24))</f>
        <v>596849</v>
      </c>
      <c r="G24" s="29">
        <f>(+SUMIFS(манзилли!$S:$S,манзилли!$I:$I,'свод(тахлил)'!$B24))</f>
        <v>29788</v>
      </c>
      <c r="H24" s="29">
        <f>(+SUMIFS(манзилли!$U:$U,манзилли!$I:$I,'свод(тахлил)'!$B24))</f>
        <v>14385</v>
      </c>
      <c r="I24" s="30">
        <f>+SUMIFS(манзилли!$Y:$Y,манзилли!$I:$I,'свод(тахлил)'!$B24)</f>
        <v>4258</v>
      </c>
      <c r="J24" s="28">
        <f>+COUNTIFS(манзилли!$I:$I,'свод(тахлил)'!$B24,манзилли!$AA:$AA,"&lt;01.01.2022",манзилли!$AA:$AA,"&gt;=01.01.2021")</f>
        <v>247</v>
      </c>
      <c r="K24" s="29">
        <f>(+SUMIFS(манзилли!$K:$K,манзилли!$I:$I,'свод(тахлил)'!$B24,манзилли!$AA:$AA,"&lt;01.01.2022",манзилли!$AA:$AA,"&gt;=01.01.2021"))</f>
        <v>1362744.1</v>
      </c>
      <c r="L24" s="29">
        <f>(+SUMIFS(манзилли!$M:$M,манзилли!$I:$I,'свод(тахлил)'!$B24,манзилли!$AA:$AA,"&lt;01.01.2022",манзилли!$AA:$AA,"&gt;=01.01.2021"))</f>
        <v>519733</v>
      </c>
      <c r="M24" s="29">
        <f>(+SUMIFS(манзилли!$Q:$Q,манзилли!$I:$I,'свод(тахлил)'!$B24,манзилли!$AA:$AA,"&lt;01.01.2022",манзилли!$AA:$AA,"&gt;=01.01.2021"))</f>
        <v>434862</v>
      </c>
      <c r="N24" s="29">
        <f>(+SUMIFS(манзилли!$S:$S,манзилли!$I:$I,'свод(тахлил)'!$B24,манзилли!$AA:$AA,"&lt;01.01.2022",манзилли!$AA:$AA,"&gt;=01.01.2021"))</f>
        <v>25802</v>
      </c>
      <c r="O24" s="29">
        <f>(+SUMIFS(манзилли!$U:$U,манзилли!$I:$I,'свод(тахлил)'!$B24,манзилли!$AA:$AA,"&lt;01.01.2022",манзилли!$AA:$AA,"&gt;=01.01.2021"))</f>
        <v>12885</v>
      </c>
      <c r="P24" s="30">
        <f>+SUMIFS(манзилли!$Y:$Y,манзилли!$I:$I,'свод(тахлил)'!$B24,манзилли!$AA:$AA,"&lt;01.01.2022",манзилли!$AA:$AA,"&gt;=01.01.2021")</f>
        <v>3260</v>
      </c>
      <c r="Q24" s="28">
        <f>+COUNTIFS(манзилли!$I:$I,'свод(тахлил)'!$B24,манзилли!$AB:$AB,"&lt;01.10.2023",манзилли!$AA:$AA,"&lt;01.01.2022",манзилли!$AA:$AA,"&gt;=01.01.2021")</f>
        <v>24</v>
      </c>
      <c r="R24" s="29">
        <f>(+SUMIFS(манзилли!$L:$L,манзилли!$I:$I,'свод(тахлил)'!$B24,манзилли!$AB:$AB,"&lt;01.10.2023",манзилли!$AA:$AA,"&lt;01.01.2022",манзилли!$AA:$AA,"&gt;=01.01.2021"))</f>
        <v>26802</v>
      </c>
      <c r="S24" s="29">
        <f>(+SUMIFS(манзилли!$N:$N,манзилли!$I:$I,'свод(тахлил)'!$B24,манзилли!$AB:$AB,"&lt;01.10.2023",манзилли!$AA:$AA,"&lt;01.01.2022",манзилли!$AA:$AA,"&gt;=01.01.2021"))</f>
        <v>13455</v>
      </c>
      <c r="T24" s="29">
        <f>(+SUMIFS(манзилли!$R:$R,манзилли!$I:$I,'свод(тахлил)'!$B24,манзилли!$AB:$AB,"&lt;01.10.2023",манзилли!$AA:$AA,"&lt;01.01.2022",манзилли!$AA:$AA,"&gt;=01.01.2021"))</f>
        <v>12527</v>
      </c>
      <c r="U24" s="29">
        <f>(+SUMIFS(манзилли!$T:$T,манзилли!$I:$I,'свод(тахлил)'!$B24,манзилли!$AB:$AB,"&lt;01.10.2023",манзилли!$AA:$AA,"&lt;01.01.2022",манзилли!$AA:$AA,"&gt;=01.01.2021"))</f>
        <v>100</v>
      </c>
      <c r="V24" s="29">
        <f>(+SUMIFS(манзилли!$V:$V,манзилли!$I:$I,'свод(тахлил)'!$B24,манзилли!$AB:$AB,"&lt;01.10.2023",манзилли!$AA:$AA,"&lt;01.01.2022",манзилли!$AA:$AA,"&gt;=01.01.2021"))</f>
        <v>0</v>
      </c>
      <c r="W24" s="30">
        <f>+SUMIFS(манзилли!$Z:$Z,манзилли!$I:$I,'свод(тахлил)'!$B24,манзилли!$AB:$AB,"&lt;01.10.2023",манзилли!$AA:$AA,"&lt;01.01.2022",манзилли!$AA:$AA,"&gt;=01.01.2021")</f>
        <v>102</v>
      </c>
      <c r="X24" s="28">
        <f>+COUNTIFS(манзилли!$I:$I,'свод(тахлил)'!$B24,манзилли!$AA:$AA,"&lt;01.04.2021",манзилли!$AA:$AA,"&gt;=01.01.2021")</f>
        <v>25</v>
      </c>
      <c r="Y24" s="29">
        <f>(+SUMIFS(манзилли!$K:$K,манзилли!$I:$I,'свод(тахлил)'!$B24,манзилли!$AA:$AA,"&lt;01.04.2021",манзилли!$AA:$AA,"&gt;=01.01.2021"))</f>
        <v>156092</v>
      </c>
      <c r="Z24" s="29">
        <f>(+SUMIFS(манзилли!$M:$M,манзилли!$I:$I,'свод(тахлил)'!$B24,манзилли!$AA:$AA,"&lt;01.04.2021",манзилли!$AA:$AA,"&gt;=01.01.2021"))</f>
        <v>133375</v>
      </c>
      <c r="AA24" s="29">
        <f>(+SUMIFS(манзилли!$Q:$Q,манзилли!$I:$I,'свод(тахлил)'!$B24,манзилли!$AA:$AA,"&lt;01.04.2021",манзилли!$AA:$AA,"&gt;=01.01.2021"))</f>
        <v>12760</v>
      </c>
      <c r="AB24" s="29">
        <f>(+SUMIFS(манзилли!$S:$S,манзилли!$I:$I,'свод(тахлил)'!$B24,манзилли!$AA:$AA,"&lt;01.04.2021",манзилли!$AA:$AA,"&gt;=01.01.2021"))</f>
        <v>490</v>
      </c>
      <c r="AC24" s="29">
        <f>(+SUMIFS(манзилли!$U:$U,манзилли!$I:$I,'свод(тахлил)'!$B24,манзилли!$AA:$AA,"&lt;01.04.2021",манзилли!$AA:$AA,"&gt;=01.01.2021"))</f>
        <v>500</v>
      </c>
      <c r="AD24" s="30">
        <f>+SUMIFS(манзилли!$Y:$Y,манзилли!$I:$I,'свод(тахлил)'!$B24,манзилли!$AA:$AA,"&lt;01.04.2021",манзилли!$AA:$AA,"&gt;=01.01.2021")</f>
        <v>642</v>
      </c>
      <c r="AE24" s="28">
        <f>+COUNTIFS(манзилли!$I:$I,'свод(тахлил)'!$B24,манзилли!$AB:$AB,"&lt;01.10.2023",манзилли!$AA:$AA,"&lt;01.04.2021",манзилли!$AA:$AA,"&gt;=01.01.2021")</f>
        <v>8</v>
      </c>
      <c r="AF24" s="29">
        <f>(+SUMIFS(манзилли!$L:$L,манзилли!$I:$I,'свод(тахлил)'!$B24,манзилли!$AB:$AB,"&lt;01.10.2023",манзилли!$AA:$AA,"&lt;01.04.2021",манзилли!$AA:$AA,"&gt;=01.01.2021"))</f>
        <v>9270</v>
      </c>
      <c r="AG24" s="29">
        <f>(+SUMIFS(манзилли!$N:$N,манзилли!$I:$I,'свод(тахлил)'!$B24,манзилли!$AB:$AB,"&lt;01.10.2023",манзилли!$AA:$AA,"&lt;01.04.2021",манзилли!$AA:$AA,"&gt;=01.01.2021"))</f>
        <v>4100</v>
      </c>
      <c r="AH24" s="29">
        <f>(+SUMIFS(манзилли!$R:$R,манзилли!$I:$I,'свод(тахлил)'!$B24,манзилли!$AB:$AB,"&lt;01.10.2023",манзилли!$AA:$AA,"&lt;01.04.2021",манзилли!$AA:$AA,"&gt;=01.01.2021"))</f>
        <v>4150</v>
      </c>
      <c r="AI24" s="29">
        <f>(+SUMIFS(манзилли!$T:$T,манзилли!$I:$I,'свод(тахлил)'!$B24,манзилли!$AB:$AB,"&lt;01.10.2023",манзилли!$AA:$AA,"&lt;01.04.2021",манзилли!$AA:$AA,"&gt;=01.01.2021"))</f>
        <v>100</v>
      </c>
      <c r="AJ24" s="29">
        <f>(+SUMIFS(манзилли!$V:$V,манзилли!$I:$I,'свод(тахлил)'!$B24,манзилли!$AB:$AB,"&lt;01.10.2023",манзилли!$AA:$AA,"&lt;01.04.2021",манзилли!$AA:$AA,"&gt;=01.01.2021"))</f>
        <v>0</v>
      </c>
      <c r="AK24" s="30">
        <f>+SUMIFS(манзилли!$Z:$Z,манзилли!$I:$I,'свод(тахлил)'!$B24,манзилли!$AB:$AB,"&lt;01.10.2023",манзилли!$AA:$AA,"&lt;01.04.2021",манзилли!$AA:$AA,"&gt;=01.01.2021")</f>
        <v>29</v>
      </c>
      <c r="AL24" s="28">
        <f>+COUNTIFS(манзилли!$I:$I,'свод(тахлил)'!$B24,манзилли!$AA:$AA,"&lt;01.04.2021",манзилли!$AA:$AA,"&gt;=01.01.2021",манзилли!$AC:$AC,"")</f>
        <v>17</v>
      </c>
      <c r="AM24" s="29">
        <f>(+SUMIFS(манзилли!$K:$K,манзилли!$I:$I,'свод(тахлил)'!$B24,манзилли!$AA:$AA,"&lt;01.04.2021",манзилли!$AA:$AA,"&gt;=01.01.2021",манзилли!$AC:$AC,""))</f>
        <v>145235</v>
      </c>
      <c r="AN24" s="29">
        <f>(+SUMIFS(манзилли!$M:$M,манзилли!$I:$I,'свод(тахлил)'!$B24,манзилли!$AA:$AA,"&lt;01.04.2021",манзилли!$AA:$AA,"&gt;=01.01.2021",манзилли!$AC:$AC,""))</f>
        <v>128975</v>
      </c>
      <c r="AO24" s="29">
        <f>(+SUMIFS(манзилли!$Q:$Q,манзилли!$I:$I,'свод(тахлил)'!$B24,манзилли!$AA:$AA,"&lt;01.04.2021",манзилли!$AA:$AA,"&gt;=01.01.2021",манзилли!$AC:$AC,""))</f>
        <v>8260</v>
      </c>
      <c r="AP24" s="29">
        <f>(+SUMIFS(манзилли!$S:$S,манзилли!$I:$I,'свод(тахлил)'!$B24,манзилли!$AA:$AA,"&lt;01.04.2021",манзилли!$AA:$AA,"&gt;=01.01.2021",манзилли!$AC:$AC,""))</f>
        <v>300</v>
      </c>
      <c r="AQ24" s="29">
        <f>(+SUMIFS(манзилли!$U:$U,манзилли!$I:$I,'свод(тахлил)'!$B24,манзилли!$AA:$AA,"&lt;01.04.2021",манзилли!$AA:$AA,"&gt;=01.01.2021",манзилли!$AC:$AC,""))</f>
        <v>500</v>
      </c>
      <c r="AR24" s="30">
        <f>+SUMIFS(манзилли!$Y:$Y,манзилли!$I:$I,'свод(тахлил)'!$B24,манзилли!$AA:$AA,"&lt;01.04.2021",манзилли!$AA:$AA,"&gt;=01.01.2021",манзилли!$AC:$AC,"")</f>
        <v>582</v>
      </c>
    </row>
    <row r="25" spans="1:44" s="3" customFormat="1" ht="35.25" customHeight="1" thickBot="1">
      <c r="A25" s="35">
        <v>3</v>
      </c>
      <c r="B25" s="36" t="s">
        <v>10</v>
      </c>
      <c r="C25" s="37">
        <f>+COUNTIFS(манзилли!$I:$I,'свод(тахлил)'!$B25)</f>
        <v>365</v>
      </c>
      <c r="D25" s="38">
        <f>(+SUMIFS(манзилли!$K:$K,манзилли!$I:$I,'свод(тахлил)'!$B25))</f>
        <v>1977424.0937999999</v>
      </c>
      <c r="E25" s="38">
        <f>(+SUMIFS(манзилли!$M:$M,манзилли!$I:$I,'свод(тахлил)'!$B25))</f>
        <v>946169.78114000009</v>
      </c>
      <c r="F25" s="38">
        <f>(+SUMIFS(манзилли!$Q:$Q,манзилли!$I:$I,'свод(тахлил)'!$B25))</f>
        <v>662828.51266000001</v>
      </c>
      <c r="G25" s="38">
        <f>(+SUMIFS(манзилли!$S:$S,манзилли!$I:$I,'свод(тахлил)'!$B25))</f>
        <v>11766</v>
      </c>
      <c r="H25" s="38">
        <f>(+SUMIFS(манзилли!$U:$U,манзилли!$I:$I,'свод(тахлил)'!$B25))</f>
        <v>23300</v>
      </c>
      <c r="I25" s="39">
        <f>+SUMIFS(манзилли!$Y:$Y,манзилли!$I:$I,'свод(тахлил)'!$B25)</f>
        <v>4157</v>
      </c>
      <c r="J25" s="37">
        <f>+COUNTIFS(манзилли!$I:$I,'свод(тахлил)'!$B25,манзилли!$AA:$AA,"&lt;01.01.2022",манзилли!$AA:$AA,"&gt;=01.01.2021")</f>
        <v>260</v>
      </c>
      <c r="K25" s="38">
        <f>(+SUMIFS(манзилли!$K:$K,манзилли!$I:$I,'свод(тахлил)'!$B25,манзилли!$AA:$AA,"&lt;01.01.2022",манзилли!$AA:$AA,"&gt;=01.01.2021"))</f>
        <v>1227667.0937999999</v>
      </c>
      <c r="L25" s="38">
        <f>(+SUMIFS(манзилли!$M:$M,манзилли!$I:$I,'свод(тахлил)'!$B25,манзилли!$AA:$AA,"&lt;01.01.2022",манзилли!$AA:$AA,"&gt;=01.01.2021"))</f>
        <v>687529.78114000009</v>
      </c>
      <c r="M25" s="38">
        <f>(+SUMIFS(манзилли!$Q:$Q,манзилли!$I:$I,'свод(тахлил)'!$B25,манзилли!$AA:$AA,"&lt;01.01.2022",манзилли!$AA:$AA,"&gt;=01.01.2021"))</f>
        <v>373424.51266000001</v>
      </c>
      <c r="N25" s="38">
        <f>(+SUMIFS(манзилли!$S:$S,манзилли!$I:$I,'свод(тахлил)'!$B25,манзилли!$AA:$AA,"&lt;01.01.2022",манзилли!$AA:$AA,"&gt;=01.01.2021"))</f>
        <v>5376</v>
      </c>
      <c r="O25" s="38">
        <f>(+SUMIFS(манзилли!$U:$U,манзилли!$I:$I,'свод(тахлил)'!$B25,манзилли!$AA:$AA,"&lt;01.01.2022",манзилли!$AA:$AA,"&gt;=01.01.2021"))</f>
        <v>9800</v>
      </c>
      <c r="P25" s="39">
        <f>+SUMIFS(манзилли!$Y:$Y,манзилли!$I:$I,'свод(тахлил)'!$B25,манзилли!$AA:$AA,"&lt;01.01.2022",манзилли!$AA:$AA,"&gt;=01.01.2021")</f>
        <v>3007</v>
      </c>
      <c r="Q25" s="37">
        <f>+COUNTIFS(манзилли!$I:$I,'свод(тахлил)'!$B25,манзилли!$AB:$AB,"&lt;01.10.2023",манзилли!$AA:$AA,"&lt;01.01.2022",манзилли!$AA:$AA,"&gt;=01.01.2021")</f>
        <v>48</v>
      </c>
      <c r="R25" s="38">
        <f>(+SUMIFS(манзилли!$L:$L,манзилли!$I:$I,'свод(тахлил)'!$B25,манзилли!$AB:$AB,"&lt;01.10.2023",манзилли!$AA:$AA,"&lt;01.01.2022",манзилли!$AA:$AA,"&gt;=01.01.2021"))</f>
        <v>218622.6</v>
      </c>
      <c r="S25" s="38">
        <f>(+SUMIFS(манзилли!$N:$N,манзилли!$I:$I,'свод(тахлил)'!$B25,манзилли!$AB:$AB,"&lt;01.10.2023",манзилли!$AA:$AA,"&lt;01.01.2022",манзилли!$AA:$AA,"&gt;=01.01.2021"))</f>
        <v>168700.79999999999</v>
      </c>
      <c r="T25" s="38">
        <f>(+SUMIFS(манзилли!$R:$R,манзилли!$I:$I,'свод(тахлил)'!$B25,манзилли!$AB:$AB,"&lt;01.10.2023",манзилли!$AA:$AA,"&lt;01.01.2022",манзилли!$AA:$AA,"&gt;=01.01.2021"))</f>
        <v>49407.3</v>
      </c>
      <c r="U25" s="38">
        <f>(+SUMIFS(манзилли!$T:$T,манзилли!$I:$I,'свод(тахлил)'!$B25,манзилли!$AB:$AB,"&lt;01.10.2023",манзилли!$AA:$AA,"&lt;01.01.2022",манзилли!$AA:$AA,"&gt;=01.01.2021"))</f>
        <v>49</v>
      </c>
      <c r="V25" s="38">
        <f>(+SUMIFS(манзилли!$V:$V,манзилли!$I:$I,'свод(тахлил)'!$B25,манзилли!$AB:$AB,"&lt;01.10.2023",манзилли!$AA:$AA,"&lt;01.01.2022",манзилли!$AA:$AA,"&gt;=01.01.2021"))</f>
        <v>0</v>
      </c>
      <c r="W25" s="39">
        <f>+SUMIFS(манзилли!$Z:$Z,манзилли!$I:$I,'свод(тахлил)'!$B25,манзилли!$AB:$AB,"&lt;01.10.2023",манзилли!$AA:$AA,"&lt;01.01.2022",манзилли!$AA:$AA,"&gt;=01.01.2021")</f>
        <v>513</v>
      </c>
      <c r="X25" s="37">
        <f>+COUNTIFS(манзилли!$I:$I,'свод(тахлил)'!$B25,манзилли!$AA:$AA,"&lt;01.04.2021",манзилли!$AA:$AA,"&gt;=01.01.2021")</f>
        <v>33</v>
      </c>
      <c r="Y25" s="38">
        <f>(+SUMIFS(манзилли!$K:$K,манзилли!$I:$I,'свод(тахлил)'!$B25,манзилли!$AA:$AA,"&lt;01.04.2021",манзилли!$AA:$AA,"&gt;=01.01.2021"))</f>
        <v>156316.24180000002</v>
      </c>
      <c r="Z25" s="38">
        <f>(+SUMIFS(манзилли!$M:$M,манзилли!$I:$I,'свод(тахлил)'!$B25,манзилли!$AA:$AA,"&lt;01.04.2021",манзилли!$AA:$AA,"&gt;=01.01.2021"))</f>
        <v>100512.89554</v>
      </c>
      <c r="AA25" s="38">
        <f>(+SUMIFS(манзилли!$Q:$Q,манзилли!$I:$I,'свод(тахлил)'!$B25,манзилли!$AA:$AA,"&lt;01.04.2021",манзилли!$AA:$AA,"&gt;=01.01.2021"))</f>
        <v>50803.346259999998</v>
      </c>
      <c r="AB25" s="38">
        <f>(+SUMIFS(манзилли!$S:$S,манзилли!$I:$I,'свод(тахлил)'!$B25,манзилли!$AA:$AA,"&lt;01.04.2021",манзилли!$AA:$AA,"&gt;=01.01.2021"))</f>
        <v>0</v>
      </c>
      <c r="AC25" s="38">
        <f>(+SUMIFS(манзилли!$U:$U,манзилли!$I:$I,'свод(тахлил)'!$B25,манзилли!$AA:$AA,"&lt;01.04.2021",манзилли!$AA:$AA,"&gt;=01.01.2021"))</f>
        <v>0</v>
      </c>
      <c r="AD25" s="39">
        <f>+SUMIFS(манзилли!$Y:$Y,манзилли!$I:$I,'свод(тахлил)'!$B25,манзилли!$AA:$AA,"&lt;01.04.2021",манзилли!$AA:$AA,"&gt;=01.01.2021")</f>
        <v>391</v>
      </c>
      <c r="AE25" s="37">
        <f>+COUNTIFS(манзилли!$I:$I,'свод(тахлил)'!$B25,манзилли!$AB:$AB,"&lt;01.10.2023",манзилли!$AA:$AA,"&lt;01.04.2021",манзилли!$AA:$AA,"&gt;=01.01.2021")</f>
        <v>19</v>
      </c>
      <c r="AF25" s="38">
        <f>(+SUMIFS(манзилли!$L:$L,манзилли!$I:$I,'свод(тахлил)'!$B25,манзилли!$AB:$AB,"&lt;01.10.2023",манзилли!$AA:$AA,"&lt;01.04.2021",манзилли!$AA:$AA,"&gt;=01.01.2021"))</f>
        <v>103974.5</v>
      </c>
      <c r="AG25" s="38">
        <f>(+SUMIFS(манзилли!$N:$N,манзилли!$I:$I,'свод(тахлил)'!$B25,манзилли!$AB:$AB,"&lt;01.10.2023",манзилли!$AA:$AA,"&lt;01.04.2021",манзилли!$AA:$AA,"&gt;=01.01.2021"))</f>
        <v>68907</v>
      </c>
      <c r="AH25" s="38">
        <f>(+SUMIFS(манзилли!$R:$R,манзилли!$I:$I,'свод(тахлил)'!$B25,манзилли!$AB:$AB,"&lt;01.10.2023",манзилли!$AA:$AA,"&lt;01.04.2021",манзилли!$AA:$AA,"&gt;=01.01.2021"))</f>
        <v>35067.5</v>
      </c>
      <c r="AI25" s="38">
        <f>(+SUMIFS(манзилли!$T:$T,манзилли!$I:$I,'свод(тахлил)'!$B25,манзилли!$AB:$AB,"&lt;01.10.2023",манзилли!$AA:$AA,"&lt;01.04.2021",манзилли!$AA:$AA,"&gt;=01.01.2021"))</f>
        <v>0</v>
      </c>
      <c r="AJ25" s="38">
        <f>(+SUMIFS(манзилли!$V:$V,манзилли!$I:$I,'свод(тахлил)'!$B25,манзилли!$AB:$AB,"&lt;01.10.2023",манзилли!$AA:$AA,"&lt;01.04.2021",манзилли!$AA:$AA,"&gt;=01.01.2021"))</f>
        <v>0</v>
      </c>
      <c r="AK25" s="39">
        <f>+SUMIFS(манзилли!$Z:$Z,манзилли!$I:$I,'свод(тахлил)'!$B25,манзилли!$AB:$AB,"&lt;01.10.2023",манзилли!$AA:$AA,"&lt;01.04.2021",манзилли!$AA:$AA,"&gt;=01.01.2021")</f>
        <v>174</v>
      </c>
      <c r="AL25" s="37">
        <f>+COUNTIFS(манзилли!$I:$I,'свод(тахлил)'!$B25,манзилли!$AA:$AA,"&lt;01.04.2021",манзилли!$AA:$AA,"&gt;=01.01.2021",манзилли!$AC:$AC,"")</f>
        <v>14</v>
      </c>
      <c r="AM25" s="38">
        <f>(+SUMIFS(манзилли!$K:$K,манзилли!$I:$I,'свод(тахлил)'!$B25,манзилли!$AA:$AA,"&lt;01.04.2021",манзилли!$AA:$AA,"&gt;=01.01.2021",манзилли!$AC:$AC,""))</f>
        <v>53236.351800000004</v>
      </c>
      <c r="AN25" s="38">
        <f>(+SUMIFS(манзилли!$M:$M,манзилли!$I:$I,'свод(тахлил)'!$B25,манзилли!$AA:$AA,"&lt;01.04.2021",манзилли!$AA:$AA,"&gt;=01.01.2021",манзилли!$AC:$AC,""))</f>
        <v>40740.40554</v>
      </c>
      <c r="AO25" s="38">
        <f>(+SUMIFS(манзилли!$Q:$Q,манзилли!$I:$I,'свод(тахлил)'!$B25,манзилли!$AA:$AA,"&lt;01.04.2021",манзилли!$AA:$AA,"&gt;=01.01.2021",манзилли!$AC:$AC,""))</f>
        <v>7495.9462599999997</v>
      </c>
      <c r="AP25" s="38">
        <f>(+SUMIFS(манзилли!$S:$S,манзилли!$I:$I,'свод(тахлил)'!$B25,манзилли!$AA:$AA,"&lt;01.04.2021",манзилли!$AA:$AA,"&gt;=01.01.2021",манзилли!$AC:$AC,""))</f>
        <v>0</v>
      </c>
      <c r="AQ25" s="38">
        <f>(+SUMIFS(манзилли!$U:$U,манзилли!$I:$I,'свод(тахлил)'!$B25,манзилли!$AA:$AA,"&lt;01.04.2021",манзилли!$AA:$AA,"&gt;=01.01.2021",манзилли!$AC:$AC,""))</f>
        <v>0</v>
      </c>
      <c r="AR25" s="39">
        <f>+SUMIFS(манзилли!$Y:$Y,манзилли!$I:$I,'свод(тахлил)'!$B25,манзилли!$AA:$AA,"&lt;01.04.2021",манзилли!$AA:$AA,"&gt;=01.01.2021",манзилли!$AC:$AC,"")</f>
        <v>203</v>
      </c>
    </row>
    <row r="26" spans="1:44" s="2" customFormat="1" ht="45.75" customHeight="1" thickBot="1">
      <c r="A26" s="135" t="s">
        <v>77</v>
      </c>
      <c r="B26" s="136"/>
      <c r="C26" s="42">
        <f>+SUM(C23:C25)</f>
        <v>968</v>
      </c>
      <c r="D26" s="43">
        <f t="shared" ref="D26:I26" si="4">+SUM(D23:D25)</f>
        <v>8565835.2516947351</v>
      </c>
      <c r="E26" s="43">
        <f t="shared" si="4"/>
        <v>3294405.9390347372</v>
      </c>
      <c r="F26" s="43">
        <f t="shared" si="4"/>
        <v>1631107.51266</v>
      </c>
      <c r="G26" s="43">
        <f t="shared" si="4"/>
        <v>214321</v>
      </c>
      <c r="H26" s="43">
        <f t="shared" si="4"/>
        <v>139395</v>
      </c>
      <c r="I26" s="43">
        <f t="shared" si="4"/>
        <v>20232</v>
      </c>
      <c r="J26" s="43">
        <f t="shared" ref="J26:P26" si="5">+SUM(J23:J25)</f>
        <v>699</v>
      </c>
      <c r="K26" s="43">
        <f t="shared" si="5"/>
        <v>6587027.9516947372</v>
      </c>
      <c r="L26" s="43">
        <f t="shared" si="5"/>
        <v>2629395.9390347367</v>
      </c>
      <c r="M26" s="43">
        <f t="shared" si="5"/>
        <v>1061254.51266</v>
      </c>
      <c r="N26" s="43">
        <f t="shared" si="5"/>
        <v>163990</v>
      </c>
      <c r="O26" s="43">
        <f t="shared" si="5"/>
        <v>117995</v>
      </c>
      <c r="P26" s="43">
        <f t="shared" si="5"/>
        <v>14954</v>
      </c>
      <c r="Q26" s="43">
        <f>+SUM(Q23:Q25)</f>
        <v>94</v>
      </c>
      <c r="R26" s="43">
        <f t="shared" ref="R26:AD26" si="6">+SUM(R23:R25)</f>
        <v>278384.5</v>
      </c>
      <c r="S26" s="43">
        <f t="shared" si="6"/>
        <v>200290.9</v>
      </c>
      <c r="T26" s="43">
        <f t="shared" si="6"/>
        <v>72951.8</v>
      </c>
      <c r="U26" s="43">
        <f t="shared" si="6"/>
        <v>544.5</v>
      </c>
      <c r="V26" s="43">
        <f t="shared" si="6"/>
        <v>0</v>
      </c>
      <c r="W26" s="43">
        <f t="shared" si="6"/>
        <v>748</v>
      </c>
      <c r="X26" s="43">
        <f t="shared" si="6"/>
        <v>80</v>
      </c>
      <c r="Y26" s="43">
        <f t="shared" si="6"/>
        <v>418366.84180000005</v>
      </c>
      <c r="Z26" s="43">
        <f t="shared" si="6"/>
        <v>264409.89554</v>
      </c>
      <c r="AA26" s="43">
        <f t="shared" si="6"/>
        <v>97468.346259999991</v>
      </c>
      <c r="AB26" s="43">
        <f t="shared" si="6"/>
        <v>4122</v>
      </c>
      <c r="AC26" s="43">
        <f t="shared" si="6"/>
        <v>760</v>
      </c>
      <c r="AD26" s="43">
        <f t="shared" si="6"/>
        <v>1373</v>
      </c>
      <c r="AE26" s="43">
        <f>+SUM(AE23:AE25)</f>
        <v>34</v>
      </c>
      <c r="AF26" s="43">
        <f t="shared" ref="AF26:AK26" si="7">+SUM(AF23:AF25)</f>
        <v>116099.5</v>
      </c>
      <c r="AG26" s="43">
        <f t="shared" si="7"/>
        <v>74457</v>
      </c>
      <c r="AH26" s="43">
        <f t="shared" si="7"/>
        <v>40622.5</v>
      </c>
      <c r="AI26" s="43">
        <f t="shared" si="7"/>
        <v>100</v>
      </c>
      <c r="AJ26" s="43">
        <f t="shared" si="7"/>
        <v>0</v>
      </c>
      <c r="AK26" s="43">
        <f t="shared" si="7"/>
        <v>224</v>
      </c>
      <c r="AL26" s="43">
        <f>+SUM(AL23:AL25)</f>
        <v>46</v>
      </c>
      <c r="AM26" s="43">
        <f t="shared" ref="AM26:AR26" si="8">+SUM(AM23:AM25)</f>
        <v>301399.95180000004</v>
      </c>
      <c r="AN26" s="43">
        <f t="shared" si="8"/>
        <v>198612.40554000001</v>
      </c>
      <c r="AO26" s="43">
        <f t="shared" si="8"/>
        <v>48255.946259999997</v>
      </c>
      <c r="AP26" s="43">
        <f t="shared" si="8"/>
        <v>3932</v>
      </c>
      <c r="AQ26" s="43">
        <f t="shared" si="8"/>
        <v>760</v>
      </c>
      <c r="AR26" s="43">
        <f t="shared" si="8"/>
        <v>1097</v>
      </c>
    </row>
    <row r="27" spans="1:44">
      <c r="C27" s="6">
        <f t="shared" ref="C27:W27" si="9">+C26-C6</f>
        <v>0</v>
      </c>
      <c r="D27" s="6">
        <f t="shared" si="9"/>
        <v>0</v>
      </c>
      <c r="E27" s="6">
        <f t="shared" si="9"/>
        <v>0</v>
      </c>
      <c r="F27" s="6">
        <f t="shared" si="9"/>
        <v>0</v>
      </c>
      <c r="G27" s="6">
        <f t="shared" si="9"/>
        <v>0</v>
      </c>
      <c r="H27" s="6">
        <f t="shared" si="9"/>
        <v>0</v>
      </c>
      <c r="I27" s="6">
        <f t="shared" si="9"/>
        <v>0</v>
      </c>
      <c r="J27" s="6">
        <f t="shared" si="9"/>
        <v>0</v>
      </c>
      <c r="K27" s="6">
        <f t="shared" si="9"/>
        <v>0</v>
      </c>
      <c r="L27" s="6">
        <f t="shared" si="9"/>
        <v>0</v>
      </c>
      <c r="M27" s="6">
        <f t="shared" si="9"/>
        <v>0</v>
      </c>
      <c r="N27" s="6">
        <f t="shared" si="9"/>
        <v>0</v>
      </c>
      <c r="O27" s="6">
        <f t="shared" si="9"/>
        <v>0</v>
      </c>
      <c r="P27" s="6">
        <f t="shared" si="9"/>
        <v>0</v>
      </c>
      <c r="Q27" s="6">
        <f t="shared" si="9"/>
        <v>0</v>
      </c>
      <c r="R27" s="6">
        <f t="shared" si="9"/>
        <v>0</v>
      </c>
      <c r="S27" s="6">
        <f t="shared" si="9"/>
        <v>0</v>
      </c>
      <c r="T27" s="6">
        <f t="shared" si="9"/>
        <v>0</v>
      </c>
      <c r="U27" s="6">
        <f t="shared" si="9"/>
        <v>0</v>
      </c>
      <c r="V27" s="6">
        <f t="shared" si="9"/>
        <v>0</v>
      </c>
      <c r="W27" s="6">
        <f t="shared" si="9"/>
        <v>0</v>
      </c>
      <c r="X27" s="6">
        <f t="shared" ref="X27:AK27" si="10">+X26-X6</f>
        <v>0</v>
      </c>
      <c r="Y27" s="6">
        <f t="shared" si="10"/>
        <v>0</v>
      </c>
      <c r="Z27" s="6">
        <f t="shared" si="10"/>
        <v>0</v>
      </c>
      <c r="AA27" s="6">
        <f t="shared" si="10"/>
        <v>0</v>
      </c>
      <c r="AB27" s="6">
        <f t="shared" si="10"/>
        <v>0</v>
      </c>
      <c r="AC27" s="6">
        <f t="shared" si="10"/>
        <v>0</v>
      </c>
      <c r="AD27" s="6">
        <f t="shared" si="10"/>
        <v>0</v>
      </c>
      <c r="AE27" s="6">
        <f t="shared" si="10"/>
        <v>0</v>
      </c>
      <c r="AF27" s="6">
        <f t="shared" si="10"/>
        <v>0</v>
      </c>
      <c r="AG27" s="6">
        <f t="shared" si="10"/>
        <v>0</v>
      </c>
      <c r="AH27" s="6">
        <f t="shared" si="10"/>
        <v>0</v>
      </c>
      <c r="AI27" s="6">
        <f t="shared" si="10"/>
        <v>0</v>
      </c>
      <c r="AJ27" s="6">
        <f t="shared" si="10"/>
        <v>0</v>
      </c>
      <c r="AK27" s="6">
        <f t="shared" si="10"/>
        <v>0</v>
      </c>
      <c r="AL27" s="6">
        <f t="shared" ref="AL27:AR27" si="11">+AL26-AL6</f>
        <v>0</v>
      </c>
      <c r="AM27" s="6">
        <f t="shared" si="11"/>
        <v>0</v>
      </c>
      <c r="AN27" s="6">
        <f t="shared" si="11"/>
        <v>0</v>
      </c>
      <c r="AO27" s="6">
        <f t="shared" si="11"/>
        <v>0</v>
      </c>
      <c r="AP27" s="6">
        <f t="shared" si="11"/>
        <v>0</v>
      </c>
      <c r="AQ27" s="6">
        <f t="shared" si="11"/>
        <v>0</v>
      </c>
      <c r="AR27" s="6">
        <f t="shared" si="11"/>
        <v>0</v>
      </c>
    </row>
    <row r="28" spans="1:44" ht="16.5">
      <c r="B28" s="17"/>
      <c r="C28" s="6">
        <f>+C26-C6</f>
        <v>0</v>
      </c>
      <c r="D28" s="6">
        <f t="shared" ref="D28:W28" si="12">+D26-D6</f>
        <v>0</v>
      </c>
      <c r="E28" s="6">
        <f t="shared" si="12"/>
        <v>0</v>
      </c>
      <c r="F28" s="6">
        <f t="shared" si="12"/>
        <v>0</v>
      </c>
      <c r="G28" s="6">
        <f t="shared" si="12"/>
        <v>0</v>
      </c>
      <c r="H28" s="6">
        <f t="shared" si="12"/>
        <v>0</v>
      </c>
      <c r="I28" s="6">
        <f t="shared" si="12"/>
        <v>0</v>
      </c>
      <c r="J28" s="6">
        <f t="shared" si="12"/>
        <v>0</v>
      </c>
      <c r="K28" s="6">
        <f t="shared" si="12"/>
        <v>0</v>
      </c>
      <c r="L28" s="6">
        <f t="shared" si="12"/>
        <v>0</v>
      </c>
      <c r="M28" s="6">
        <f t="shared" si="12"/>
        <v>0</v>
      </c>
      <c r="N28" s="6">
        <f t="shared" si="12"/>
        <v>0</v>
      </c>
      <c r="O28" s="6">
        <f t="shared" si="12"/>
        <v>0</v>
      </c>
      <c r="P28" s="6">
        <f t="shared" si="12"/>
        <v>0</v>
      </c>
      <c r="Q28" s="6">
        <f t="shared" si="12"/>
        <v>0</v>
      </c>
      <c r="R28" s="6">
        <f t="shared" si="12"/>
        <v>0</v>
      </c>
      <c r="S28" s="6">
        <f t="shared" si="12"/>
        <v>0</v>
      </c>
      <c r="T28" s="6">
        <f t="shared" si="12"/>
        <v>0</v>
      </c>
      <c r="U28" s="6">
        <f t="shared" si="12"/>
        <v>0</v>
      </c>
      <c r="V28" s="6">
        <f t="shared" si="12"/>
        <v>0</v>
      </c>
      <c r="W28" s="6">
        <f t="shared" si="12"/>
        <v>0</v>
      </c>
      <c r="X28" s="6">
        <f t="shared" ref="X28:AK28" si="13">+X26-X6</f>
        <v>0</v>
      </c>
      <c r="Y28" s="6">
        <f t="shared" si="13"/>
        <v>0</v>
      </c>
      <c r="Z28" s="6">
        <f t="shared" si="13"/>
        <v>0</v>
      </c>
      <c r="AA28" s="6">
        <f t="shared" si="13"/>
        <v>0</v>
      </c>
      <c r="AB28" s="6">
        <f t="shared" si="13"/>
        <v>0</v>
      </c>
      <c r="AC28" s="6">
        <f t="shared" si="13"/>
        <v>0</v>
      </c>
      <c r="AD28" s="6">
        <f t="shared" si="13"/>
        <v>0</v>
      </c>
      <c r="AE28" s="6">
        <f t="shared" si="13"/>
        <v>0</v>
      </c>
      <c r="AF28" s="6">
        <f t="shared" si="13"/>
        <v>0</v>
      </c>
      <c r="AG28" s="6">
        <f t="shared" si="13"/>
        <v>0</v>
      </c>
      <c r="AH28" s="6">
        <f t="shared" si="13"/>
        <v>0</v>
      </c>
      <c r="AI28" s="6">
        <f t="shared" si="13"/>
        <v>0</v>
      </c>
      <c r="AJ28" s="6">
        <f t="shared" si="13"/>
        <v>0</v>
      </c>
      <c r="AK28" s="6">
        <f t="shared" si="13"/>
        <v>0</v>
      </c>
      <c r="AL28" s="6">
        <f t="shared" ref="AL28:AR28" si="14">+AL26-AL6</f>
        <v>0</v>
      </c>
      <c r="AM28" s="6">
        <f t="shared" si="14"/>
        <v>0</v>
      </c>
      <c r="AN28" s="6">
        <f t="shared" si="14"/>
        <v>0</v>
      </c>
      <c r="AO28" s="6">
        <f t="shared" si="14"/>
        <v>0</v>
      </c>
      <c r="AP28" s="6">
        <f t="shared" si="14"/>
        <v>0</v>
      </c>
      <c r="AQ28" s="6">
        <f t="shared" si="14"/>
        <v>0</v>
      </c>
      <c r="AR28" s="6">
        <f t="shared" si="14"/>
        <v>0</v>
      </c>
    </row>
  </sheetData>
  <mergeCells count="36">
    <mergeCell ref="A1:AR1"/>
    <mergeCell ref="A2:A5"/>
    <mergeCell ref="B2:B5"/>
    <mergeCell ref="C2:I3"/>
    <mergeCell ref="J2:P3"/>
    <mergeCell ref="Q2:W3"/>
    <mergeCell ref="X2:AD3"/>
    <mergeCell ref="AE2:AK3"/>
    <mergeCell ref="X4:X5"/>
    <mergeCell ref="Y4:Y5"/>
    <mergeCell ref="Z4:AC4"/>
    <mergeCell ref="AD4:AD5"/>
    <mergeCell ref="D4:D5"/>
    <mergeCell ref="E4:H4"/>
    <mergeCell ref="I4:I5"/>
    <mergeCell ref="AL2:AR3"/>
    <mergeCell ref="A26:B26"/>
    <mergeCell ref="A6:B6"/>
    <mergeCell ref="J4:J5"/>
    <mergeCell ref="C4:C5"/>
    <mergeCell ref="W4:W5"/>
    <mergeCell ref="K4:K5"/>
    <mergeCell ref="L4:O4"/>
    <mergeCell ref="P4:P5"/>
    <mergeCell ref="Q4:Q5"/>
    <mergeCell ref="R4:R5"/>
    <mergeCell ref="S4:V4"/>
    <mergeCell ref="AM4:AM5"/>
    <mergeCell ref="AE4:AE5"/>
    <mergeCell ref="AF4:AF5"/>
    <mergeCell ref="AG4:AJ4"/>
    <mergeCell ref="A22:AR22"/>
    <mergeCell ref="AK4:AK5"/>
    <mergeCell ref="AL4:AL5"/>
    <mergeCell ref="AN4:AQ4"/>
    <mergeCell ref="AR4:AR5"/>
  </mergeCells>
  <printOptions horizontalCentered="1"/>
  <pageMargins left="0.19685039370078741" right="0.19685039370078741" top="0.39370078740157483" bottom="0.19685039370078741" header="0.19685039370078741" footer="0.19685039370078741"/>
  <pageSetup paperSize="9" scale="58" fitToHeight="10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"/>
  <sheetViews>
    <sheetView showZeros="0" view="pageBreakPreview" zoomScale="55" zoomScaleNormal="55" zoomScaleSheetLayoutView="55" workbookViewId="0">
      <selection activeCell="AD6" sqref="AD1:AJ1048576"/>
    </sheetView>
  </sheetViews>
  <sheetFormatPr defaultColWidth="9.140625" defaultRowHeight="15" outlineLevelRow="1" outlineLevelCol="1"/>
  <cols>
    <col min="1" max="1" width="5.140625" style="1" customWidth="1"/>
    <col min="2" max="2" width="55.28515625" style="4" customWidth="1"/>
    <col min="3" max="3" width="8.5703125" style="1" customWidth="1"/>
    <col min="4" max="4" width="15.42578125" style="1" customWidth="1"/>
    <col min="5" max="6" width="13.140625" style="1" hidden="1" customWidth="1" outlineLevel="1"/>
    <col min="7" max="8" width="15.140625" style="1" hidden="1" customWidth="1" outlineLevel="1"/>
    <col min="9" max="9" width="11.85546875" style="1" customWidth="1" collapsed="1"/>
    <col min="10" max="10" width="8.42578125" style="1" customWidth="1"/>
    <col min="11" max="11" width="15.42578125" style="1" customWidth="1"/>
    <col min="12" max="13" width="13.140625" style="1" hidden="1" customWidth="1" outlineLevel="1"/>
    <col min="14" max="15" width="15.140625" style="1" hidden="1" customWidth="1" outlineLevel="1"/>
    <col min="16" max="16" width="8.5703125" style="1" customWidth="1" collapsed="1"/>
    <col min="17" max="17" width="15.42578125" style="1" customWidth="1"/>
    <col min="18" max="19" width="13.140625" style="1" hidden="1" customWidth="1" outlineLevel="1"/>
    <col min="20" max="21" width="15.140625" style="1" hidden="1" customWidth="1" outlineLevel="1"/>
    <col min="22" max="22" width="11.85546875" style="1" customWidth="1" collapsed="1"/>
    <col min="23" max="23" width="8.5703125" style="1" customWidth="1"/>
    <col min="24" max="24" width="15.42578125" style="1" customWidth="1"/>
    <col min="25" max="26" width="13.140625" style="1" hidden="1" customWidth="1" outlineLevel="1"/>
    <col min="27" max="28" width="15.140625" style="1" hidden="1" customWidth="1" outlineLevel="1"/>
    <col min="29" max="29" width="11.85546875" style="1" customWidth="1" collapsed="1"/>
    <col min="30" max="30" width="8.5703125" style="1" customWidth="1"/>
    <col min="31" max="31" width="15.42578125" style="1" customWidth="1"/>
    <col min="32" max="33" width="13.140625" style="1" hidden="1" customWidth="1" outlineLevel="1"/>
    <col min="34" max="35" width="15.140625" style="1" hidden="1" customWidth="1" outlineLevel="1"/>
    <col min="36" max="36" width="11.85546875" style="1" customWidth="1" collapsed="1"/>
    <col min="37" max="37" width="8.5703125" style="1" customWidth="1"/>
    <col min="38" max="38" width="15.42578125" style="1" customWidth="1"/>
    <col min="39" max="40" width="13.140625" style="1" hidden="1" customWidth="1" outlineLevel="1"/>
    <col min="41" max="42" width="15.140625" style="1" hidden="1" customWidth="1" outlineLevel="1"/>
    <col min="43" max="43" width="11.85546875" style="1" customWidth="1" collapsed="1"/>
    <col min="44" max="44" width="8.5703125" style="1" customWidth="1"/>
    <col min="45" max="45" width="15.42578125" style="1" customWidth="1"/>
    <col min="46" max="47" width="13.140625" style="1" hidden="1" customWidth="1" outlineLevel="1"/>
    <col min="48" max="49" width="15.140625" style="1" hidden="1" customWidth="1" outlineLevel="1"/>
    <col min="50" max="50" width="11.85546875" style="1" customWidth="1" collapsed="1"/>
    <col min="51" max="51" width="8.5703125" style="1" customWidth="1"/>
    <col min="52" max="52" width="15.42578125" style="1" customWidth="1"/>
    <col min="53" max="54" width="13.140625" style="1" hidden="1" customWidth="1" outlineLevel="1"/>
    <col min="55" max="56" width="15.140625" style="1" hidden="1" customWidth="1" outlineLevel="1"/>
    <col min="57" max="57" width="11.85546875" style="1" customWidth="1" collapsed="1"/>
    <col min="58" max="58" width="8.5703125" style="1" customWidth="1"/>
    <col min="59" max="59" width="15.42578125" style="1" customWidth="1"/>
    <col min="60" max="61" width="13.140625" style="1" hidden="1" customWidth="1" outlineLevel="1"/>
    <col min="62" max="63" width="15.140625" style="1" hidden="1" customWidth="1" outlineLevel="1"/>
    <col min="64" max="64" width="11.85546875" style="1" customWidth="1" collapsed="1"/>
    <col min="65" max="16384" width="9.140625" style="1"/>
  </cols>
  <sheetData>
    <row r="1" spans="1:64" ht="74.25" customHeight="1" thickBot="1">
      <c r="A1" s="140" t="s">
        <v>2019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</row>
    <row r="2" spans="1:64" s="5" customFormat="1" ht="26.25" customHeight="1" thickBot="1">
      <c r="A2" s="127" t="s">
        <v>72</v>
      </c>
      <c r="B2" s="137" t="s">
        <v>443</v>
      </c>
      <c r="C2" s="127" t="s">
        <v>79</v>
      </c>
      <c r="D2" s="127"/>
      <c r="E2" s="127"/>
      <c r="F2" s="127"/>
      <c r="G2" s="127"/>
      <c r="H2" s="127"/>
      <c r="I2" s="127"/>
      <c r="J2" s="127" t="s">
        <v>80</v>
      </c>
      <c r="K2" s="127"/>
      <c r="L2" s="127"/>
      <c r="M2" s="127"/>
      <c r="N2" s="127"/>
      <c r="O2" s="127"/>
      <c r="P2" s="127" t="s">
        <v>1769</v>
      </c>
      <c r="Q2" s="127"/>
      <c r="R2" s="127"/>
      <c r="S2" s="127"/>
      <c r="T2" s="127"/>
      <c r="U2" s="127"/>
      <c r="V2" s="127"/>
      <c r="W2" s="128" t="s">
        <v>2041</v>
      </c>
      <c r="X2" s="129"/>
      <c r="Y2" s="129"/>
      <c r="Z2" s="129"/>
      <c r="AA2" s="129"/>
      <c r="AB2" s="129"/>
      <c r="AC2" s="130"/>
      <c r="AD2" s="138" t="s">
        <v>1770</v>
      </c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9"/>
      <c r="AR2" s="141" t="s">
        <v>2075</v>
      </c>
      <c r="AS2" s="142"/>
      <c r="AT2" s="142"/>
      <c r="AU2" s="142"/>
      <c r="AV2" s="142"/>
      <c r="AW2" s="142"/>
      <c r="AX2" s="143"/>
      <c r="AY2" s="127" t="s">
        <v>73</v>
      </c>
      <c r="AZ2" s="127"/>
      <c r="BA2" s="127"/>
      <c r="BB2" s="127"/>
      <c r="BC2" s="127"/>
      <c r="BD2" s="127"/>
      <c r="BE2" s="127"/>
      <c r="BF2" s="127" t="s">
        <v>1780</v>
      </c>
      <c r="BG2" s="127"/>
      <c r="BH2" s="127"/>
      <c r="BI2" s="127"/>
      <c r="BJ2" s="127"/>
      <c r="BK2" s="127"/>
      <c r="BL2" s="127"/>
    </row>
    <row r="3" spans="1:64" s="5" customFormat="1" ht="50.25" customHeight="1" thickBot="1">
      <c r="A3" s="127"/>
      <c r="B3" s="13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31"/>
      <c r="X3" s="132"/>
      <c r="Y3" s="132"/>
      <c r="Z3" s="132"/>
      <c r="AA3" s="132"/>
      <c r="AB3" s="132"/>
      <c r="AC3" s="133"/>
      <c r="AD3" s="127" t="s">
        <v>2043</v>
      </c>
      <c r="AE3" s="127"/>
      <c r="AF3" s="127"/>
      <c r="AG3" s="127"/>
      <c r="AH3" s="127"/>
      <c r="AI3" s="127"/>
      <c r="AJ3" s="127"/>
      <c r="AK3" s="127" t="s">
        <v>2042</v>
      </c>
      <c r="AL3" s="127"/>
      <c r="AM3" s="127"/>
      <c r="AN3" s="127"/>
      <c r="AO3" s="127"/>
      <c r="AP3" s="127"/>
      <c r="AQ3" s="127"/>
      <c r="AR3" s="134" t="s">
        <v>74</v>
      </c>
      <c r="AS3" s="134"/>
      <c r="AT3" s="134"/>
      <c r="AU3" s="134"/>
      <c r="AV3" s="134"/>
      <c r="AW3" s="134"/>
      <c r="AX3" s="134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</row>
    <row r="4" spans="1:64" s="5" customFormat="1" ht="15" customHeight="1" thickBot="1">
      <c r="A4" s="127"/>
      <c r="B4" s="137"/>
      <c r="C4" s="127" t="s">
        <v>75</v>
      </c>
      <c r="D4" s="127" t="s">
        <v>1765</v>
      </c>
      <c r="E4" s="127" t="s">
        <v>82</v>
      </c>
      <c r="F4" s="127"/>
      <c r="G4" s="127"/>
      <c r="H4" s="127"/>
      <c r="I4" s="127" t="s">
        <v>81</v>
      </c>
      <c r="J4" s="127" t="s">
        <v>75</v>
      </c>
      <c r="K4" s="127" t="s">
        <v>1765</v>
      </c>
      <c r="L4" s="127" t="s">
        <v>82</v>
      </c>
      <c r="M4" s="127"/>
      <c r="N4" s="127"/>
      <c r="O4" s="127"/>
      <c r="P4" s="122" t="s">
        <v>75</v>
      </c>
      <c r="Q4" s="122" t="s">
        <v>1765</v>
      </c>
      <c r="R4" s="137" t="s">
        <v>82</v>
      </c>
      <c r="S4" s="138"/>
      <c r="T4" s="138"/>
      <c r="U4" s="139"/>
      <c r="V4" s="122" t="s">
        <v>76</v>
      </c>
      <c r="W4" s="122" t="s">
        <v>75</v>
      </c>
      <c r="X4" s="122" t="s">
        <v>1765</v>
      </c>
      <c r="Y4" s="127" t="s">
        <v>82</v>
      </c>
      <c r="Z4" s="127"/>
      <c r="AA4" s="127"/>
      <c r="AB4" s="127"/>
      <c r="AC4" s="127" t="s">
        <v>81</v>
      </c>
      <c r="AD4" s="127" t="s">
        <v>75</v>
      </c>
      <c r="AE4" s="127" t="s">
        <v>1765</v>
      </c>
      <c r="AF4" s="127" t="s">
        <v>82</v>
      </c>
      <c r="AG4" s="127"/>
      <c r="AH4" s="127"/>
      <c r="AI4" s="127"/>
      <c r="AJ4" s="127" t="s">
        <v>81</v>
      </c>
      <c r="AK4" s="127" t="s">
        <v>75</v>
      </c>
      <c r="AL4" s="127" t="s">
        <v>1765</v>
      </c>
      <c r="AM4" s="127" t="s">
        <v>82</v>
      </c>
      <c r="AN4" s="127"/>
      <c r="AO4" s="127"/>
      <c r="AP4" s="127"/>
      <c r="AQ4" s="127" t="s">
        <v>81</v>
      </c>
      <c r="AR4" s="127" t="s">
        <v>75</v>
      </c>
      <c r="AS4" s="127" t="s">
        <v>1765</v>
      </c>
      <c r="AT4" s="127" t="s">
        <v>82</v>
      </c>
      <c r="AU4" s="127"/>
      <c r="AV4" s="127"/>
      <c r="AW4" s="127"/>
      <c r="AX4" s="127" t="s">
        <v>81</v>
      </c>
      <c r="AY4" s="127" t="s">
        <v>75</v>
      </c>
      <c r="AZ4" s="127" t="s">
        <v>1765</v>
      </c>
      <c r="BA4" s="127" t="s">
        <v>82</v>
      </c>
      <c r="BB4" s="127"/>
      <c r="BC4" s="127"/>
      <c r="BD4" s="127"/>
      <c r="BE4" s="127" t="s">
        <v>81</v>
      </c>
      <c r="BF4" s="127" t="s">
        <v>75</v>
      </c>
      <c r="BG4" s="127" t="s">
        <v>1765</v>
      </c>
      <c r="BH4" s="127" t="s">
        <v>82</v>
      </c>
      <c r="BI4" s="127"/>
      <c r="BJ4" s="127"/>
      <c r="BK4" s="127"/>
      <c r="BL4" s="127" t="s">
        <v>76</v>
      </c>
    </row>
    <row r="5" spans="1:64" s="5" customFormat="1" ht="51.75" customHeight="1" thickBot="1">
      <c r="A5" s="127"/>
      <c r="B5" s="137"/>
      <c r="C5" s="127"/>
      <c r="D5" s="127"/>
      <c r="E5" s="83" t="s">
        <v>1766</v>
      </c>
      <c r="F5" s="83" t="s">
        <v>83</v>
      </c>
      <c r="G5" s="83" t="s">
        <v>1767</v>
      </c>
      <c r="H5" s="83" t="s">
        <v>1768</v>
      </c>
      <c r="I5" s="127"/>
      <c r="J5" s="127"/>
      <c r="K5" s="127"/>
      <c r="L5" s="83" t="s">
        <v>1766</v>
      </c>
      <c r="M5" s="83" t="s">
        <v>83</v>
      </c>
      <c r="N5" s="83" t="s">
        <v>1767</v>
      </c>
      <c r="O5" s="83" t="s">
        <v>1768</v>
      </c>
      <c r="P5" s="123"/>
      <c r="Q5" s="123"/>
      <c r="R5" s="83" t="s">
        <v>1766</v>
      </c>
      <c r="S5" s="83" t="s">
        <v>83</v>
      </c>
      <c r="T5" s="83" t="s">
        <v>1767</v>
      </c>
      <c r="U5" s="83" t="s">
        <v>1768</v>
      </c>
      <c r="V5" s="123"/>
      <c r="W5" s="123"/>
      <c r="X5" s="123"/>
      <c r="Y5" s="83" t="s">
        <v>1766</v>
      </c>
      <c r="Z5" s="83" t="s">
        <v>83</v>
      </c>
      <c r="AA5" s="83" t="s">
        <v>1767</v>
      </c>
      <c r="AB5" s="83" t="s">
        <v>1768</v>
      </c>
      <c r="AC5" s="127"/>
      <c r="AD5" s="127"/>
      <c r="AE5" s="127"/>
      <c r="AF5" s="83" t="s">
        <v>1766</v>
      </c>
      <c r="AG5" s="83" t="s">
        <v>83</v>
      </c>
      <c r="AH5" s="83" t="s">
        <v>1767</v>
      </c>
      <c r="AI5" s="83" t="s">
        <v>1768</v>
      </c>
      <c r="AJ5" s="127"/>
      <c r="AK5" s="127"/>
      <c r="AL5" s="127"/>
      <c r="AM5" s="83" t="s">
        <v>1766</v>
      </c>
      <c r="AN5" s="83" t="s">
        <v>83</v>
      </c>
      <c r="AO5" s="83" t="s">
        <v>1767</v>
      </c>
      <c r="AP5" s="83" t="s">
        <v>1768</v>
      </c>
      <c r="AQ5" s="127"/>
      <c r="AR5" s="127"/>
      <c r="AS5" s="127"/>
      <c r="AT5" s="83" t="s">
        <v>1766</v>
      </c>
      <c r="AU5" s="83" t="s">
        <v>83</v>
      </c>
      <c r="AV5" s="83" t="s">
        <v>1767</v>
      </c>
      <c r="AW5" s="83" t="s">
        <v>1768</v>
      </c>
      <c r="AX5" s="127"/>
      <c r="AY5" s="127"/>
      <c r="AZ5" s="127"/>
      <c r="BA5" s="83" t="s">
        <v>1766</v>
      </c>
      <c r="BB5" s="83" t="s">
        <v>83</v>
      </c>
      <c r="BC5" s="83" t="s">
        <v>1767</v>
      </c>
      <c r="BD5" s="83" t="s">
        <v>1768</v>
      </c>
      <c r="BE5" s="127"/>
      <c r="BF5" s="127"/>
      <c r="BG5" s="127"/>
      <c r="BH5" s="83" t="s">
        <v>1766</v>
      </c>
      <c r="BI5" s="83" t="s">
        <v>83</v>
      </c>
      <c r="BJ5" s="83" t="s">
        <v>1767</v>
      </c>
      <c r="BK5" s="83" t="s">
        <v>1768</v>
      </c>
      <c r="BL5" s="127"/>
    </row>
    <row r="6" spans="1:64" s="44" customFormat="1" ht="45.75" customHeight="1" thickBot="1">
      <c r="A6" s="146" t="s">
        <v>77</v>
      </c>
      <c r="B6" s="147"/>
      <c r="C6" s="57">
        <f>+C7+C23+C35</f>
        <v>968</v>
      </c>
      <c r="D6" s="60">
        <f t="shared" ref="D6:BI6" si="0">+D7+D23+D35</f>
        <v>8565835.251694737</v>
      </c>
      <c r="E6" s="60">
        <f t="shared" si="0"/>
        <v>3294405.9390347372</v>
      </c>
      <c r="F6" s="60">
        <f t="shared" si="0"/>
        <v>1631107.51266</v>
      </c>
      <c r="G6" s="60">
        <f t="shared" si="0"/>
        <v>214321</v>
      </c>
      <c r="H6" s="60">
        <f t="shared" si="0"/>
        <v>139395</v>
      </c>
      <c r="I6" s="60">
        <f t="shared" si="0"/>
        <v>20232</v>
      </c>
      <c r="J6" s="57">
        <f t="shared" si="0"/>
        <v>590</v>
      </c>
      <c r="K6" s="60">
        <f t="shared" si="0"/>
        <v>1528094.28</v>
      </c>
      <c r="L6" s="60">
        <f t="shared" si="0"/>
        <v>309283.19999999995</v>
      </c>
      <c r="M6" s="60">
        <f t="shared" si="0"/>
        <v>573966</v>
      </c>
      <c r="N6" s="60">
        <f t="shared" si="0"/>
        <v>63244.400000000009</v>
      </c>
      <c r="O6" s="60">
        <f t="shared" si="0"/>
        <v>0</v>
      </c>
      <c r="P6" s="57">
        <f t="shared" si="0"/>
        <v>699</v>
      </c>
      <c r="Q6" s="60">
        <f t="shared" si="0"/>
        <v>6587027.9516947372</v>
      </c>
      <c r="R6" s="60">
        <f t="shared" si="0"/>
        <v>2629395.9390347367</v>
      </c>
      <c r="S6" s="60">
        <f t="shared" si="0"/>
        <v>1061254.51266</v>
      </c>
      <c r="T6" s="60">
        <f t="shared" si="0"/>
        <v>163990</v>
      </c>
      <c r="U6" s="60">
        <f t="shared" si="0"/>
        <v>117995</v>
      </c>
      <c r="V6" s="60">
        <f t="shared" si="0"/>
        <v>14954</v>
      </c>
      <c r="W6" s="57">
        <f t="shared" si="0"/>
        <v>39</v>
      </c>
      <c r="X6" s="60">
        <f t="shared" si="0"/>
        <v>74169.5</v>
      </c>
      <c r="Y6" s="60">
        <f t="shared" si="0"/>
        <v>45461</v>
      </c>
      <c r="Z6" s="60">
        <f t="shared" si="0"/>
        <v>27174</v>
      </c>
      <c r="AA6" s="60">
        <f t="shared" si="0"/>
        <v>149</v>
      </c>
      <c r="AB6" s="60">
        <f t="shared" si="0"/>
        <v>0</v>
      </c>
      <c r="AC6" s="60">
        <f t="shared" si="0"/>
        <v>257</v>
      </c>
      <c r="AD6" s="57">
        <f t="shared" si="0"/>
        <v>39</v>
      </c>
      <c r="AE6" s="60">
        <f t="shared" si="0"/>
        <v>74169.5</v>
      </c>
      <c r="AF6" s="60">
        <f t="shared" si="0"/>
        <v>45461</v>
      </c>
      <c r="AG6" s="60">
        <f t="shared" si="0"/>
        <v>27174</v>
      </c>
      <c r="AH6" s="60">
        <f t="shared" si="0"/>
        <v>149</v>
      </c>
      <c r="AI6" s="60">
        <f t="shared" si="0"/>
        <v>0</v>
      </c>
      <c r="AJ6" s="60">
        <f t="shared" si="0"/>
        <v>257</v>
      </c>
      <c r="AK6" s="57">
        <f t="shared" si="0"/>
        <v>0</v>
      </c>
      <c r="AL6" s="60">
        <f t="shared" si="0"/>
        <v>0</v>
      </c>
      <c r="AM6" s="60">
        <f t="shared" si="0"/>
        <v>0</v>
      </c>
      <c r="AN6" s="60">
        <f t="shared" si="0"/>
        <v>0</v>
      </c>
      <c r="AO6" s="60">
        <f t="shared" si="0"/>
        <v>0</v>
      </c>
      <c r="AP6" s="60">
        <f t="shared" si="0"/>
        <v>0</v>
      </c>
      <c r="AQ6" s="60">
        <f t="shared" si="0"/>
        <v>0</v>
      </c>
      <c r="AR6" s="57">
        <f t="shared" si="0"/>
        <v>0</v>
      </c>
      <c r="AS6" s="60">
        <f t="shared" si="0"/>
        <v>0</v>
      </c>
      <c r="AT6" s="60">
        <f t="shared" si="0"/>
        <v>0</v>
      </c>
      <c r="AU6" s="60">
        <f t="shared" si="0"/>
        <v>0</v>
      </c>
      <c r="AV6" s="60">
        <f t="shared" si="0"/>
        <v>0</v>
      </c>
      <c r="AW6" s="60">
        <f t="shared" si="0"/>
        <v>0</v>
      </c>
      <c r="AX6" s="60">
        <f t="shared" si="0"/>
        <v>0</v>
      </c>
      <c r="AY6" s="57">
        <f t="shared" si="0"/>
        <v>605</v>
      </c>
      <c r="AZ6" s="60">
        <f t="shared" si="0"/>
        <v>6292001.1616947362</v>
      </c>
      <c r="BA6" s="60">
        <f t="shared" si="0"/>
        <v>2442104.6490347367</v>
      </c>
      <c r="BB6" s="60">
        <f t="shared" si="0"/>
        <v>960919.81266000005</v>
      </c>
      <c r="BC6" s="60">
        <f t="shared" si="0"/>
        <v>163354</v>
      </c>
      <c r="BD6" s="60">
        <f t="shared" si="0"/>
        <v>117995</v>
      </c>
      <c r="BE6" s="60">
        <f t="shared" si="0"/>
        <v>14117</v>
      </c>
      <c r="BF6" s="57">
        <f t="shared" si="0"/>
        <v>131</v>
      </c>
      <c r="BG6" s="60">
        <f t="shared" si="0"/>
        <v>1770195.8</v>
      </c>
      <c r="BH6" s="60">
        <f t="shared" si="0"/>
        <v>567027</v>
      </c>
      <c r="BI6" s="60">
        <f t="shared" si="0"/>
        <v>474900</v>
      </c>
      <c r="BJ6" s="60">
        <f t="shared" ref="BJ6:BL6" si="1">+BJ7+BJ23+BJ35</f>
        <v>49946</v>
      </c>
      <c r="BK6" s="60">
        <f t="shared" si="1"/>
        <v>21400</v>
      </c>
      <c r="BL6" s="60">
        <f t="shared" si="1"/>
        <v>4488</v>
      </c>
    </row>
    <row r="7" spans="1:64" s="3" customFormat="1" ht="35.25" customHeight="1" thickBot="1">
      <c r="A7" s="135" t="s">
        <v>6</v>
      </c>
      <c r="B7" s="145" t="s">
        <v>6</v>
      </c>
      <c r="C7" s="43">
        <f>+SUM(C8:C22)</f>
        <v>273</v>
      </c>
      <c r="D7" s="42">
        <f t="shared" ref="D7:BI7" si="2">+SUM(D8:D22)</f>
        <v>4903608.2578947367</v>
      </c>
      <c r="E7" s="42">
        <f t="shared" si="2"/>
        <v>1725533.1578947369</v>
      </c>
      <c r="F7" s="42">
        <f t="shared" si="2"/>
        <v>371430</v>
      </c>
      <c r="G7" s="42">
        <f t="shared" si="2"/>
        <v>172767</v>
      </c>
      <c r="H7" s="42">
        <f t="shared" si="2"/>
        <v>101710</v>
      </c>
      <c r="I7" s="42">
        <f t="shared" si="2"/>
        <v>11817</v>
      </c>
      <c r="J7" s="43">
        <f t="shared" si="2"/>
        <v>147</v>
      </c>
      <c r="K7" s="42">
        <f t="shared" si="2"/>
        <v>687460.52</v>
      </c>
      <c r="L7" s="42">
        <f t="shared" si="2"/>
        <v>38096.1</v>
      </c>
      <c r="M7" s="42">
        <f t="shared" si="2"/>
        <v>113576.5</v>
      </c>
      <c r="N7" s="42">
        <f t="shared" si="2"/>
        <v>52538.600000000006</v>
      </c>
      <c r="O7" s="42">
        <f t="shared" si="2"/>
        <v>0</v>
      </c>
      <c r="P7" s="43">
        <f t="shared" si="2"/>
        <v>192</v>
      </c>
      <c r="Q7" s="42">
        <f t="shared" si="2"/>
        <v>3996616.7578947367</v>
      </c>
      <c r="R7" s="42">
        <f t="shared" si="2"/>
        <v>1422133.1578947369</v>
      </c>
      <c r="S7" s="42">
        <f t="shared" si="2"/>
        <v>252968</v>
      </c>
      <c r="T7" s="42">
        <f t="shared" si="2"/>
        <v>132812</v>
      </c>
      <c r="U7" s="42">
        <f t="shared" si="2"/>
        <v>95310</v>
      </c>
      <c r="V7" s="42">
        <f t="shared" si="2"/>
        <v>8687</v>
      </c>
      <c r="W7" s="43">
        <f t="shared" si="2"/>
        <v>4</v>
      </c>
      <c r="X7" s="42">
        <f t="shared" si="2"/>
        <v>4880</v>
      </c>
      <c r="Y7" s="42">
        <f t="shared" si="2"/>
        <v>3950</v>
      </c>
      <c r="Z7" s="42">
        <f t="shared" si="2"/>
        <v>930</v>
      </c>
      <c r="AA7" s="42">
        <f t="shared" si="2"/>
        <v>0</v>
      </c>
      <c r="AB7" s="42">
        <f t="shared" si="2"/>
        <v>0</v>
      </c>
      <c r="AC7" s="42">
        <f t="shared" si="2"/>
        <v>12</v>
      </c>
      <c r="AD7" s="43">
        <f t="shared" si="2"/>
        <v>4</v>
      </c>
      <c r="AE7" s="42">
        <f t="shared" si="2"/>
        <v>4880</v>
      </c>
      <c r="AF7" s="42">
        <f t="shared" si="2"/>
        <v>3950</v>
      </c>
      <c r="AG7" s="42">
        <f t="shared" si="2"/>
        <v>930</v>
      </c>
      <c r="AH7" s="42">
        <f t="shared" si="2"/>
        <v>0</v>
      </c>
      <c r="AI7" s="42">
        <f t="shared" si="2"/>
        <v>0</v>
      </c>
      <c r="AJ7" s="42">
        <f t="shared" si="2"/>
        <v>12</v>
      </c>
      <c r="AK7" s="43">
        <f t="shared" si="2"/>
        <v>0</v>
      </c>
      <c r="AL7" s="42">
        <f t="shared" si="2"/>
        <v>0</v>
      </c>
      <c r="AM7" s="42">
        <f t="shared" si="2"/>
        <v>0</v>
      </c>
      <c r="AN7" s="42">
        <f t="shared" si="2"/>
        <v>0</v>
      </c>
      <c r="AO7" s="42">
        <f t="shared" si="2"/>
        <v>0</v>
      </c>
      <c r="AP7" s="42">
        <f t="shared" si="2"/>
        <v>0</v>
      </c>
      <c r="AQ7" s="42">
        <f t="shared" si="2"/>
        <v>0</v>
      </c>
      <c r="AR7" s="43">
        <f t="shared" si="2"/>
        <v>0</v>
      </c>
      <c r="AS7" s="42">
        <f t="shared" si="2"/>
        <v>0</v>
      </c>
      <c r="AT7" s="42">
        <f t="shared" si="2"/>
        <v>0</v>
      </c>
      <c r="AU7" s="42">
        <f t="shared" si="2"/>
        <v>0</v>
      </c>
      <c r="AV7" s="42">
        <f t="shared" si="2"/>
        <v>0</v>
      </c>
      <c r="AW7" s="42">
        <f t="shared" si="2"/>
        <v>0</v>
      </c>
      <c r="AX7" s="42">
        <f t="shared" si="2"/>
        <v>0</v>
      </c>
      <c r="AY7" s="43">
        <f t="shared" si="2"/>
        <v>170</v>
      </c>
      <c r="AZ7" s="42">
        <f t="shared" si="2"/>
        <v>3962294.9578947369</v>
      </c>
      <c r="BA7" s="42">
        <f t="shared" si="2"/>
        <v>1407608.1578947369</v>
      </c>
      <c r="BB7" s="42">
        <f t="shared" si="2"/>
        <v>237250</v>
      </c>
      <c r="BC7" s="42">
        <f t="shared" si="2"/>
        <v>132416</v>
      </c>
      <c r="BD7" s="42">
        <f t="shared" si="2"/>
        <v>95310</v>
      </c>
      <c r="BE7" s="42">
        <f t="shared" si="2"/>
        <v>8540</v>
      </c>
      <c r="BF7" s="43">
        <f t="shared" si="2"/>
        <v>54</v>
      </c>
      <c r="BG7" s="42">
        <f t="shared" si="2"/>
        <v>866347</v>
      </c>
      <c r="BH7" s="42">
        <f t="shared" si="2"/>
        <v>289017</v>
      </c>
      <c r="BI7" s="42">
        <f t="shared" si="2"/>
        <v>102590</v>
      </c>
      <c r="BJ7" s="42">
        <f t="shared" ref="BJ7:BL7" si="3">+SUM(BJ8:BJ22)</f>
        <v>39890</v>
      </c>
      <c r="BK7" s="42">
        <f t="shared" si="3"/>
        <v>6400</v>
      </c>
      <c r="BL7" s="42">
        <f t="shared" si="3"/>
        <v>2927</v>
      </c>
    </row>
    <row r="8" spans="1:64" s="3" customFormat="1" ht="35.25" customHeight="1" outlineLevel="1">
      <c r="A8" s="92">
        <v>1</v>
      </c>
      <c r="B8" s="93" t="s">
        <v>65</v>
      </c>
      <c r="C8" s="46">
        <f>+COUNTIFS(манзилли!$J:$J,'свод (соҳа)'!$B8)</f>
        <v>1</v>
      </c>
      <c r="D8" s="47">
        <f>(+SUMIFS(манзилли!$K:$K,манзилли!$J:$J,'свод (соҳа)'!$B8))</f>
        <v>122400</v>
      </c>
      <c r="E8" s="47">
        <f>(+SUMIFS(манзилли!$M:$M,манзилли!$J:$J,'свод (соҳа)'!$B8))</f>
        <v>78000</v>
      </c>
      <c r="F8" s="47">
        <f>(+SUMIFS(манзилли!$Q:$Q,манзилли!$J:$J,'свод (соҳа)'!$B8))</f>
        <v>0</v>
      </c>
      <c r="G8" s="47">
        <f>(+SUMIFS(манзилли!$S:$S,манзилли!$J:$J,'свод (соҳа)'!$B8))</f>
        <v>0</v>
      </c>
      <c r="H8" s="47">
        <f>(+SUMIFS(манзилли!$U:$U,манзилли!$J:$J,'свод (соҳа)'!$B8))</f>
        <v>4200</v>
      </c>
      <c r="I8" s="48">
        <f>+SUMIFS(манзилли!$Y:$Y,манзилли!$J:$J,'свод (соҳа)'!$B8)</f>
        <v>100</v>
      </c>
      <c r="J8" s="46">
        <f>+(COUNTIFS(манзилли!$L:$L,"&gt;0",манзилли!$J:$J,'свод (соҳа)'!$B8)+COUNTIFS('Қўшимча ишга тушган'!$T:$T,"&gt;0",'Қўшимча ишга тушган'!$J:$J,'свод (соҳа)'!$B8))</f>
        <v>0</v>
      </c>
      <c r="K8" s="47">
        <f>(+SUMIFS(манзилли!$L:$L,манзилли!$J:$J,'свод (соҳа)'!$B8)+SUMIFS('Қўшимча ишга тушган'!$T:$T,'Қўшимча ишга тушган'!$J:$J,'свод (соҳа)'!$B8))</f>
        <v>0</v>
      </c>
      <c r="L8" s="47">
        <f>+(SUMIFS(манзилли!$N:$N,манзилли!$J:$J,'свод (соҳа)'!$B8)+SUMIFS('Қўшимча ишга тушган'!$V:$V,'Қўшимча ишга тушган'!$J:$J,'свод (соҳа)'!$B8))</f>
        <v>0</v>
      </c>
      <c r="M8" s="47">
        <f>(+SUMIFS(манзилли!$R:$R,манзилли!$J:$J,'свод (соҳа)'!$B8)+SUMIFS('Қўшимча ишга тушган'!$Z:$Z,'Қўшимча ишга тушган'!$J:$J,'свод (соҳа)'!$B8))</f>
        <v>0</v>
      </c>
      <c r="N8" s="47">
        <f>(+SUMIFS(манзилли!$T:$T,манзилли!$J:$J,'свод (соҳа)'!$B8)+SUMIFS('Қўшимча ишга тушган'!$AB:$AB,'Қўшимча ишга тушган'!$J:$J,'свод (соҳа)'!$B8))</f>
        <v>0</v>
      </c>
      <c r="O8" s="48">
        <f>(+SUMIFS(манзилли!$V:$V,манзилли!$J:$J,'свод (соҳа)'!$B8)+SUMIFS('Қўшимча ишга тушган'!$AD:$AD,'Қўшимча ишга тушган'!$J:$J,'свод (соҳа)'!$B8))</f>
        <v>0</v>
      </c>
      <c r="P8" s="46">
        <f>+COUNTIFS(манзилли!$J:$J,'свод (соҳа)'!$B8,манзилли!$AA:$AA,"&gt;31.12.2020",манзилли!$AA:$AA,"&lt;01.01.2022")</f>
        <v>1</v>
      </c>
      <c r="Q8" s="47">
        <f>(+SUMIFS(манзилли!$K:$K,манзилли!$J:$J,'свод (соҳа)'!$B8,манзилли!$AA:$AA,"&gt;31.12.2020",манзилли!$AA:$AA,"&lt;01.01.2022"))</f>
        <v>122400</v>
      </c>
      <c r="R8" s="47">
        <f>(+SUMIFS(манзилли!$M:$M,манзилли!$J:$J,'свод (соҳа)'!$B8,манзилли!$AA:$AA,"&gt;31.12.2020",манзилли!$AA:$AA,"&lt;01.01.2022"))</f>
        <v>78000</v>
      </c>
      <c r="S8" s="47">
        <f>(+SUMIFS(манзилли!$Q:$Q,манзилли!$J:$J,'свод (соҳа)'!$B8,манзилли!$AA:$AA,"&gt;31.12.2020",манзилли!$AA:$AA,"&lt;01.01.2022"))</f>
        <v>0</v>
      </c>
      <c r="T8" s="47">
        <f>(+SUMIFS(манзилли!$S:$S,манзилли!$J:$J,'свод (соҳа)'!$B8,манзилли!$AA:$AA,"&gt;31.12.2020",манзилли!$AA:$AA,"&lt;01.01.2022"))</f>
        <v>0</v>
      </c>
      <c r="U8" s="47">
        <f>(+SUMIFS(манзилли!$U:$U,манзилли!$J:$J,'свод (соҳа)'!$B8,манзилли!$AA:$AA,"&gt;31.12.2020",манзилли!$AA:$AA,"&lt;01.01.2022"))</f>
        <v>4200</v>
      </c>
      <c r="V8" s="48">
        <f>+SUMIFS(манзилли!$Y:$Y,манзилли!$J:$J,'свод (соҳа)'!$B8,манзилли!$AA:$AA,"&gt;31.12.2020",манзилли!$AA:$AA,"&lt;01.01.2022")</f>
        <v>100</v>
      </c>
      <c r="W8" s="46">
        <f t="shared" ref="W8:W19" si="4">+AD8+AK8</f>
        <v>0</v>
      </c>
      <c r="X8" s="47">
        <f t="shared" ref="X8:AC19" si="5">+AE8+AL8</f>
        <v>0</v>
      </c>
      <c r="Y8" s="47">
        <f t="shared" si="5"/>
        <v>0</v>
      </c>
      <c r="Z8" s="47">
        <f t="shared" si="5"/>
        <v>0</v>
      </c>
      <c r="AA8" s="47">
        <f t="shared" si="5"/>
        <v>0</v>
      </c>
      <c r="AB8" s="47">
        <f t="shared" si="5"/>
        <v>0</v>
      </c>
      <c r="AC8" s="48">
        <f t="shared" si="5"/>
        <v>0</v>
      </c>
      <c r="AD8" s="46">
        <f>+COUNTIFS(манзилли!$J:$J,'свод (соҳа)'!$B8,манзилли!$AB:$AB,"&gt;31.12.2020",манзилли!$AA:$AA,"&gt;31.12.2020",манзилли!$AA:$AA,"&lt;01.01.2022")</f>
        <v>0</v>
      </c>
      <c r="AE8" s="47">
        <f>(+SUMIFS(манзилли!$L:$L,манзилли!$J:$J,'свод (соҳа)'!$B8,манзилли!$AB:$AB,"&gt;31.12.2020",манзилли!$AA:$AA,"&gt;31.12.2020",манзилли!$AA:$AA,"&lt;01.01.2022"))</f>
        <v>0</v>
      </c>
      <c r="AF8" s="47">
        <f>(+SUMIFS(манзилли!$N:$N,манзилли!$J:$J,'свод (соҳа)'!$B8,манзилли!$AB:$AB,"&gt;31.12.2020",манзилли!$AA:$AA,"&gt;31.12.2020",манзилли!$AA:$AA,"&lt;01.01.2022"))</f>
        <v>0</v>
      </c>
      <c r="AG8" s="47">
        <f>(+SUMIFS(манзилли!$R:$R,манзилли!$J:$J,'свод (соҳа)'!$B8,манзилли!$AB:$AB,"&gt;31.12.2020",манзилли!$AA:$AA,"&gt;31.12.2020",манзилли!$AA:$AA,"&lt;01.01.2022"))</f>
        <v>0</v>
      </c>
      <c r="AH8" s="47">
        <f>(+SUMIFS(манзилли!$T:$T,манзилли!$J:$J,'свод (соҳа)'!$B8,манзилли!$AB:$AB,"&gt;31.12.2020",манзилли!$AA:$AA,"&gt;31.12.2020",манзилли!$AA:$AA,"&lt;01.01.2022"))</f>
        <v>0</v>
      </c>
      <c r="AI8" s="47">
        <f>(+SUMIFS(манзилли!$V:$V,манзилли!$J:$J,'свод (соҳа)'!$B8,манзилли!$AB:$AB,"&gt;31.12.2020",манзилли!$AA:$AA,"&gt;31.12.2020",манзилли!$AA:$AA,"&lt;01.01.2022"))</f>
        <v>0</v>
      </c>
      <c r="AJ8" s="48">
        <f>+SUMIFS(манзилли!$Z:$Z,манзилли!$J:$J,'свод (соҳа)'!$B8,манзилли!$AB:$AB,"&gt;31.12.2020",манзилли!$AA:$AA,"&gt;31.12.2020",манзилли!$AA:$AA,"&lt;01.01.2022")</f>
        <v>0</v>
      </c>
      <c r="AK8" s="46">
        <f>+COUNTIFS('Қўшимча ишга тушган'!$J:$J,'свод (соҳа)'!B8,'Қўшимча ишга тушган'!$AO:$AO,"&lt;01.10.2023")</f>
        <v>0</v>
      </c>
      <c r="AL8" s="47">
        <f>(+SUMIFS('Қўшимча ишга тушган'!$T:$T,'Қўшимча ишга тушган'!$J:$J,'свод (соҳа)'!$B8,'Қўшимча ишга тушган'!$AO:$AO,"&lt;01.10.2023"))</f>
        <v>0</v>
      </c>
      <c r="AM8" s="47">
        <f>(+SUMIFS('Қўшимча ишга тушган'!$V:$V,'Қўшимча ишга тушган'!$J:$J,'свод (соҳа)'!$B8,'Қўшимча ишга тушган'!$AO:$AO,"&lt;01.10.2023"))</f>
        <v>0</v>
      </c>
      <c r="AN8" s="47">
        <f>(+SUMIFS('Қўшимча ишга тушган'!$Z:$Z,'Қўшимча ишга тушган'!$J:$J,'свод (соҳа)'!$B8,'Қўшимча ишга тушган'!$AO:$AO,"&lt;01.10.2023"))</f>
        <v>0</v>
      </c>
      <c r="AO8" s="47">
        <f>(+SUMIFS('Қўшимча ишга тушган'!$AB:$AB,'Қўшимча ишга тушган'!$J:$J,'свод (соҳа)'!$B8,'Қўшимча ишга тушган'!$AO:$AO,"&lt;01.10.2023"))</f>
        <v>0</v>
      </c>
      <c r="AP8" s="47">
        <f>(+SUMIFS('Қўшимча ишга тушган'!$AD:$AD,'Қўшимча ишга тушган'!$J:$J,'свод (соҳа)'!$B8,'Қўшимча ишга тушган'!$AO:$AO,"&lt;01.10.2023"))</f>
        <v>0</v>
      </c>
      <c r="AQ8" s="48">
        <f>+SUMIFS('Қўшимча ишга тушган'!$AM:$AM,'Қўшимча ишга тушган'!$J:$J,'свод (соҳа)'!$B8,'Қўшимча ишга тушган'!$AO:$AO,"&lt;01.10.2023")</f>
        <v>0</v>
      </c>
      <c r="AR8" s="46">
        <f>+COUNTIFS(манзилли!$J:$J,'свод (соҳа)'!$B8,манзилли!$AA:$AA,"&lt;01.02.2021",манзилли!$AB:$AB,"")</f>
        <v>0</v>
      </c>
      <c r="AS8" s="47">
        <f>(+SUMIFS(манзилли!$K:$K,манзилли!$J:$J,'свод (соҳа)'!$B8,манзилли!$AA:$AA,"&lt;01.02.2021",манзилли!$AB:$AB,""))</f>
        <v>0</v>
      </c>
      <c r="AT8" s="47">
        <f>(+SUMIFS(манзилли!$M:$M,манзилли!$J:$J,'свод (соҳа)'!$B8,манзилли!$AA:$AA,"&lt;01.02.2021",манзилли!$AB:$AB,""))</f>
        <v>0</v>
      </c>
      <c r="AU8" s="47">
        <f>(+SUMIFS(манзилли!$Q:$Q,манзилли!$J:$J,'свод (соҳа)'!$B8,манзилли!$AA:$AA,"&lt;01.02.2021",манзилли!$AB:$AB,""))</f>
        <v>0</v>
      </c>
      <c r="AV8" s="47">
        <f>(+SUMIFS(манзилли!$S:$S,манзилли!$J:$J,'свод (соҳа)'!$B8,манзилли!$AA:$AA,"&lt;01.02.2021",манзилли!$AB:$AB,""))</f>
        <v>0</v>
      </c>
      <c r="AW8" s="47">
        <f>(+SUMIFS(манзилли!$U:$U,манзилли!$J:$J,'свод (соҳа)'!$B8,манзилли!$AA:$AA,"&lt;01.02.2021",манзилли!$AB:$AB,""))</f>
        <v>0</v>
      </c>
      <c r="AX8" s="48">
        <f>+SUMIFS(манзилли!$Y:$Y,манзилли!$J:$J,'свод (соҳа)'!$B8,манзилли!$AA:$AA,"&lt;01.02.2021",манзилли!$AB:$AB,"")</f>
        <v>0</v>
      </c>
      <c r="AY8" s="46">
        <f>+COUNTIFS(манзилли!$J:$J,'свод (соҳа)'!$B8,манзилли!$AA:$AA,"&lt;01.01.2022",манзилли!$AB:$AB,"")</f>
        <v>1</v>
      </c>
      <c r="AZ8" s="47">
        <f>(+SUMIFS(манзилли!$K:$K,манзилли!$J:$J,'свод (соҳа)'!$B8,манзилли!$AA:$AA,"&lt;01.01.2022",манзилли!$AB:$AB,""))</f>
        <v>122400</v>
      </c>
      <c r="BA8" s="47">
        <f>(+SUMIFS(манзилли!$M:$M,манзилли!$J:$J,'свод (соҳа)'!$B8,манзилли!$AA:$AA,"&lt;01.01.2022",манзилли!$AB:$AB,""))</f>
        <v>78000</v>
      </c>
      <c r="BB8" s="47">
        <f>(+SUMIFS(манзилли!$Q:$Q,манзилли!$J:$J,'свод (соҳа)'!$B8,манзилли!$AA:$AA,"&lt;01.01.2022",манзилли!$AB:$AB,""))</f>
        <v>0</v>
      </c>
      <c r="BC8" s="47">
        <f>(+SUMIFS(манзилли!$S:$S,манзилли!$J:$J,'свод (соҳа)'!$B8,манзилли!$AA:$AA,"&lt;01.01.2022",манзилли!$AB:$AB,""))</f>
        <v>0</v>
      </c>
      <c r="BD8" s="47">
        <f>(+SUMIFS(манзилли!$U:$U,манзилли!$J:$J,'свод (соҳа)'!$B8,манзилли!$AA:$AA,"&lt;01.01.2022",манзилли!$AB:$AB,""))</f>
        <v>4200</v>
      </c>
      <c r="BE8" s="48">
        <f>+SUMIFS(манзилли!$Y:$Y,манзилли!$J:$J,'свод (соҳа)'!$B8,манзилли!$AA:$AA,"&lt;01.01.2022",манзилли!$AB:$AB,"")</f>
        <v>100</v>
      </c>
      <c r="BF8" s="46">
        <f>+COUNTIFS(манзилли!$J:$J,'свод (соҳа)'!$B8,манзилли!$AA:$AA,"&lt;01.01.2023",манзилли!$AA:$AA,"&gt;=01.01.2022")</f>
        <v>0</v>
      </c>
      <c r="BG8" s="47">
        <f>(+SUMIFS(манзилли!$K:$K,манзилли!$J:$J,'свод (соҳа)'!$B8,манзилли!$AA:$AA,"&lt;01.01.2023",манзилли!$AA:$AA,"&gt;=01.01.2022"))</f>
        <v>0</v>
      </c>
      <c r="BH8" s="47">
        <f>(+SUMIFS(манзилли!$M:$M,манзилли!$J:$J,'свод (соҳа)'!$B8,манзилли!$AA:$AA,"&lt;01.01.2023",манзилли!$AA:$AA,"&gt;=01.01.2022"))</f>
        <v>0</v>
      </c>
      <c r="BI8" s="47">
        <f>(+SUMIFS(манзилли!$Q:$Q,манзилли!$J:$J,'свод (соҳа)'!$B8,манзилли!$AA:$AA,"&lt;01.01.2023",манзилли!$AA:$AA,"&gt;=01.01.2022"))</f>
        <v>0</v>
      </c>
      <c r="BJ8" s="47">
        <f>(+SUMIFS(манзилли!$S:$S,манзилли!$J:$J,'свод (соҳа)'!$B8,манзилли!$AA:$AA,"&lt;01.01.2023",манзилли!$AA:$AA,"&gt;=01.01.2022"))</f>
        <v>0</v>
      </c>
      <c r="BK8" s="47">
        <f>(+SUMIFS(манзилли!$U:$U,манзилли!$J:$J,'свод (соҳа)'!$B8,манзилли!$AA:$AA,"&lt;01.01.2023",манзилли!$AA:$AA,"&gt;=01.01.2022"))</f>
        <v>0</v>
      </c>
      <c r="BL8" s="48">
        <f>+SUMIFS(манзилли!$Y:$Y,манзилли!$J:$J,'свод (соҳа)'!$B8,манзилли!$AA:$AA,"&lt;01.01.2023",манзилли!$AA:$AA,"&gt;=01.01.2022")</f>
        <v>0</v>
      </c>
    </row>
    <row r="9" spans="1:64" s="3" customFormat="1" ht="35.25" customHeight="1" outlineLevel="1">
      <c r="A9" s="26">
        <f>+A8+1</f>
        <v>2</v>
      </c>
      <c r="B9" s="88" t="s">
        <v>52</v>
      </c>
      <c r="C9" s="28">
        <f>+COUNTIFS(манзилли!$J:$J,'свод (соҳа)'!$B9)</f>
        <v>7</v>
      </c>
      <c r="D9" s="86">
        <f>(+SUMIFS(манзилли!$K:$K,манзилли!$J:$J,'свод (соҳа)'!$B9))</f>
        <v>133035</v>
      </c>
      <c r="E9" s="86">
        <f>(+SUMIFS(манзилли!$M:$M,манзилли!$J:$J,'свод (соҳа)'!$B9))</f>
        <v>44550</v>
      </c>
      <c r="F9" s="86">
        <f>(+SUMIFS(манзилли!$Q:$Q,манзилли!$J:$J,'свод (соҳа)'!$B9))</f>
        <v>38410</v>
      </c>
      <c r="G9" s="86">
        <f>(+SUMIFS(манзилли!$S:$S,манзилли!$J:$J,'свод (соҳа)'!$B9))</f>
        <v>5250</v>
      </c>
      <c r="H9" s="86">
        <f>(+SUMIFS(манзилли!$U:$U,манзилли!$J:$J,'свод (соҳа)'!$B9))</f>
        <v>0</v>
      </c>
      <c r="I9" s="30">
        <f>+SUMIFS(манзилли!$Y:$Y,манзилли!$J:$J,'свод (соҳа)'!$B9)</f>
        <v>371</v>
      </c>
      <c r="J9" s="28">
        <f>+(COUNTIFS(манзилли!$L:$L,"&gt;0",манзилли!$J:$J,'свод (соҳа)'!$B9)+COUNTIFS('Қўшимча ишга тушган'!$T:$T,"&gt;0",'Қўшимча ишга тушган'!$J:$J,'свод (соҳа)'!$B9))</f>
        <v>5</v>
      </c>
      <c r="K9" s="86">
        <f>(+SUMIFS(манзилли!$L:$L,манзилли!$J:$J,'свод (соҳа)'!$B9)+SUMIFS('Қўшимча ишга тушган'!$T:$T,'Қўшимча ишга тушган'!$J:$J,'свод (соҳа)'!$B9))</f>
        <v>48330</v>
      </c>
      <c r="L9" s="86">
        <f>+(SUMIFS(манзилли!$N:$N,манзилли!$J:$J,'свод (соҳа)'!$B9)+SUMIFS('Қўшимча ишга тушган'!$V:$V,'Қўшимча ишга тушган'!$J:$J,'свод (соҳа)'!$B9))</f>
        <v>3300</v>
      </c>
      <c r="M9" s="86">
        <f>(+SUMIFS(манзилли!$R:$R,манзилли!$J:$J,'свод (соҳа)'!$B9)+SUMIFS('Қўшимча ишга тушган'!$Z:$Z,'Қўшимча ишга тушган'!$J:$J,'свод (соҳа)'!$B9))</f>
        <v>2190</v>
      </c>
      <c r="N9" s="86">
        <f>(+SUMIFS(манзилли!$T:$T,манзилли!$J:$J,'свод (соҳа)'!$B9)+SUMIFS('Қўшимча ишга тушган'!$AB:$AB,'Қўшимча ишга тушган'!$J:$J,'свод (соҳа)'!$B9))</f>
        <v>4200</v>
      </c>
      <c r="O9" s="30">
        <f>(+SUMIFS(манзилли!$V:$V,манзилли!$J:$J,'свод (соҳа)'!$B9)+SUMIFS('Қўшимча ишга тушган'!$AD:$AD,'Қўшимча ишга тушган'!$J:$J,'свод (соҳа)'!$B9))</f>
        <v>0</v>
      </c>
      <c r="P9" s="28">
        <f>+COUNTIFS(манзилли!$J:$J,'свод (соҳа)'!$B9,манзилли!$AA:$AA,"&gt;31.12.2020",манзилли!$AA:$AA,"&lt;01.01.2022")</f>
        <v>3</v>
      </c>
      <c r="Q9" s="86">
        <f>(+SUMIFS(манзилли!$K:$K,манзилли!$J:$J,'свод (соҳа)'!$B9,манзилли!$AA:$AA,"&gt;31.12.2020",манзилли!$AA:$AA,"&lt;01.01.2022"))</f>
        <v>73735</v>
      </c>
      <c r="R9" s="86">
        <f>(+SUMIFS(манзилли!$M:$M,манзилли!$J:$J,'свод (соҳа)'!$B9,манзилли!$AA:$AA,"&gt;31.12.2020",манзилли!$AA:$AA,"&lt;01.01.2022"))</f>
        <v>23150</v>
      </c>
      <c r="S9" s="86">
        <f>(+SUMIFS(манзилли!$Q:$Q,манзилли!$J:$J,'свод (соҳа)'!$B9,манзилли!$AA:$AA,"&gt;31.12.2020",манзилли!$AA:$AA,"&lt;01.01.2022"))</f>
        <v>510</v>
      </c>
      <c r="T9" s="86">
        <f>(+SUMIFS(манзилли!$S:$S,манзилли!$J:$J,'свод (соҳа)'!$B9,манзилли!$AA:$AA,"&gt;31.12.2020",манзилли!$AA:$AA,"&lt;01.01.2022"))</f>
        <v>5250</v>
      </c>
      <c r="U9" s="86">
        <f>(+SUMIFS(манзилли!$U:$U,манзилли!$J:$J,'свод (соҳа)'!$B9,манзилли!$AA:$AA,"&gt;31.12.2020",манзилли!$AA:$AA,"&lt;01.01.2022"))</f>
        <v>0</v>
      </c>
      <c r="V9" s="30">
        <f>+SUMIFS(манзилли!$Y:$Y,манзилли!$J:$J,'свод (соҳа)'!$B9,манзилли!$AA:$AA,"&gt;31.12.2020",манзилли!$AA:$AA,"&lt;01.01.2022")</f>
        <v>116</v>
      </c>
      <c r="W9" s="28">
        <f t="shared" si="4"/>
        <v>0</v>
      </c>
      <c r="X9" s="86">
        <f t="shared" si="5"/>
        <v>0</v>
      </c>
      <c r="Y9" s="86">
        <f t="shared" si="5"/>
        <v>0</v>
      </c>
      <c r="Z9" s="86">
        <f t="shared" si="5"/>
        <v>0</v>
      </c>
      <c r="AA9" s="86">
        <f t="shared" si="5"/>
        <v>0</v>
      </c>
      <c r="AB9" s="86">
        <f t="shared" si="5"/>
        <v>0</v>
      </c>
      <c r="AC9" s="30">
        <f t="shared" si="5"/>
        <v>0</v>
      </c>
      <c r="AD9" s="28">
        <f>+COUNTIFS(манзилли!$J:$J,'свод (соҳа)'!$B9,манзилли!$AB:$AB,"&gt;31.12.2020",манзилли!$AA:$AA,"&gt;31.12.2020",манзилли!$AA:$AA,"&lt;01.01.2022")</f>
        <v>0</v>
      </c>
      <c r="AE9" s="86">
        <f>(+SUMIFS(манзилли!$L:$L,манзилли!$J:$J,'свод (соҳа)'!$B9,манзилли!$AB:$AB,"&gt;31.12.2020",манзилли!$AA:$AA,"&gt;31.12.2020",манзилли!$AA:$AA,"&lt;01.01.2022"))</f>
        <v>0</v>
      </c>
      <c r="AF9" s="86">
        <f>(+SUMIFS(манзилли!$N:$N,манзилли!$J:$J,'свод (соҳа)'!$B9,манзилли!$AB:$AB,"&gt;31.12.2020",манзилли!$AA:$AA,"&gt;31.12.2020",манзилли!$AA:$AA,"&lt;01.01.2022"))</f>
        <v>0</v>
      </c>
      <c r="AG9" s="86">
        <f>(+SUMIFS(манзилли!$R:$R,манзилли!$J:$J,'свод (соҳа)'!$B9,манзилли!$AB:$AB,"&gt;31.12.2020",манзилли!$AA:$AA,"&gt;31.12.2020",манзилли!$AA:$AA,"&lt;01.01.2022"))</f>
        <v>0</v>
      </c>
      <c r="AH9" s="86">
        <f>(+SUMIFS(манзилли!$T:$T,манзилли!$J:$J,'свод (соҳа)'!$B9,манзилли!$AB:$AB,"&gt;31.12.2020",манзилли!$AA:$AA,"&gt;31.12.2020",манзилли!$AA:$AA,"&lt;01.01.2022"))</f>
        <v>0</v>
      </c>
      <c r="AI9" s="86">
        <f>(+SUMIFS(манзилли!$V:$V,манзилли!$J:$J,'свод (соҳа)'!$B9,манзилли!$AB:$AB,"&gt;31.12.2020",манзилли!$AA:$AA,"&gt;31.12.2020",манзилли!$AA:$AA,"&lt;01.01.2022"))</f>
        <v>0</v>
      </c>
      <c r="AJ9" s="30">
        <f>+SUMIFS(манзилли!$Z:$Z,манзилли!$J:$J,'свод (соҳа)'!$B9,манзилли!$AB:$AB,"&gt;31.12.2020",манзилли!$AA:$AA,"&gt;31.12.2020",манзилли!$AA:$AA,"&lt;01.01.2022")</f>
        <v>0</v>
      </c>
      <c r="AK9" s="28">
        <f>+COUNTIFS('Қўшимча ишга тушган'!$J:$J,'свод (соҳа)'!B9,'Қўшимча ишга тушган'!$AO:$AO,"&lt;01.10.2023")</f>
        <v>0</v>
      </c>
      <c r="AL9" s="86">
        <f>(+SUMIFS('Қўшимча ишга тушган'!$T:$T,'Қўшимча ишга тушган'!$J:$J,'свод (соҳа)'!$B9,'Қўшимча ишга тушган'!$AO:$AO,"&lt;01.10.2023"))</f>
        <v>0</v>
      </c>
      <c r="AM9" s="86">
        <f>(+SUMIFS('Қўшимча ишга тушган'!$V:$V,'Қўшимча ишга тушган'!$J:$J,'свод (соҳа)'!$B9,'Қўшимча ишга тушган'!$AO:$AO,"&lt;01.10.2023"))</f>
        <v>0</v>
      </c>
      <c r="AN9" s="86">
        <f>(+SUMIFS('Қўшимча ишга тушган'!$Z:$Z,'Қўшимча ишга тушган'!$J:$J,'свод (соҳа)'!$B9,'Қўшимча ишга тушган'!$AO:$AO,"&lt;01.10.2023"))</f>
        <v>0</v>
      </c>
      <c r="AO9" s="86">
        <f>(+SUMIFS('Қўшимча ишга тушган'!$AB:$AB,'Қўшимча ишга тушган'!$J:$J,'свод (соҳа)'!$B9,'Қўшимча ишга тушган'!$AO:$AO,"&lt;01.10.2023"))</f>
        <v>0</v>
      </c>
      <c r="AP9" s="86">
        <f>(+SUMIFS('Қўшимча ишга тушган'!$AD:$AD,'Қўшимча ишга тушган'!$J:$J,'свод (соҳа)'!$B9,'Қўшимча ишга тушган'!$AO:$AO,"&lt;01.10.2023"))</f>
        <v>0</v>
      </c>
      <c r="AQ9" s="30">
        <f>+SUMIFS('Қўшимча ишга тушган'!$AM:$AM,'Қўшимча ишга тушган'!$J:$J,'свод (соҳа)'!$B9,'Қўшимча ишга тушган'!$AO:$AO,"&lt;01.10.2023")</f>
        <v>0</v>
      </c>
      <c r="AR9" s="28">
        <f>+COUNTIFS(манзилли!$J:$J,'свод (соҳа)'!$B9,манзилли!$AA:$AA,"&lt;01.02.2021",манзилли!$AB:$AB,"")</f>
        <v>0</v>
      </c>
      <c r="AS9" s="86">
        <f>(+SUMIFS(манзилли!$K:$K,манзилли!$J:$J,'свод (соҳа)'!$B9,манзилли!$AA:$AA,"&lt;01.02.2021",манзилли!$AB:$AB,""))</f>
        <v>0</v>
      </c>
      <c r="AT9" s="86">
        <f>(+SUMIFS(манзилли!$M:$M,манзилли!$J:$J,'свод (соҳа)'!$B9,манзилли!$AA:$AA,"&lt;01.02.2021",манзилли!$AB:$AB,""))</f>
        <v>0</v>
      </c>
      <c r="AU9" s="86">
        <f>(+SUMIFS(манзилли!$Q:$Q,манзилли!$J:$J,'свод (соҳа)'!$B9,манзилли!$AA:$AA,"&lt;01.02.2021",манзилли!$AB:$AB,""))</f>
        <v>0</v>
      </c>
      <c r="AV9" s="86">
        <f>(+SUMIFS(манзилли!$S:$S,манзилли!$J:$J,'свод (соҳа)'!$B9,манзилли!$AA:$AA,"&lt;01.02.2021",манзилли!$AB:$AB,""))</f>
        <v>0</v>
      </c>
      <c r="AW9" s="86">
        <f>(+SUMIFS(манзилли!$U:$U,манзилли!$J:$J,'свод (соҳа)'!$B9,манзилли!$AA:$AA,"&lt;01.02.2021",манзилли!$AB:$AB,""))</f>
        <v>0</v>
      </c>
      <c r="AX9" s="30">
        <f>+SUMIFS(манзилли!$Y:$Y,манзилли!$J:$J,'свод (соҳа)'!$B9,манзилли!$AA:$AA,"&lt;01.02.2021",манзилли!$AB:$AB,"")</f>
        <v>0</v>
      </c>
      <c r="AY9" s="28">
        <f>+COUNTIFS(манзилли!$J:$J,'свод (соҳа)'!$B9,манзилли!$AA:$AA,"&lt;01.01.2022",манзилли!$AB:$AB,"")</f>
        <v>3</v>
      </c>
      <c r="AZ9" s="86">
        <f>(+SUMIFS(манзилли!$K:$K,манзилли!$J:$J,'свод (соҳа)'!$B9,манзилли!$AA:$AA,"&lt;01.01.2022",манзилли!$AB:$AB,""))</f>
        <v>73735</v>
      </c>
      <c r="BA9" s="86">
        <f>(+SUMIFS(манзилли!$M:$M,манзилли!$J:$J,'свод (соҳа)'!$B9,манзилли!$AA:$AA,"&lt;01.01.2022",манзилли!$AB:$AB,""))</f>
        <v>23150</v>
      </c>
      <c r="BB9" s="86">
        <f>(+SUMIFS(манзилли!$Q:$Q,манзилли!$J:$J,'свод (соҳа)'!$B9,манзилли!$AA:$AA,"&lt;01.01.2022",манзилли!$AB:$AB,""))</f>
        <v>510</v>
      </c>
      <c r="BC9" s="86">
        <f>(+SUMIFS(манзилли!$S:$S,манзилли!$J:$J,'свод (соҳа)'!$B9,манзилли!$AA:$AA,"&lt;01.01.2022",манзилли!$AB:$AB,""))</f>
        <v>5250</v>
      </c>
      <c r="BD9" s="86">
        <f>(+SUMIFS(манзилли!$U:$U,манзилли!$J:$J,'свод (соҳа)'!$B9,манзилли!$AA:$AA,"&lt;01.01.2022",манзилли!$AB:$AB,""))</f>
        <v>0</v>
      </c>
      <c r="BE9" s="30">
        <f>+SUMIFS(манзилли!$Y:$Y,манзилли!$J:$J,'свод (соҳа)'!$B9,манзилли!$AA:$AA,"&lt;01.01.2022",манзилли!$AB:$AB,"")</f>
        <v>116</v>
      </c>
      <c r="BF9" s="28">
        <f>+COUNTIFS(манзилли!$J:$J,'свод (соҳа)'!$B9,манзилли!$AA:$AA,"&lt;01.01.2023",манзилли!$AA:$AA,"&gt;=01.01.2022")</f>
        <v>2</v>
      </c>
      <c r="BG9" s="86">
        <f>(+SUMIFS(манзилли!$K:$K,манзилли!$J:$J,'свод (соҳа)'!$B9,манзилли!$AA:$AA,"&lt;01.01.2023",манзилли!$AA:$AA,"&gt;=01.01.2022"))</f>
        <v>56000</v>
      </c>
      <c r="BH9" s="86">
        <f>(+SUMIFS(манзилли!$M:$M,манзилли!$J:$J,'свод (соҳа)'!$B9,манзилли!$AA:$AA,"&lt;01.01.2023",манзилли!$AA:$AA,"&gt;=01.01.2022"))</f>
        <v>18600</v>
      </c>
      <c r="BI9" s="86">
        <f>(+SUMIFS(манзилли!$Q:$Q,манзилли!$J:$J,'свод (соҳа)'!$B9,манзилли!$AA:$AA,"&lt;01.01.2023",манзилли!$AA:$AA,"&gt;=01.01.2022"))</f>
        <v>37400</v>
      </c>
      <c r="BJ9" s="86">
        <f>(+SUMIFS(манзилли!$S:$S,манзилли!$J:$J,'свод (соҳа)'!$B9,манзилли!$AA:$AA,"&lt;01.01.2023",манзилли!$AA:$AA,"&gt;=01.01.2022"))</f>
        <v>0</v>
      </c>
      <c r="BK9" s="86">
        <f>(+SUMIFS(манзилли!$U:$U,манзилли!$J:$J,'свод (соҳа)'!$B9,манзилли!$AA:$AA,"&lt;01.01.2023",манзилли!$AA:$AA,"&gt;=01.01.2022"))</f>
        <v>0</v>
      </c>
      <c r="BL9" s="30">
        <f>+SUMIFS(манзилли!$Y:$Y,манзилли!$J:$J,'свод (соҳа)'!$B9,манзилли!$AA:$AA,"&lt;01.01.2023",манзилли!$AA:$AA,"&gt;=01.01.2022")</f>
        <v>230</v>
      </c>
    </row>
    <row r="10" spans="1:64" s="3" customFormat="1" ht="35.25" customHeight="1" outlineLevel="1">
      <c r="A10" s="26">
        <f t="shared" ref="A10:A22" si="6">+A9+1</f>
        <v>3</v>
      </c>
      <c r="B10" s="88" t="s">
        <v>55</v>
      </c>
      <c r="C10" s="28">
        <f>+COUNTIFS(манзилли!$J:$J,'свод (соҳа)'!$B10)</f>
        <v>3</v>
      </c>
      <c r="D10" s="86">
        <f>(+SUMIFS(манзилли!$K:$K,манзилли!$J:$J,'свод (соҳа)'!$B10))</f>
        <v>460500</v>
      </c>
      <c r="E10" s="86">
        <f>(+SUMIFS(манзилли!$M:$M,манзилли!$J:$J,'свод (соҳа)'!$B10))</f>
        <v>123550</v>
      </c>
      <c r="F10" s="86">
        <f>(+SUMIFS(манзилли!$Q:$Q,манзилли!$J:$J,'свод (соҳа)'!$B10))</f>
        <v>0</v>
      </c>
      <c r="G10" s="86">
        <f>(+SUMIFS(манзилли!$S:$S,манзилли!$J:$J,'свод (соҳа)'!$B10))</f>
        <v>31700</v>
      </c>
      <c r="H10" s="86">
        <f>(+SUMIFS(манзилли!$U:$U,манзилли!$J:$J,'свод (соҳа)'!$B10))</f>
        <v>3500</v>
      </c>
      <c r="I10" s="30">
        <f>+SUMIFS(манзилли!$Y:$Y,манзилли!$J:$J,'свод (соҳа)'!$B10)</f>
        <v>1240</v>
      </c>
      <c r="J10" s="28">
        <f>+(COUNTIFS(манзилли!$L:$L,"&gt;0",манзилли!$J:$J,'свод (соҳа)'!$B10)+COUNTIFS('Қўшимча ишга тушган'!$T:$T,"&gt;0",'Қўшимча ишга тушган'!$J:$J,'свод (соҳа)'!$B10))</f>
        <v>0</v>
      </c>
      <c r="K10" s="86">
        <f>(+SUMIFS(манзилли!$L:$L,манзилли!$J:$J,'свод (соҳа)'!$B10)+SUMIFS('Қўшимча ишга тушган'!$T:$T,'Қўшимча ишга тушган'!$J:$J,'свод (соҳа)'!$B10))</f>
        <v>0</v>
      </c>
      <c r="L10" s="86">
        <f>+(SUMIFS(манзилли!$N:$N,манзилли!$J:$J,'свод (соҳа)'!$B10)+SUMIFS('Қўшимча ишга тушган'!$V:$V,'Қўшимча ишга тушган'!$J:$J,'свод (соҳа)'!$B10))</f>
        <v>0</v>
      </c>
      <c r="M10" s="86">
        <f>(+SUMIFS(манзилли!$R:$R,манзилли!$J:$J,'свод (соҳа)'!$B10)+SUMIFS('Қўшимча ишга тушган'!$Z:$Z,'Қўшимча ишга тушган'!$J:$J,'свод (соҳа)'!$B10))</f>
        <v>0</v>
      </c>
      <c r="N10" s="86">
        <f>(+SUMIFS(манзилли!$T:$T,манзилли!$J:$J,'свод (соҳа)'!$B10)+SUMIFS('Қўшимча ишга тушган'!$AB:$AB,'Қўшимча ишга тушган'!$J:$J,'свод (соҳа)'!$B10))</f>
        <v>0</v>
      </c>
      <c r="O10" s="30">
        <f>(+SUMIFS(манзилли!$V:$V,манзилли!$J:$J,'свод (соҳа)'!$B10)+SUMIFS('Қўшимча ишга тушган'!$AD:$AD,'Қўшимча ишга тушган'!$J:$J,'свод (соҳа)'!$B10))</f>
        <v>0</v>
      </c>
      <c r="P10" s="28">
        <f>+COUNTIFS(манзилли!$J:$J,'свод (соҳа)'!$B10,манзилли!$AA:$AA,"&gt;31.12.2020",манзилли!$AA:$AA,"&lt;01.01.2022")</f>
        <v>3</v>
      </c>
      <c r="Q10" s="86">
        <f>(+SUMIFS(манзилли!$K:$K,манзилли!$J:$J,'свод (соҳа)'!$B10,манзилли!$AA:$AA,"&gt;31.12.2020",манзилли!$AA:$AA,"&lt;01.01.2022"))</f>
        <v>460500</v>
      </c>
      <c r="R10" s="86">
        <f>(+SUMIFS(манзилли!$M:$M,манзилли!$J:$J,'свод (соҳа)'!$B10,манзилли!$AA:$AA,"&gt;31.12.2020",манзилли!$AA:$AA,"&lt;01.01.2022"))</f>
        <v>123550</v>
      </c>
      <c r="S10" s="86">
        <f>(+SUMIFS(манзилли!$Q:$Q,манзилли!$J:$J,'свод (соҳа)'!$B10,манзилли!$AA:$AA,"&gt;31.12.2020",манзилли!$AA:$AA,"&lt;01.01.2022"))</f>
        <v>0</v>
      </c>
      <c r="T10" s="86">
        <f>(+SUMIFS(манзилли!$S:$S,манзилли!$J:$J,'свод (соҳа)'!$B10,манзилли!$AA:$AA,"&gt;31.12.2020",манзилли!$AA:$AA,"&lt;01.01.2022"))</f>
        <v>31700</v>
      </c>
      <c r="U10" s="86">
        <f>(+SUMIFS(манзилли!$U:$U,манзилли!$J:$J,'свод (соҳа)'!$B10,манзилли!$AA:$AA,"&gt;31.12.2020",манзилли!$AA:$AA,"&lt;01.01.2022"))</f>
        <v>3500</v>
      </c>
      <c r="V10" s="30">
        <f>+SUMIFS(манзилли!$Y:$Y,манзилли!$J:$J,'свод (соҳа)'!$B10,манзилли!$AA:$AA,"&gt;31.12.2020",манзилли!$AA:$AA,"&lt;01.01.2022")</f>
        <v>1240</v>
      </c>
      <c r="W10" s="28">
        <f t="shared" si="4"/>
        <v>0</v>
      </c>
      <c r="X10" s="86">
        <f t="shared" si="5"/>
        <v>0</v>
      </c>
      <c r="Y10" s="86">
        <f t="shared" si="5"/>
        <v>0</v>
      </c>
      <c r="Z10" s="86">
        <f t="shared" si="5"/>
        <v>0</v>
      </c>
      <c r="AA10" s="86">
        <f t="shared" si="5"/>
        <v>0</v>
      </c>
      <c r="AB10" s="86">
        <f t="shared" si="5"/>
        <v>0</v>
      </c>
      <c r="AC10" s="30">
        <f t="shared" si="5"/>
        <v>0</v>
      </c>
      <c r="AD10" s="28">
        <f>+COUNTIFS(манзилли!$J:$J,'свод (соҳа)'!$B10,манзилли!$AB:$AB,"&gt;31.12.2020",манзилли!$AA:$AA,"&gt;31.12.2020",манзилли!$AA:$AA,"&lt;01.01.2022")</f>
        <v>0</v>
      </c>
      <c r="AE10" s="86">
        <f>(+SUMIFS(манзилли!$L:$L,манзилли!$J:$J,'свод (соҳа)'!$B10,манзилли!$AB:$AB,"&gt;31.12.2020",манзилли!$AA:$AA,"&gt;31.12.2020",манзилли!$AA:$AA,"&lt;01.01.2022"))</f>
        <v>0</v>
      </c>
      <c r="AF10" s="86">
        <f>(+SUMIFS(манзилли!$N:$N,манзилли!$J:$J,'свод (соҳа)'!$B10,манзилли!$AB:$AB,"&gt;31.12.2020",манзилли!$AA:$AA,"&gt;31.12.2020",манзилли!$AA:$AA,"&lt;01.01.2022"))</f>
        <v>0</v>
      </c>
      <c r="AG10" s="86">
        <f>(+SUMIFS(манзилли!$R:$R,манзилли!$J:$J,'свод (соҳа)'!$B10,манзилли!$AB:$AB,"&gt;31.12.2020",манзилли!$AA:$AA,"&gt;31.12.2020",манзилли!$AA:$AA,"&lt;01.01.2022"))</f>
        <v>0</v>
      </c>
      <c r="AH10" s="86">
        <f>(+SUMIFS(манзилли!$T:$T,манзилли!$J:$J,'свод (соҳа)'!$B10,манзилли!$AB:$AB,"&gt;31.12.2020",манзилли!$AA:$AA,"&gt;31.12.2020",манзилли!$AA:$AA,"&lt;01.01.2022"))</f>
        <v>0</v>
      </c>
      <c r="AI10" s="86">
        <f>(+SUMIFS(манзилли!$V:$V,манзилли!$J:$J,'свод (соҳа)'!$B10,манзилли!$AB:$AB,"&gt;31.12.2020",манзилли!$AA:$AA,"&gt;31.12.2020",манзилли!$AA:$AA,"&lt;01.01.2022"))</f>
        <v>0</v>
      </c>
      <c r="AJ10" s="30">
        <f>+SUMIFS(манзилли!$Z:$Z,манзилли!$J:$J,'свод (соҳа)'!$B10,манзилли!$AB:$AB,"&gt;31.12.2020",манзилли!$AA:$AA,"&gt;31.12.2020",манзилли!$AA:$AA,"&lt;01.01.2022")</f>
        <v>0</v>
      </c>
      <c r="AK10" s="28">
        <f>+COUNTIFS('Қўшимча ишга тушган'!$J:$J,'свод (соҳа)'!B10,'Қўшимча ишга тушган'!$AO:$AO,"&lt;01.10.2023")</f>
        <v>0</v>
      </c>
      <c r="AL10" s="86">
        <f>(+SUMIFS('Қўшимча ишга тушган'!$T:$T,'Қўшимча ишга тушган'!$J:$J,'свод (соҳа)'!$B10,'Қўшимча ишга тушган'!$AO:$AO,"&lt;01.10.2023"))</f>
        <v>0</v>
      </c>
      <c r="AM10" s="86">
        <f>(+SUMIFS('Қўшимча ишга тушган'!$V:$V,'Қўшимча ишга тушган'!$J:$J,'свод (соҳа)'!$B10,'Қўшимча ишга тушган'!$AO:$AO,"&lt;01.10.2023"))</f>
        <v>0</v>
      </c>
      <c r="AN10" s="86">
        <f>(+SUMIFS('Қўшимча ишга тушган'!$Z:$Z,'Қўшимча ишга тушган'!$J:$J,'свод (соҳа)'!$B10,'Қўшимча ишга тушган'!$AO:$AO,"&lt;01.10.2023"))</f>
        <v>0</v>
      </c>
      <c r="AO10" s="86">
        <f>(+SUMIFS('Қўшимча ишга тушган'!$AB:$AB,'Қўшимча ишга тушган'!$J:$J,'свод (соҳа)'!$B10,'Қўшимча ишга тушган'!$AO:$AO,"&lt;01.10.2023"))</f>
        <v>0</v>
      </c>
      <c r="AP10" s="86">
        <f>(+SUMIFS('Қўшимча ишга тушган'!$AD:$AD,'Қўшимча ишга тушган'!$J:$J,'свод (соҳа)'!$B10,'Қўшимча ишга тушган'!$AO:$AO,"&lt;01.10.2023"))</f>
        <v>0</v>
      </c>
      <c r="AQ10" s="30">
        <f>+SUMIFS('Қўшимча ишга тушган'!$AM:$AM,'Қўшимча ишга тушган'!$J:$J,'свод (соҳа)'!$B10,'Қўшимча ишга тушган'!$AO:$AO,"&lt;01.10.2023")</f>
        <v>0</v>
      </c>
      <c r="AR10" s="28">
        <f>+COUNTIFS(манзилли!$J:$J,'свод (соҳа)'!$B10,манзилли!$AA:$AA,"&lt;01.02.2021",манзилли!$AB:$AB,"")</f>
        <v>0</v>
      </c>
      <c r="AS10" s="86">
        <f>(+SUMIFS(манзилли!$K:$K,манзилли!$J:$J,'свод (соҳа)'!$B10,манзилли!$AA:$AA,"&lt;01.02.2021",манзилли!$AB:$AB,""))</f>
        <v>0</v>
      </c>
      <c r="AT10" s="86">
        <f>(+SUMIFS(манзилли!$M:$M,манзилли!$J:$J,'свод (соҳа)'!$B10,манзилли!$AA:$AA,"&lt;01.02.2021",манзилли!$AB:$AB,""))</f>
        <v>0</v>
      </c>
      <c r="AU10" s="86">
        <f>(+SUMIFS(манзилли!$Q:$Q,манзилли!$J:$J,'свод (соҳа)'!$B10,манзилли!$AA:$AA,"&lt;01.02.2021",манзилли!$AB:$AB,""))</f>
        <v>0</v>
      </c>
      <c r="AV10" s="86">
        <f>(+SUMIFS(манзилли!$S:$S,манзилли!$J:$J,'свод (соҳа)'!$B10,манзилли!$AA:$AA,"&lt;01.02.2021",манзилли!$AB:$AB,""))</f>
        <v>0</v>
      </c>
      <c r="AW10" s="86">
        <f>(+SUMIFS(манзилли!$U:$U,манзилли!$J:$J,'свод (соҳа)'!$B10,манзилли!$AA:$AA,"&lt;01.02.2021",манзилли!$AB:$AB,""))</f>
        <v>0</v>
      </c>
      <c r="AX10" s="30">
        <f>+SUMIFS(манзилли!$Y:$Y,манзилли!$J:$J,'свод (соҳа)'!$B10,манзилли!$AA:$AA,"&lt;01.02.2021",манзилли!$AB:$AB,"")</f>
        <v>0</v>
      </c>
      <c r="AY10" s="28">
        <f>+COUNTIFS(манзилли!$J:$J,'свод (соҳа)'!$B10,манзилли!$AA:$AA,"&lt;01.01.2022",манзилли!$AB:$AB,"")</f>
        <v>3</v>
      </c>
      <c r="AZ10" s="86">
        <f>(+SUMIFS(манзилли!$K:$K,манзилли!$J:$J,'свод (соҳа)'!$B10,манзилли!$AA:$AA,"&lt;01.01.2022",манзилли!$AB:$AB,""))</f>
        <v>460500</v>
      </c>
      <c r="BA10" s="86">
        <f>(+SUMIFS(манзилли!$M:$M,манзилли!$J:$J,'свод (соҳа)'!$B10,манзилли!$AA:$AA,"&lt;01.01.2022",манзилли!$AB:$AB,""))</f>
        <v>123550</v>
      </c>
      <c r="BB10" s="86">
        <f>(+SUMIFS(манзилли!$Q:$Q,манзилли!$J:$J,'свод (соҳа)'!$B10,манзилли!$AA:$AA,"&lt;01.01.2022",манзилли!$AB:$AB,""))</f>
        <v>0</v>
      </c>
      <c r="BC10" s="86">
        <f>(+SUMIFS(манзилли!$S:$S,манзилли!$J:$J,'свод (соҳа)'!$B10,манзилли!$AA:$AA,"&lt;01.01.2022",манзилли!$AB:$AB,""))</f>
        <v>31700</v>
      </c>
      <c r="BD10" s="86">
        <f>(+SUMIFS(манзилли!$U:$U,манзилли!$J:$J,'свод (соҳа)'!$B10,манзилли!$AA:$AA,"&lt;01.01.2022",манзилли!$AB:$AB,""))</f>
        <v>3500</v>
      </c>
      <c r="BE10" s="30">
        <f>+SUMIFS(манзилли!$Y:$Y,манзилли!$J:$J,'свод (соҳа)'!$B10,манзилли!$AA:$AA,"&lt;01.01.2022",манзилли!$AB:$AB,"")</f>
        <v>1240</v>
      </c>
      <c r="BF10" s="28">
        <f>+COUNTIFS(манзилли!$J:$J,'свод (соҳа)'!$B10,манзилли!$AA:$AA,"&lt;01.01.2023",манзилли!$AA:$AA,"&gt;=01.01.2022")</f>
        <v>0</v>
      </c>
      <c r="BG10" s="86">
        <f>(+SUMIFS(манзилли!$K:$K,манзилли!$J:$J,'свод (соҳа)'!$B10,манзилли!$AA:$AA,"&lt;01.01.2023",манзилли!$AA:$AA,"&gt;=01.01.2022"))</f>
        <v>0</v>
      </c>
      <c r="BH10" s="86">
        <f>(+SUMIFS(манзилли!$M:$M,манзилли!$J:$J,'свод (соҳа)'!$B10,манзилли!$AA:$AA,"&lt;01.01.2023",манзилли!$AA:$AA,"&gt;=01.01.2022"))</f>
        <v>0</v>
      </c>
      <c r="BI10" s="86">
        <f>(+SUMIFS(манзилли!$Q:$Q,манзилли!$J:$J,'свод (соҳа)'!$B10,манзилли!$AA:$AA,"&lt;01.01.2023",манзилли!$AA:$AA,"&gt;=01.01.2022"))</f>
        <v>0</v>
      </c>
      <c r="BJ10" s="86">
        <f>(+SUMIFS(манзилли!$S:$S,манзилли!$J:$J,'свод (соҳа)'!$B10,манзилли!$AA:$AA,"&lt;01.01.2023",манзилли!$AA:$AA,"&gt;=01.01.2022"))</f>
        <v>0</v>
      </c>
      <c r="BK10" s="86">
        <f>(+SUMIFS(манзилли!$U:$U,манзилли!$J:$J,'свод (соҳа)'!$B10,манзилли!$AA:$AA,"&lt;01.01.2023",манзилли!$AA:$AA,"&gt;=01.01.2022"))</f>
        <v>0</v>
      </c>
      <c r="BL10" s="30">
        <f>+SUMIFS(манзилли!$Y:$Y,манзилли!$J:$J,'свод (соҳа)'!$B10,манзилли!$AA:$AA,"&lt;01.01.2023",манзилли!$AA:$AA,"&gt;=01.01.2022")</f>
        <v>0</v>
      </c>
    </row>
    <row r="11" spans="1:64" s="3" customFormat="1" ht="35.25" customHeight="1" outlineLevel="1">
      <c r="A11" s="26">
        <f t="shared" si="6"/>
        <v>4</v>
      </c>
      <c r="B11" s="88" t="s">
        <v>49</v>
      </c>
      <c r="C11" s="28">
        <f>+COUNTIFS(манзилли!$J:$J,'свод (соҳа)'!$B11)</f>
        <v>9</v>
      </c>
      <c r="D11" s="86">
        <f>(+SUMIFS(манзилли!$K:$K,манзилли!$J:$J,'свод (соҳа)'!$B11))</f>
        <v>45070</v>
      </c>
      <c r="E11" s="86">
        <f>(+SUMIFS(манзилли!$M:$M,манзилли!$J:$J,'свод (соҳа)'!$B11))</f>
        <v>14100</v>
      </c>
      <c r="F11" s="86">
        <f>(+SUMIFS(манзилли!$Q:$Q,манзилли!$J:$J,'свод (соҳа)'!$B11))</f>
        <v>20670</v>
      </c>
      <c r="G11" s="86">
        <f>(+SUMIFS(манзилли!$S:$S,манзилли!$J:$J,'свод (соҳа)'!$B11))</f>
        <v>1000</v>
      </c>
      <c r="H11" s="86">
        <f>(+SUMIFS(манзилли!$U:$U,манзилли!$J:$J,'свод (соҳа)'!$B11))</f>
        <v>0</v>
      </c>
      <c r="I11" s="30">
        <f>+SUMIFS(манзилли!$Y:$Y,манзилли!$J:$J,'свод (соҳа)'!$B11)</f>
        <v>240</v>
      </c>
      <c r="J11" s="28">
        <f>+(COUNTIFS(манзилли!$L:$L,"&gt;0",манзилли!$J:$J,'свод (соҳа)'!$B11)+COUNTIFS('Қўшимча ишга тушган'!$T:$T,"&gt;0",'Қўшимча ишга тушган'!$J:$J,'свод (соҳа)'!$B11))</f>
        <v>4</v>
      </c>
      <c r="K11" s="86">
        <f>(+SUMIFS(манзилли!$L:$L,манзилли!$J:$J,'свод (соҳа)'!$B11)+SUMIFS('Қўшимча ишга тушган'!$T:$T,'Қўшимча ишга тушган'!$J:$J,'свод (соҳа)'!$B11))</f>
        <v>3350</v>
      </c>
      <c r="L11" s="86">
        <f>+(SUMIFS(манзилли!$N:$N,манзилли!$J:$J,'свод (соҳа)'!$B11)+SUMIFS('Қўшимча ишга тушган'!$V:$V,'Қўшимча ишга тушган'!$J:$J,'свод (соҳа)'!$B11))</f>
        <v>850</v>
      </c>
      <c r="M11" s="86">
        <f>(+SUMIFS(манзилли!$R:$R,манзилли!$J:$J,'свод (соҳа)'!$B11)+SUMIFS('Қўшимча ишга тушган'!$Z:$Z,'Қўшимча ишга тушган'!$J:$J,'свод (соҳа)'!$B11))</f>
        <v>2500</v>
      </c>
      <c r="N11" s="86">
        <f>(+SUMIFS(манзилли!$T:$T,манзилли!$J:$J,'свод (соҳа)'!$B11)+SUMIFS('Қўшимча ишга тушган'!$AB:$AB,'Қўшимча ишга тушган'!$J:$J,'свод (соҳа)'!$B11))</f>
        <v>0</v>
      </c>
      <c r="O11" s="30">
        <f>(+SUMIFS(манзилли!$V:$V,манзилли!$J:$J,'свод (соҳа)'!$B11)+SUMIFS('Қўшимча ишга тушган'!$AD:$AD,'Қўшимча ишга тушган'!$J:$J,'свод (соҳа)'!$B11))</f>
        <v>0</v>
      </c>
      <c r="P11" s="28">
        <f>+COUNTIFS(манзилли!$J:$J,'свод (соҳа)'!$B11,манзилли!$AA:$AA,"&gt;31.12.2020",манзилли!$AA:$AA,"&lt;01.01.2022")</f>
        <v>7</v>
      </c>
      <c r="Q11" s="86">
        <f>(+SUMIFS(манзилли!$K:$K,манзилли!$J:$J,'свод (соҳа)'!$B11,манзилли!$AA:$AA,"&gt;31.12.2020",манзилли!$AA:$AA,"&lt;01.01.2022"))</f>
        <v>35520</v>
      </c>
      <c r="R11" s="86">
        <f>(+SUMIFS(манзилли!$M:$M,манзилли!$J:$J,'свод (соҳа)'!$B11,манзилли!$AA:$AA,"&gt;31.12.2020",манзилли!$AA:$AA,"&lt;01.01.2022"))</f>
        <v>10600</v>
      </c>
      <c r="S11" s="86">
        <f>(+SUMIFS(манзилли!$Q:$Q,манзилли!$J:$J,'свод (соҳа)'!$B11,манзилли!$AA:$AA,"&gt;31.12.2020",манзилли!$AA:$AA,"&lt;01.01.2022"))</f>
        <v>14620</v>
      </c>
      <c r="T11" s="86">
        <f>(+SUMIFS(манзилли!$S:$S,манзилли!$J:$J,'свод (соҳа)'!$B11,манзилли!$AA:$AA,"&gt;31.12.2020",манзилли!$AA:$AA,"&lt;01.01.2022"))</f>
        <v>1000</v>
      </c>
      <c r="U11" s="86">
        <f>(+SUMIFS(манзилли!$U:$U,манзилли!$J:$J,'свод (соҳа)'!$B11,манзилли!$AA:$AA,"&gt;31.12.2020",манзилли!$AA:$AA,"&lt;01.01.2022"))</f>
        <v>0</v>
      </c>
      <c r="V11" s="30">
        <f>+SUMIFS(манзилли!$Y:$Y,манзилли!$J:$J,'свод (соҳа)'!$B11,манзилли!$AA:$AA,"&gt;31.12.2020",манзилли!$AA:$AA,"&lt;01.01.2022")</f>
        <v>176</v>
      </c>
      <c r="W11" s="28">
        <f t="shared" si="4"/>
        <v>0</v>
      </c>
      <c r="X11" s="86">
        <f t="shared" si="5"/>
        <v>0</v>
      </c>
      <c r="Y11" s="86">
        <f t="shared" si="5"/>
        <v>0</v>
      </c>
      <c r="Z11" s="86">
        <f t="shared" si="5"/>
        <v>0</v>
      </c>
      <c r="AA11" s="86">
        <f t="shared" si="5"/>
        <v>0</v>
      </c>
      <c r="AB11" s="86">
        <f t="shared" si="5"/>
        <v>0</v>
      </c>
      <c r="AC11" s="30">
        <f t="shared" si="5"/>
        <v>0</v>
      </c>
      <c r="AD11" s="28">
        <f>+COUNTIFS(манзилли!$J:$J,'свод (соҳа)'!$B11,манзилли!$AB:$AB,"&gt;31.12.2020",манзилли!$AA:$AA,"&gt;31.12.2020",манзилли!$AA:$AA,"&lt;01.01.2022")</f>
        <v>0</v>
      </c>
      <c r="AE11" s="86">
        <f>(+SUMIFS(манзилли!$L:$L,манзилли!$J:$J,'свод (соҳа)'!$B11,манзилли!$AB:$AB,"&gt;31.12.2020",манзилли!$AA:$AA,"&gt;31.12.2020",манзилли!$AA:$AA,"&lt;01.01.2022"))</f>
        <v>0</v>
      </c>
      <c r="AF11" s="86">
        <f>(+SUMIFS(манзилли!$N:$N,манзилли!$J:$J,'свод (соҳа)'!$B11,манзилли!$AB:$AB,"&gt;31.12.2020",манзилли!$AA:$AA,"&gt;31.12.2020",манзилли!$AA:$AA,"&lt;01.01.2022"))</f>
        <v>0</v>
      </c>
      <c r="AG11" s="86">
        <f>(+SUMIFS(манзилли!$R:$R,манзилли!$J:$J,'свод (соҳа)'!$B11,манзилли!$AB:$AB,"&gt;31.12.2020",манзилли!$AA:$AA,"&gt;31.12.2020",манзилли!$AA:$AA,"&lt;01.01.2022"))</f>
        <v>0</v>
      </c>
      <c r="AH11" s="86">
        <f>(+SUMIFS(манзилли!$T:$T,манзилли!$J:$J,'свод (соҳа)'!$B11,манзилли!$AB:$AB,"&gt;31.12.2020",манзилли!$AA:$AA,"&gt;31.12.2020",манзилли!$AA:$AA,"&lt;01.01.2022"))</f>
        <v>0</v>
      </c>
      <c r="AI11" s="86">
        <f>(+SUMIFS(манзилли!$V:$V,манзилли!$J:$J,'свод (соҳа)'!$B11,манзилли!$AB:$AB,"&gt;31.12.2020",манзилли!$AA:$AA,"&gt;31.12.2020",манзилли!$AA:$AA,"&lt;01.01.2022"))</f>
        <v>0</v>
      </c>
      <c r="AJ11" s="30">
        <f>+SUMIFS(манзилли!$Z:$Z,манзилли!$J:$J,'свод (соҳа)'!$B11,манзилли!$AB:$AB,"&gt;31.12.2020",манзилли!$AA:$AA,"&gt;31.12.2020",манзилли!$AA:$AA,"&lt;01.01.2022")</f>
        <v>0</v>
      </c>
      <c r="AK11" s="28">
        <f>+COUNTIFS('Қўшимча ишга тушган'!$J:$J,'свод (соҳа)'!B11,'Қўшимча ишга тушган'!$AO:$AO,"&lt;01.10.2023")</f>
        <v>0</v>
      </c>
      <c r="AL11" s="86">
        <f>(+SUMIFS('Қўшимча ишга тушган'!$T:$T,'Қўшимча ишга тушган'!$J:$J,'свод (соҳа)'!$B11,'Қўшимча ишга тушган'!$AO:$AO,"&lt;01.10.2023"))</f>
        <v>0</v>
      </c>
      <c r="AM11" s="86">
        <f>(+SUMIFS('Қўшимча ишга тушган'!$V:$V,'Қўшимча ишга тушган'!$J:$J,'свод (соҳа)'!$B11,'Қўшимча ишга тушган'!$AO:$AO,"&lt;01.10.2023"))</f>
        <v>0</v>
      </c>
      <c r="AN11" s="86">
        <f>(+SUMIFS('Қўшимча ишга тушган'!$Z:$Z,'Қўшимча ишга тушган'!$J:$J,'свод (соҳа)'!$B11,'Қўшимча ишга тушган'!$AO:$AO,"&lt;01.10.2023"))</f>
        <v>0</v>
      </c>
      <c r="AO11" s="86">
        <f>(+SUMIFS('Қўшимча ишга тушган'!$AB:$AB,'Қўшимча ишга тушган'!$J:$J,'свод (соҳа)'!$B11,'Қўшимча ишга тушган'!$AO:$AO,"&lt;01.10.2023"))</f>
        <v>0</v>
      </c>
      <c r="AP11" s="86">
        <f>(+SUMIFS('Қўшимча ишга тушган'!$AD:$AD,'Қўшимча ишга тушган'!$J:$J,'свод (соҳа)'!$B11,'Қўшимча ишга тушган'!$AO:$AO,"&lt;01.10.2023"))</f>
        <v>0</v>
      </c>
      <c r="AQ11" s="30">
        <f>+SUMIFS('Қўшимча ишга тушган'!$AM:$AM,'Қўшимча ишга тушган'!$J:$J,'свод (соҳа)'!$B11,'Қўшимча ишга тушган'!$AO:$AO,"&lt;01.10.2023")</f>
        <v>0</v>
      </c>
      <c r="AR11" s="28">
        <f>+COUNTIFS(манзилли!$J:$J,'свод (соҳа)'!$B11,манзилли!$AA:$AA,"&lt;01.02.2021",манзилли!$AB:$AB,"")</f>
        <v>0</v>
      </c>
      <c r="AS11" s="86">
        <f>(+SUMIFS(манзилли!$K:$K,манзилли!$J:$J,'свод (соҳа)'!$B11,манзилли!$AA:$AA,"&lt;01.02.2021",манзилли!$AB:$AB,""))</f>
        <v>0</v>
      </c>
      <c r="AT11" s="86">
        <f>(+SUMIFS(манзилли!$M:$M,манзилли!$J:$J,'свод (соҳа)'!$B11,манзилли!$AA:$AA,"&lt;01.02.2021",манзилли!$AB:$AB,""))</f>
        <v>0</v>
      </c>
      <c r="AU11" s="86">
        <f>(+SUMIFS(манзилли!$Q:$Q,манзилли!$J:$J,'свод (соҳа)'!$B11,манзилли!$AA:$AA,"&lt;01.02.2021",манзилли!$AB:$AB,""))</f>
        <v>0</v>
      </c>
      <c r="AV11" s="86">
        <f>(+SUMIFS(манзилли!$S:$S,манзилли!$J:$J,'свод (соҳа)'!$B11,манзилли!$AA:$AA,"&lt;01.02.2021",манзилли!$AB:$AB,""))</f>
        <v>0</v>
      </c>
      <c r="AW11" s="86">
        <f>(+SUMIFS(манзилли!$U:$U,манзилли!$J:$J,'свод (соҳа)'!$B11,манзилли!$AA:$AA,"&lt;01.02.2021",манзилли!$AB:$AB,""))</f>
        <v>0</v>
      </c>
      <c r="AX11" s="30">
        <f>+SUMIFS(манзилли!$Y:$Y,манзилли!$J:$J,'свод (соҳа)'!$B11,манзилли!$AA:$AA,"&lt;01.02.2021",манзилли!$AB:$AB,"")</f>
        <v>0</v>
      </c>
      <c r="AY11" s="28">
        <f>+COUNTIFS(манзилли!$J:$J,'свод (соҳа)'!$B11,манзилли!$AA:$AA,"&lt;01.01.2022",манзилли!$AB:$AB,"")</f>
        <v>7</v>
      </c>
      <c r="AZ11" s="86">
        <f>(+SUMIFS(манзилли!$K:$K,манзилли!$J:$J,'свод (соҳа)'!$B11,манзилли!$AA:$AA,"&lt;01.01.2022",манзилли!$AB:$AB,""))</f>
        <v>35520</v>
      </c>
      <c r="BA11" s="86">
        <f>(+SUMIFS(манзилли!$M:$M,манзилли!$J:$J,'свод (соҳа)'!$B11,манзилли!$AA:$AA,"&lt;01.01.2022",манзилли!$AB:$AB,""))</f>
        <v>10600</v>
      </c>
      <c r="BB11" s="86">
        <f>(+SUMIFS(манзилли!$Q:$Q,манзилли!$J:$J,'свод (соҳа)'!$B11,манзилли!$AA:$AA,"&lt;01.01.2022",манзилли!$AB:$AB,""))</f>
        <v>14620</v>
      </c>
      <c r="BC11" s="86">
        <f>(+SUMIFS(манзилли!$S:$S,манзилли!$J:$J,'свод (соҳа)'!$B11,манзилли!$AA:$AA,"&lt;01.01.2022",манзилли!$AB:$AB,""))</f>
        <v>1000</v>
      </c>
      <c r="BD11" s="86">
        <f>(+SUMIFS(манзилли!$U:$U,манзилли!$J:$J,'свод (соҳа)'!$B11,манзилли!$AA:$AA,"&lt;01.01.2022",манзилли!$AB:$AB,""))</f>
        <v>0</v>
      </c>
      <c r="BE11" s="30">
        <f>+SUMIFS(манзилли!$Y:$Y,манзилли!$J:$J,'свод (соҳа)'!$B11,манзилли!$AA:$AA,"&lt;01.01.2022",манзилли!$AB:$AB,"")</f>
        <v>176</v>
      </c>
      <c r="BF11" s="28">
        <f>+COUNTIFS(манзилли!$J:$J,'свод (соҳа)'!$B11,манзилли!$AA:$AA,"&lt;01.01.2023",манзилли!$AA:$AA,"&gt;=01.01.2022")</f>
        <v>2</v>
      </c>
      <c r="BG11" s="86">
        <f>(+SUMIFS(манзилли!$K:$K,манзилли!$J:$J,'свод (соҳа)'!$B11,манзилли!$AA:$AA,"&lt;01.01.2023",манзилли!$AA:$AA,"&gt;=01.01.2022"))</f>
        <v>9550</v>
      </c>
      <c r="BH11" s="86">
        <f>(+SUMIFS(манзилли!$M:$M,манзилли!$J:$J,'свод (соҳа)'!$B11,манзилли!$AA:$AA,"&lt;01.01.2023",манзилли!$AA:$AA,"&gt;=01.01.2022"))</f>
        <v>3500</v>
      </c>
      <c r="BI11" s="86">
        <f>(+SUMIFS(манзилли!$Q:$Q,манзилли!$J:$J,'свод (соҳа)'!$B11,манзилли!$AA:$AA,"&lt;01.01.2023",манзилли!$AA:$AA,"&gt;=01.01.2022"))</f>
        <v>6050</v>
      </c>
      <c r="BJ11" s="86">
        <f>(+SUMIFS(манзилли!$S:$S,манзилли!$J:$J,'свод (соҳа)'!$B11,манзилли!$AA:$AA,"&lt;01.01.2023",манзилли!$AA:$AA,"&gt;=01.01.2022"))</f>
        <v>0</v>
      </c>
      <c r="BK11" s="86">
        <f>(+SUMIFS(манзилли!$U:$U,манзилли!$J:$J,'свод (соҳа)'!$B11,манзилли!$AA:$AA,"&lt;01.01.2023",манзилли!$AA:$AA,"&gt;=01.01.2022"))</f>
        <v>0</v>
      </c>
      <c r="BL11" s="30">
        <f>+SUMIFS(манзилли!$Y:$Y,манзилли!$J:$J,'свод (соҳа)'!$B11,манзилли!$AA:$AA,"&lt;01.01.2023",манзилли!$AA:$AA,"&gt;=01.01.2022")</f>
        <v>64</v>
      </c>
    </row>
    <row r="12" spans="1:64" s="3" customFormat="1" ht="35.25" customHeight="1" outlineLevel="1">
      <c r="A12" s="26">
        <f t="shared" si="6"/>
        <v>5</v>
      </c>
      <c r="B12" s="88" t="s">
        <v>12</v>
      </c>
      <c r="C12" s="28">
        <f>+COUNTIFS(манзилли!$J:$J,'свод (соҳа)'!$B12)</f>
        <v>112</v>
      </c>
      <c r="D12" s="86">
        <f>(+SUMIFS(манзилли!$K:$K,манзилли!$J:$J,'свод (соҳа)'!$B12))</f>
        <v>1550159.7578947367</v>
      </c>
      <c r="E12" s="86">
        <f>(+SUMIFS(манзилли!$M:$M,манзилли!$J:$J,'свод (соҳа)'!$B12))</f>
        <v>480644.6578947368</v>
      </c>
      <c r="F12" s="86">
        <f>(+SUMIFS(манзилли!$Q:$Q,манзилли!$J:$J,'свод (соҳа)'!$B12))</f>
        <v>171960</v>
      </c>
      <c r="G12" s="86">
        <f>(+SUMIFS(манзилли!$S:$S,манзилли!$J:$J,'свод (соҳа)'!$B12))</f>
        <v>47317</v>
      </c>
      <c r="H12" s="86">
        <f>(+SUMIFS(манзилли!$U:$U,манзилли!$J:$J,'свод (соҳа)'!$B12))</f>
        <v>39000</v>
      </c>
      <c r="I12" s="30">
        <f>+SUMIFS(манзилли!$Y:$Y,манзилли!$J:$J,'свод (соҳа)'!$B12)</f>
        <v>2562</v>
      </c>
      <c r="J12" s="28">
        <f>+(COUNTIFS(манзилли!$L:$L,"&gt;0",манзилли!$J:$J,'свод (соҳа)'!$B12)+COUNTIFS('Қўшимча ишга тушган'!$T:$T,"&gt;0",'Қўшимча ишга тушган'!$J:$J,'свод (соҳа)'!$B12))</f>
        <v>59</v>
      </c>
      <c r="K12" s="86">
        <f>(+SUMIFS(манзилли!$L:$L,манзилли!$J:$J,'свод (соҳа)'!$B12)+SUMIFS('Қўшимча ишга тушган'!$T:$T,'Қўшимча ишга тушган'!$J:$J,'свод (соҳа)'!$B12))</f>
        <v>300908.82</v>
      </c>
      <c r="L12" s="86">
        <f>+(SUMIFS(манзилли!$N:$N,манзилли!$J:$J,'свод (соҳа)'!$B12)+SUMIFS('Қўшимча ишга тушган'!$V:$V,'Қўшимча ишга тушган'!$J:$J,'свод (соҳа)'!$B12))</f>
        <v>13885</v>
      </c>
      <c r="M12" s="86">
        <f>(+SUMIFS(манзилли!$R:$R,манзилли!$J:$J,'свод (соҳа)'!$B12)+SUMIFS('Қўшимча ишга тушган'!$Z:$Z,'Қўшимча ишга тушган'!$J:$J,'свод (соҳа)'!$B12))</f>
        <v>30555</v>
      </c>
      <c r="N12" s="86">
        <f>(+SUMIFS(манзилли!$T:$T,манзилли!$J:$J,'свод (соҳа)'!$B12)+SUMIFS('Қўшимча ишга тушган'!$AB:$AB,'Қўшимча ишга тушган'!$J:$J,'свод (соҳа)'!$B12))</f>
        <v>25139.100000000002</v>
      </c>
      <c r="O12" s="30">
        <f>(+SUMIFS(манзилли!$V:$V,манзилли!$J:$J,'свод (соҳа)'!$B12)+SUMIFS('Қўшимча ишга тушган'!$AD:$AD,'Қўшимча ишга тушган'!$J:$J,'свод (соҳа)'!$B12))</f>
        <v>0</v>
      </c>
      <c r="P12" s="28">
        <f>+COUNTIFS(манзилли!$J:$J,'свод (соҳа)'!$B12,манзилли!$AA:$AA,"&gt;31.12.2020",манзилли!$AA:$AA,"&lt;01.01.2022")</f>
        <v>76</v>
      </c>
      <c r="Q12" s="86">
        <f>(+SUMIFS(манзилли!$K:$K,манзилли!$J:$J,'свод (соҳа)'!$B12,манзилли!$AA:$AA,"&gt;31.12.2020",манзилли!$AA:$AA,"&lt;01.01.2022"))</f>
        <v>1256849.7578947369</v>
      </c>
      <c r="R12" s="86">
        <f>(+SUMIFS(манзилли!$M:$M,манзилли!$J:$J,'свод (соҳа)'!$B12,манзилли!$AA:$AA,"&gt;31.12.2020",манзилли!$AA:$AA,"&lt;01.01.2022"))</f>
        <v>378184.6578947368</v>
      </c>
      <c r="S12" s="86">
        <f>(+SUMIFS(манзилли!$Q:$Q,манзилли!$J:$J,'свод (соҳа)'!$B12,манзилли!$AA:$AA,"&gt;31.12.2020",манзилли!$AA:$AA,"&lt;01.01.2022"))</f>
        <v>138580</v>
      </c>
      <c r="T12" s="86">
        <f>(+SUMIFS(манзилли!$S:$S,манзилли!$J:$J,'свод (соҳа)'!$B12,манзилли!$AA:$AA,"&gt;31.12.2020",манзилли!$AA:$AA,"&lt;01.01.2022"))</f>
        <v>35317</v>
      </c>
      <c r="U12" s="86">
        <f>(+SUMIFS(манзилли!$U:$U,манзилли!$J:$J,'свод (соҳа)'!$B12,манзилли!$AA:$AA,"&gt;31.12.2020",манзилли!$AA:$AA,"&lt;01.01.2022"))</f>
        <v>36500</v>
      </c>
      <c r="V12" s="30">
        <f>+SUMIFS(манзилли!$Y:$Y,манзилли!$J:$J,'свод (соҳа)'!$B12,манзилли!$AA:$AA,"&gt;31.12.2020",манзилли!$AA:$AA,"&lt;01.01.2022")</f>
        <v>1765</v>
      </c>
      <c r="W12" s="28">
        <f t="shared" si="4"/>
        <v>1</v>
      </c>
      <c r="X12" s="86">
        <f t="shared" si="5"/>
        <v>300</v>
      </c>
      <c r="Y12" s="86">
        <f t="shared" si="5"/>
        <v>200</v>
      </c>
      <c r="Z12" s="86">
        <f t="shared" si="5"/>
        <v>100</v>
      </c>
      <c r="AA12" s="86">
        <f t="shared" si="5"/>
        <v>0</v>
      </c>
      <c r="AB12" s="86">
        <f t="shared" si="5"/>
        <v>0</v>
      </c>
      <c r="AC12" s="30">
        <f t="shared" si="5"/>
        <v>5</v>
      </c>
      <c r="AD12" s="28">
        <f>+COUNTIFS(манзилли!$J:$J,'свод (соҳа)'!$B12,манзилли!$AB:$AB,"&gt;31.12.2020",манзилли!$AA:$AA,"&gt;31.12.2020",манзилли!$AA:$AA,"&lt;01.01.2022")</f>
        <v>1</v>
      </c>
      <c r="AE12" s="86">
        <f>(+SUMIFS(манзилли!$L:$L,манзилли!$J:$J,'свод (соҳа)'!$B12,манзилли!$AB:$AB,"&gt;31.12.2020",манзилли!$AA:$AA,"&gt;31.12.2020",манзилли!$AA:$AA,"&lt;01.01.2022"))</f>
        <v>300</v>
      </c>
      <c r="AF12" s="86">
        <f>(+SUMIFS(манзилли!$N:$N,манзилли!$J:$J,'свод (соҳа)'!$B12,манзилли!$AB:$AB,"&gt;31.12.2020",манзилли!$AA:$AA,"&gt;31.12.2020",манзилли!$AA:$AA,"&lt;01.01.2022"))</f>
        <v>200</v>
      </c>
      <c r="AG12" s="86">
        <f>(+SUMIFS(манзилли!$R:$R,манзилли!$J:$J,'свод (соҳа)'!$B12,манзилли!$AB:$AB,"&gt;31.12.2020",манзилли!$AA:$AA,"&gt;31.12.2020",манзилли!$AA:$AA,"&lt;01.01.2022"))</f>
        <v>100</v>
      </c>
      <c r="AH12" s="86">
        <f>(+SUMIFS(манзилли!$T:$T,манзилли!$J:$J,'свод (соҳа)'!$B12,манзилли!$AB:$AB,"&gt;31.12.2020",манзилли!$AA:$AA,"&gt;31.12.2020",манзилли!$AA:$AA,"&lt;01.01.2022"))</f>
        <v>0</v>
      </c>
      <c r="AI12" s="86">
        <f>(+SUMIFS(манзилли!$V:$V,манзилли!$J:$J,'свод (соҳа)'!$B12,манзилли!$AB:$AB,"&gt;31.12.2020",манзилли!$AA:$AA,"&gt;31.12.2020",манзилли!$AA:$AA,"&lt;01.01.2022"))</f>
        <v>0</v>
      </c>
      <c r="AJ12" s="30">
        <f>+SUMIFS(манзилли!$Z:$Z,манзилли!$J:$J,'свод (соҳа)'!$B12,манзилли!$AB:$AB,"&gt;31.12.2020",манзилли!$AA:$AA,"&gt;31.12.2020",манзилли!$AA:$AA,"&lt;01.01.2022")</f>
        <v>5</v>
      </c>
      <c r="AK12" s="28">
        <f>+COUNTIFS('Қўшимча ишга тушган'!$J:$J,'свод (соҳа)'!B12,'Қўшимча ишга тушган'!$AO:$AO,"&lt;01.10.2023")</f>
        <v>0</v>
      </c>
      <c r="AL12" s="86">
        <f>(+SUMIFS('Қўшимча ишга тушган'!$T:$T,'Қўшимча ишга тушган'!$J:$J,'свод (соҳа)'!$B12,'Қўшимча ишга тушган'!$AO:$AO,"&lt;01.10.2023"))</f>
        <v>0</v>
      </c>
      <c r="AM12" s="86">
        <f>(+SUMIFS('Қўшимча ишга тушган'!$V:$V,'Қўшимча ишга тушган'!$J:$J,'свод (соҳа)'!$B12,'Қўшимча ишга тушган'!$AO:$AO,"&lt;01.10.2023"))</f>
        <v>0</v>
      </c>
      <c r="AN12" s="86">
        <f>(+SUMIFS('Қўшимча ишга тушган'!$Z:$Z,'Қўшимча ишга тушган'!$J:$J,'свод (соҳа)'!$B12,'Қўшимча ишга тушган'!$AO:$AO,"&lt;01.10.2023"))</f>
        <v>0</v>
      </c>
      <c r="AO12" s="86">
        <f>(+SUMIFS('Қўшимча ишга тушган'!$AB:$AB,'Қўшимча ишга тушган'!$J:$J,'свод (соҳа)'!$B12,'Қўшимча ишга тушган'!$AO:$AO,"&lt;01.10.2023"))</f>
        <v>0</v>
      </c>
      <c r="AP12" s="86">
        <f>(+SUMIFS('Қўшимча ишга тушган'!$AD:$AD,'Қўшимча ишга тушган'!$J:$J,'свод (соҳа)'!$B12,'Қўшимча ишга тушган'!$AO:$AO,"&lt;01.10.2023"))</f>
        <v>0</v>
      </c>
      <c r="AQ12" s="30">
        <f>+SUMIFS('Қўшимча ишга тушган'!$AM:$AM,'Қўшимча ишга тушган'!$J:$J,'свод (соҳа)'!$B12,'Қўшимча ишга тушган'!$AO:$AO,"&lt;01.10.2023")</f>
        <v>0</v>
      </c>
      <c r="AR12" s="28">
        <f>+COUNTIFS(манзилли!$J:$J,'свод (соҳа)'!$B12,манзилли!$AA:$AA,"&lt;01.02.2021",манзилли!$AB:$AB,"")</f>
        <v>0</v>
      </c>
      <c r="AS12" s="86">
        <f>(+SUMIFS(манзилли!$K:$K,манзилли!$J:$J,'свод (соҳа)'!$B12,манзилли!$AA:$AA,"&lt;01.02.2021",манзилли!$AB:$AB,""))</f>
        <v>0</v>
      </c>
      <c r="AT12" s="86">
        <f>(+SUMIFS(манзилли!$M:$M,манзилли!$J:$J,'свод (соҳа)'!$B12,манзилли!$AA:$AA,"&lt;01.02.2021",манзилли!$AB:$AB,""))</f>
        <v>0</v>
      </c>
      <c r="AU12" s="86">
        <f>(+SUMIFS(манзилли!$Q:$Q,манзилли!$J:$J,'свод (соҳа)'!$B12,манзилли!$AA:$AA,"&lt;01.02.2021",манзилли!$AB:$AB,""))</f>
        <v>0</v>
      </c>
      <c r="AV12" s="86">
        <f>(+SUMIFS(манзилли!$S:$S,манзилли!$J:$J,'свод (соҳа)'!$B12,манзилли!$AA:$AA,"&lt;01.02.2021",манзилли!$AB:$AB,""))</f>
        <v>0</v>
      </c>
      <c r="AW12" s="86">
        <f>(+SUMIFS(манзилли!$U:$U,манзилли!$J:$J,'свод (соҳа)'!$B12,манзилли!$AA:$AA,"&lt;01.02.2021",манзилли!$AB:$AB,""))</f>
        <v>0</v>
      </c>
      <c r="AX12" s="30">
        <f>+SUMIFS(манзилли!$Y:$Y,манзилли!$J:$J,'свод (соҳа)'!$B12,манзилли!$AA:$AA,"&lt;01.02.2021",манзилли!$AB:$AB,"")</f>
        <v>0</v>
      </c>
      <c r="AY12" s="28">
        <f>+COUNTIFS(манзилли!$J:$J,'свод (соҳа)'!$B12,манзилли!$AA:$AA,"&lt;01.01.2022",манзилли!$AB:$AB,"")</f>
        <v>70</v>
      </c>
      <c r="AZ12" s="86">
        <f>(+SUMIFS(манзилли!$K:$K,манзилли!$J:$J,'свод (соҳа)'!$B12,манзилли!$AA:$AA,"&lt;01.01.2022",манзилли!$AB:$AB,""))</f>
        <v>1249349.7578947369</v>
      </c>
      <c r="BA12" s="86">
        <f>(+SUMIFS(манзилли!$M:$M,манзилли!$J:$J,'свод (соҳа)'!$B12,манзилли!$AA:$AA,"&lt;01.01.2022",манзилли!$AB:$AB,""))</f>
        <v>375359.6578947368</v>
      </c>
      <c r="BB12" s="86">
        <f>(+SUMIFS(манзилли!$Q:$Q,манзилли!$J:$J,'свод (соҳа)'!$B12,манзилли!$AA:$AA,"&lt;01.01.2022",манзилли!$AB:$AB,""))</f>
        <v>133905</v>
      </c>
      <c r="BC12" s="86">
        <f>(+SUMIFS(манзилли!$S:$S,манзилли!$J:$J,'свод (соҳа)'!$B12,манзилли!$AA:$AA,"&lt;01.01.2022",манзилли!$AB:$AB,""))</f>
        <v>35317</v>
      </c>
      <c r="BD12" s="86">
        <f>(+SUMIFS(манзилли!$U:$U,манзилли!$J:$J,'свод (соҳа)'!$B12,манзилли!$AA:$AA,"&lt;01.01.2022",манзилли!$AB:$AB,""))</f>
        <v>36500</v>
      </c>
      <c r="BE12" s="30">
        <f>+SUMIFS(манзилли!$Y:$Y,манзилли!$J:$J,'свод (соҳа)'!$B12,манзилли!$AA:$AA,"&lt;01.01.2022",манзилли!$AB:$AB,"")</f>
        <v>1711</v>
      </c>
      <c r="BF12" s="28">
        <f>+COUNTIFS(манзилли!$J:$J,'свод (соҳа)'!$B12,манзилли!$AA:$AA,"&lt;01.01.2023",манзилли!$AA:$AA,"&gt;=01.01.2022")</f>
        <v>23</v>
      </c>
      <c r="BG12" s="86">
        <f>(+SUMIFS(манзилли!$K:$K,манзилли!$J:$J,'свод (соҳа)'!$B12,манзилли!$AA:$AA,"&lt;01.01.2023",манзилли!$AA:$AA,"&gt;=01.01.2022"))</f>
        <v>265960</v>
      </c>
      <c r="BH12" s="86">
        <f>(+SUMIFS(манзилли!$M:$M,манзилли!$J:$J,'свод (соҳа)'!$B12,манзилли!$AA:$AA,"&lt;01.01.2023",манзилли!$AA:$AA,"&gt;=01.01.2022"))</f>
        <v>94810</v>
      </c>
      <c r="BI12" s="86">
        <f>(+SUMIFS(манзилли!$Q:$Q,манзилли!$J:$J,'свод (соҳа)'!$B12,манзилли!$AA:$AA,"&lt;01.01.2023",манзилли!$AA:$AA,"&gt;=01.01.2022"))</f>
        <v>23400</v>
      </c>
      <c r="BJ12" s="86">
        <f>(+SUMIFS(манзилли!$S:$S,манзилли!$J:$J,'свод (соҳа)'!$B12,манзилли!$AA:$AA,"&lt;01.01.2023",манзилли!$AA:$AA,"&gt;=01.01.2022"))</f>
        <v>12000</v>
      </c>
      <c r="BK12" s="86">
        <f>(+SUMIFS(манзилли!$U:$U,манзилли!$J:$J,'свод (соҳа)'!$B12,манзилли!$AA:$AA,"&lt;01.01.2023",манзилли!$AA:$AA,"&gt;=01.01.2022"))</f>
        <v>2500</v>
      </c>
      <c r="BL12" s="30">
        <f>+SUMIFS(манзилли!$Y:$Y,манзилли!$J:$J,'свод (соҳа)'!$B12,манзилли!$AA:$AA,"&lt;01.01.2023",манзилли!$AA:$AA,"&gt;=01.01.2022")</f>
        <v>684</v>
      </c>
    </row>
    <row r="13" spans="1:64" s="3" customFormat="1" ht="35.25" customHeight="1" outlineLevel="1">
      <c r="A13" s="26">
        <f t="shared" si="6"/>
        <v>6</v>
      </c>
      <c r="B13" s="88" t="s">
        <v>43</v>
      </c>
      <c r="C13" s="28">
        <f>+COUNTIFS(манзилли!$J:$J,'свод (соҳа)'!$B13)</f>
        <v>1</v>
      </c>
      <c r="D13" s="86">
        <f>(+SUMIFS(манзилли!$K:$K,манзилли!$J:$J,'свод (соҳа)'!$B13))</f>
        <v>3000</v>
      </c>
      <c r="E13" s="86">
        <f>(+SUMIFS(манзилли!$M:$M,манзилли!$J:$J,'свод (соҳа)'!$B13))</f>
        <v>2000</v>
      </c>
      <c r="F13" s="86">
        <f>(+SUMIFS(манзилли!$Q:$Q,манзилли!$J:$J,'свод (соҳа)'!$B13))</f>
        <v>1000</v>
      </c>
      <c r="G13" s="86">
        <f>(+SUMIFS(манзилли!$S:$S,манзилли!$J:$J,'свод (соҳа)'!$B13))</f>
        <v>0</v>
      </c>
      <c r="H13" s="86">
        <f>(+SUMIFS(манзилли!$U:$U,манзилли!$J:$J,'свод (соҳа)'!$B13))</f>
        <v>0</v>
      </c>
      <c r="I13" s="30">
        <f>+SUMIFS(манзилли!$Y:$Y,манзилли!$J:$J,'свод (соҳа)'!$B13)</f>
        <v>60</v>
      </c>
      <c r="J13" s="28">
        <f>+(COUNTIFS(манзилли!$L:$L,"&gt;0",манзилли!$J:$J,'свод (соҳа)'!$B13)+COUNTIFS('Қўшимча ишга тушган'!$T:$T,"&gt;0",'Қўшимча ишга тушган'!$J:$J,'свод (соҳа)'!$B13))</f>
        <v>1</v>
      </c>
      <c r="K13" s="86">
        <f>(+SUMIFS(манзилли!$L:$L,манзилли!$J:$J,'свод (соҳа)'!$B13)+SUMIFS('Қўшимча ишга тушган'!$T:$T,'Қўшимча ишга тушган'!$J:$J,'свод (соҳа)'!$B13))</f>
        <v>300</v>
      </c>
      <c r="L13" s="86">
        <f>+(SUMIFS(манзилли!$N:$N,манзилли!$J:$J,'свод (соҳа)'!$B13)+SUMIFS('Қўшимча ишга тушган'!$V:$V,'Қўшимча ишга тушган'!$J:$J,'свод (соҳа)'!$B13))</f>
        <v>0</v>
      </c>
      <c r="M13" s="86">
        <f>(+SUMIFS(манзилли!$R:$R,манзилли!$J:$J,'свод (соҳа)'!$B13)+SUMIFS('Қўшимча ишга тушган'!$Z:$Z,'Қўшимча ишга тушган'!$J:$J,'свод (соҳа)'!$B13))</f>
        <v>300</v>
      </c>
      <c r="N13" s="86">
        <f>(+SUMIFS(манзилли!$T:$T,манзилли!$J:$J,'свод (соҳа)'!$B13)+SUMIFS('Қўшимча ишга тушган'!$AB:$AB,'Қўшимча ишга тушган'!$J:$J,'свод (соҳа)'!$B13))</f>
        <v>0</v>
      </c>
      <c r="O13" s="30">
        <f>(+SUMIFS(манзилли!$V:$V,манзилли!$J:$J,'свод (соҳа)'!$B13)+SUMIFS('Қўшимча ишга тушган'!$AD:$AD,'Қўшимча ишга тушган'!$J:$J,'свод (соҳа)'!$B13))</f>
        <v>0</v>
      </c>
      <c r="P13" s="28">
        <f>+COUNTIFS(манзилли!$J:$J,'свод (соҳа)'!$B13,манзилли!$AA:$AA,"&gt;31.12.2020",манзилли!$AA:$AA,"&lt;01.01.2022")</f>
        <v>1</v>
      </c>
      <c r="Q13" s="86">
        <f>(+SUMIFS(манзилли!$K:$K,манзилли!$J:$J,'свод (соҳа)'!$B13,манзилли!$AA:$AA,"&gt;31.12.2020",манзилли!$AA:$AA,"&lt;01.01.2022"))</f>
        <v>3000</v>
      </c>
      <c r="R13" s="86">
        <f>(+SUMIFS(манзилли!$M:$M,манзилли!$J:$J,'свод (соҳа)'!$B13,манзилли!$AA:$AA,"&gt;31.12.2020",манзилли!$AA:$AA,"&lt;01.01.2022"))</f>
        <v>2000</v>
      </c>
      <c r="S13" s="86">
        <f>(+SUMIFS(манзилли!$Q:$Q,манзилли!$J:$J,'свод (соҳа)'!$B13,манзилли!$AA:$AA,"&gt;31.12.2020",манзилли!$AA:$AA,"&lt;01.01.2022"))</f>
        <v>1000</v>
      </c>
      <c r="T13" s="86">
        <f>(+SUMIFS(манзилли!$S:$S,манзилли!$J:$J,'свод (соҳа)'!$B13,манзилли!$AA:$AA,"&gt;31.12.2020",манзилли!$AA:$AA,"&lt;01.01.2022"))</f>
        <v>0</v>
      </c>
      <c r="U13" s="86">
        <f>(+SUMIFS(манзилли!$U:$U,манзилли!$J:$J,'свод (соҳа)'!$B13,манзилли!$AA:$AA,"&gt;31.12.2020",манзилли!$AA:$AA,"&lt;01.01.2022"))</f>
        <v>0</v>
      </c>
      <c r="V13" s="30">
        <f>+SUMIFS(манзилли!$Y:$Y,манзилли!$J:$J,'свод (соҳа)'!$B13,манзилли!$AA:$AA,"&gt;31.12.2020",манзилли!$AA:$AA,"&lt;01.01.2022")</f>
        <v>60</v>
      </c>
      <c r="W13" s="28">
        <f t="shared" si="4"/>
        <v>0</v>
      </c>
      <c r="X13" s="86">
        <f t="shared" si="5"/>
        <v>0</v>
      </c>
      <c r="Y13" s="86">
        <f t="shared" si="5"/>
        <v>0</v>
      </c>
      <c r="Z13" s="86">
        <f t="shared" si="5"/>
        <v>0</v>
      </c>
      <c r="AA13" s="86">
        <f t="shared" si="5"/>
        <v>0</v>
      </c>
      <c r="AB13" s="86">
        <f t="shared" si="5"/>
        <v>0</v>
      </c>
      <c r="AC13" s="30">
        <f t="shared" si="5"/>
        <v>0</v>
      </c>
      <c r="AD13" s="28">
        <f>+COUNTIFS(манзилли!$J:$J,'свод (соҳа)'!$B13,манзилли!$AB:$AB,"&gt;31.12.2020",манзилли!$AA:$AA,"&gt;31.12.2020",манзилли!$AA:$AA,"&lt;01.01.2022")</f>
        <v>0</v>
      </c>
      <c r="AE13" s="86">
        <f>(+SUMIFS(манзилли!$L:$L,манзилли!$J:$J,'свод (соҳа)'!$B13,манзилли!$AB:$AB,"&gt;31.12.2020",манзилли!$AA:$AA,"&gt;31.12.2020",манзилли!$AA:$AA,"&lt;01.01.2022"))</f>
        <v>0</v>
      </c>
      <c r="AF13" s="86">
        <f>(+SUMIFS(манзилли!$N:$N,манзилли!$J:$J,'свод (соҳа)'!$B13,манзилли!$AB:$AB,"&gt;31.12.2020",манзилли!$AA:$AA,"&gt;31.12.2020",манзилли!$AA:$AA,"&lt;01.01.2022"))</f>
        <v>0</v>
      </c>
      <c r="AG13" s="86">
        <f>(+SUMIFS(манзилли!$R:$R,манзилли!$J:$J,'свод (соҳа)'!$B13,манзилли!$AB:$AB,"&gt;31.12.2020",манзилли!$AA:$AA,"&gt;31.12.2020",манзилли!$AA:$AA,"&lt;01.01.2022"))</f>
        <v>0</v>
      </c>
      <c r="AH13" s="86">
        <f>(+SUMIFS(манзилли!$T:$T,манзилли!$J:$J,'свод (соҳа)'!$B13,манзилли!$AB:$AB,"&gt;31.12.2020",манзилли!$AA:$AA,"&gt;31.12.2020",манзилли!$AA:$AA,"&lt;01.01.2022"))</f>
        <v>0</v>
      </c>
      <c r="AI13" s="86">
        <f>(+SUMIFS(манзилли!$V:$V,манзилли!$J:$J,'свод (соҳа)'!$B13,манзилли!$AB:$AB,"&gt;31.12.2020",манзилли!$AA:$AA,"&gt;31.12.2020",манзилли!$AA:$AA,"&lt;01.01.2022"))</f>
        <v>0</v>
      </c>
      <c r="AJ13" s="30">
        <f>+SUMIFS(манзилли!$Z:$Z,манзилли!$J:$J,'свод (соҳа)'!$B13,манзилли!$AB:$AB,"&gt;31.12.2020",манзилли!$AA:$AA,"&gt;31.12.2020",манзилли!$AA:$AA,"&lt;01.01.2022")</f>
        <v>0</v>
      </c>
      <c r="AK13" s="28">
        <f>+COUNTIFS('Қўшимча ишга тушган'!$J:$J,'свод (соҳа)'!B13,'Қўшимча ишга тушган'!$AO:$AO,"&lt;01.10.2023")</f>
        <v>0</v>
      </c>
      <c r="AL13" s="86">
        <f>(+SUMIFS('Қўшимча ишга тушган'!$T:$T,'Қўшимча ишга тушган'!$J:$J,'свод (соҳа)'!$B13,'Қўшимча ишга тушган'!$AO:$AO,"&lt;01.10.2023"))</f>
        <v>0</v>
      </c>
      <c r="AM13" s="86">
        <f>(+SUMIFS('Қўшимча ишга тушган'!$V:$V,'Қўшимча ишга тушган'!$J:$J,'свод (соҳа)'!$B13,'Қўшимча ишга тушган'!$AO:$AO,"&lt;01.10.2023"))</f>
        <v>0</v>
      </c>
      <c r="AN13" s="86">
        <f>(+SUMIFS('Қўшимча ишга тушган'!$Z:$Z,'Қўшимча ишга тушган'!$J:$J,'свод (соҳа)'!$B13,'Қўшимча ишга тушган'!$AO:$AO,"&lt;01.10.2023"))</f>
        <v>0</v>
      </c>
      <c r="AO13" s="86">
        <f>(+SUMIFS('Қўшимча ишга тушган'!$AB:$AB,'Қўшимча ишга тушган'!$J:$J,'свод (соҳа)'!$B13,'Қўшимча ишга тушган'!$AO:$AO,"&lt;01.10.2023"))</f>
        <v>0</v>
      </c>
      <c r="AP13" s="86">
        <f>(+SUMIFS('Қўшимча ишга тушган'!$AD:$AD,'Қўшимча ишга тушган'!$J:$J,'свод (соҳа)'!$B13,'Қўшимча ишга тушган'!$AO:$AO,"&lt;01.10.2023"))</f>
        <v>0</v>
      </c>
      <c r="AQ13" s="30">
        <f>+SUMIFS('Қўшимча ишга тушган'!$AM:$AM,'Қўшимча ишга тушган'!$J:$J,'свод (соҳа)'!$B13,'Қўшимча ишга тушган'!$AO:$AO,"&lt;01.10.2023")</f>
        <v>0</v>
      </c>
      <c r="AR13" s="28">
        <f>+COUNTIFS(манзилли!$J:$J,'свод (соҳа)'!$B13,манзилли!$AA:$AA,"&lt;01.02.2021",манзилли!$AB:$AB,"")</f>
        <v>0</v>
      </c>
      <c r="AS13" s="86">
        <f>(+SUMIFS(манзилли!$K:$K,манзилли!$J:$J,'свод (соҳа)'!$B13,манзилли!$AA:$AA,"&lt;01.02.2021",манзилли!$AB:$AB,""))</f>
        <v>0</v>
      </c>
      <c r="AT13" s="86">
        <f>(+SUMIFS(манзилли!$M:$M,манзилли!$J:$J,'свод (соҳа)'!$B13,манзилли!$AA:$AA,"&lt;01.02.2021",манзилли!$AB:$AB,""))</f>
        <v>0</v>
      </c>
      <c r="AU13" s="86">
        <f>(+SUMIFS(манзилли!$Q:$Q,манзилли!$J:$J,'свод (соҳа)'!$B13,манзилли!$AA:$AA,"&lt;01.02.2021",манзилли!$AB:$AB,""))</f>
        <v>0</v>
      </c>
      <c r="AV13" s="86">
        <f>(+SUMIFS(манзилли!$S:$S,манзилли!$J:$J,'свод (соҳа)'!$B13,манзилли!$AA:$AA,"&lt;01.02.2021",манзилли!$AB:$AB,""))</f>
        <v>0</v>
      </c>
      <c r="AW13" s="86">
        <f>(+SUMIFS(манзилли!$U:$U,манзилли!$J:$J,'свод (соҳа)'!$B13,манзилли!$AA:$AA,"&lt;01.02.2021",манзилли!$AB:$AB,""))</f>
        <v>0</v>
      </c>
      <c r="AX13" s="30">
        <f>+SUMIFS(манзилли!$Y:$Y,манзилли!$J:$J,'свод (соҳа)'!$B13,манзилли!$AA:$AA,"&lt;01.02.2021",манзилли!$AB:$AB,"")</f>
        <v>0</v>
      </c>
      <c r="AY13" s="28">
        <f>+COUNTIFS(манзилли!$J:$J,'свод (соҳа)'!$B13,манзилли!$AA:$AA,"&lt;01.01.2022",манзилли!$AB:$AB,"")</f>
        <v>1</v>
      </c>
      <c r="AZ13" s="86">
        <f>(+SUMIFS(манзилли!$K:$K,манзилли!$J:$J,'свод (соҳа)'!$B13,манзилли!$AA:$AA,"&lt;01.01.2022",манзилли!$AB:$AB,""))</f>
        <v>3000</v>
      </c>
      <c r="BA13" s="86">
        <f>(+SUMIFS(манзилли!$M:$M,манзилли!$J:$J,'свод (соҳа)'!$B13,манзилли!$AA:$AA,"&lt;01.01.2022",манзилли!$AB:$AB,""))</f>
        <v>2000</v>
      </c>
      <c r="BB13" s="86">
        <f>(+SUMIFS(манзилли!$Q:$Q,манзилли!$J:$J,'свод (соҳа)'!$B13,манзилли!$AA:$AA,"&lt;01.01.2022",манзилли!$AB:$AB,""))</f>
        <v>1000</v>
      </c>
      <c r="BC13" s="86">
        <f>(+SUMIFS(манзилли!$S:$S,манзилли!$J:$J,'свод (соҳа)'!$B13,манзилли!$AA:$AA,"&lt;01.01.2022",манзилли!$AB:$AB,""))</f>
        <v>0</v>
      </c>
      <c r="BD13" s="86">
        <f>(+SUMIFS(манзилли!$U:$U,манзилли!$J:$J,'свод (соҳа)'!$B13,манзилли!$AA:$AA,"&lt;01.01.2022",манзилли!$AB:$AB,""))</f>
        <v>0</v>
      </c>
      <c r="BE13" s="30">
        <f>+SUMIFS(манзилли!$Y:$Y,манзилли!$J:$J,'свод (соҳа)'!$B13,манзилли!$AA:$AA,"&lt;01.01.2022",манзилли!$AB:$AB,"")</f>
        <v>60</v>
      </c>
      <c r="BF13" s="28">
        <f>+COUNTIFS(манзилли!$J:$J,'свод (соҳа)'!$B13,манзилли!$AA:$AA,"&lt;01.01.2023",манзилли!$AA:$AA,"&gt;=01.01.2022")</f>
        <v>0</v>
      </c>
      <c r="BG13" s="86">
        <f>(+SUMIFS(манзилли!$K:$K,манзилли!$J:$J,'свод (соҳа)'!$B13,манзилли!$AA:$AA,"&lt;01.01.2023",манзилли!$AA:$AA,"&gt;=01.01.2022"))</f>
        <v>0</v>
      </c>
      <c r="BH13" s="86">
        <f>(+SUMIFS(манзилли!$M:$M,манзилли!$J:$J,'свод (соҳа)'!$B13,манзилли!$AA:$AA,"&lt;01.01.2023",манзилли!$AA:$AA,"&gt;=01.01.2022"))</f>
        <v>0</v>
      </c>
      <c r="BI13" s="86">
        <f>(+SUMIFS(манзилли!$Q:$Q,манзилли!$J:$J,'свод (соҳа)'!$B13,манзилли!$AA:$AA,"&lt;01.01.2023",манзилли!$AA:$AA,"&gt;=01.01.2022"))</f>
        <v>0</v>
      </c>
      <c r="BJ13" s="86">
        <f>(+SUMIFS(манзилли!$S:$S,манзилли!$J:$J,'свод (соҳа)'!$B13,манзилли!$AA:$AA,"&lt;01.01.2023",манзилли!$AA:$AA,"&gt;=01.01.2022"))</f>
        <v>0</v>
      </c>
      <c r="BK13" s="86">
        <f>(+SUMIFS(манзилли!$U:$U,манзилли!$J:$J,'свод (соҳа)'!$B13,манзилли!$AA:$AA,"&lt;01.01.2023",манзилли!$AA:$AA,"&gt;=01.01.2022"))</f>
        <v>0</v>
      </c>
      <c r="BL13" s="30">
        <f>+SUMIFS(манзилли!$Y:$Y,манзилли!$J:$J,'свод (соҳа)'!$B13,манзилли!$AA:$AA,"&lt;01.01.2023",манзилли!$AA:$AA,"&gt;=01.01.2022")</f>
        <v>0</v>
      </c>
    </row>
    <row r="14" spans="1:64" s="3" customFormat="1" ht="35.25" customHeight="1" outlineLevel="1">
      <c r="A14" s="26">
        <f t="shared" si="6"/>
        <v>7</v>
      </c>
      <c r="B14" s="88" t="s">
        <v>11</v>
      </c>
      <c r="C14" s="28">
        <f>+COUNTIFS(манзилли!$J:$J,'свод (соҳа)'!$B14)</f>
        <v>12</v>
      </c>
      <c r="D14" s="86">
        <f>(+SUMIFS(манзилли!$K:$K,манзилли!$J:$J,'свод (соҳа)'!$B14))</f>
        <v>19960</v>
      </c>
      <c r="E14" s="86">
        <f>(+SUMIFS(манзилли!$M:$M,манзилли!$J:$J,'свод (соҳа)'!$B14))</f>
        <v>6400</v>
      </c>
      <c r="F14" s="86">
        <f>(+SUMIFS(манзилли!$Q:$Q,манзилли!$J:$J,'свод (соҳа)'!$B14))</f>
        <v>11500</v>
      </c>
      <c r="G14" s="86">
        <f>(+SUMIFS(манзилли!$S:$S,манзилли!$J:$J,'свод (соҳа)'!$B14))</f>
        <v>200</v>
      </c>
      <c r="H14" s="86">
        <f>(+SUMIFS(манзилли!$U:$U,манзилли!$J:$J,'свод (соҳа)'!$B14))</f>
        <v>0</v>
      </c>
      <c r="I14" s="30">
        <f>+SUMIFS(манзилли!$Y:$Y,манзилли!$J:$J,'свод (соҳа)'!$B14)</f>
        <v>106</v>
      </c>
      <c r="J14" s="28">
        <f>+(COUNTIFS(манзилли!$L:$L,"&gt;0",манзилли!$J:$J,'свод (соҳа)'!$B14)+COUNTIFS('Қўшимча ишга тушган'!$T:$T,"&gt;0",'Қўшимча ишга тушган'!$J:$J,'свод (соҳа)'!$B14))</f>
        <v>9</v>
      </c>
      <c r="K14" s="86">
        <f>(+SUMIFS(манзилли!$L:$L,манзилли!$J:$J,'свод (соҳа)'!$B14)+SUMIFS('Қўшимча ишга тушган'!$T:$T,'Қўшимча ишга тушган'!$J:$J,'свод (соҳа)'!$B14))</f>
        <v>8360</v>
      </c>
      <c r="L14" s="86">
        <f>+(SUMIFS(манзилли!$N:$N,манзилли!$J:$J,'свод (соҳа)'!$B14)+SUMIFS('Қўшимча ишга тушган'!$V:$V,'Қўшимча ишга тушган'!$J:$J,'свод (соҳа)'!$B14))</f>
        <v>1300</v>
      </c>
      <c r="M14" s="86">
        <f>(+SUMIFS(манзилли!$R:$R,манзилли!$J:$J,'свод (соҳа)'!$B14)+SUMIFS('Қўшимча ишга тушган'!$Z:$Z,'Қўшимча ишга тушган'!$J:$J,'свод (соҳа)'!$B14))</f>
        <v>4510</v>
      </c>
      <c r="N14" s="86">
        <f>(+SUMIFS(манзилли!$T:$T,манзилли!$J:$J,'свод (соҳа)'!$B14)+SUMIFS('Қўшимча ишга тушган'!$AB:$AB,'Қўшимча ишга тушган'!$J:$J,'свод (соҳа)'!$B14))</f>
        <v>250</v>
      </c>
      <c r="O14" s="30">
        <f>(+SUMIFS(манзилли!$V:$V,манзилли!$J:$J,'свод (соҳа)'!$B14)+SUMIFS('Қўшимча ишга тушган'!$AD:$AD,'Қўшимча ишга тушган'!$J:$J,'свод (соҳа)'!$B14))</f>
        <v>0</v>
      </c>
      <c r="P14" s="28">
        <f>+COUNTIFS(манзилли!$J:$J,'свод (соҳа)'!$B14,манзилли!$AA:$AA,"&gt;31.12.2020",манзилли!$AA:$AA,"&lt;01.01.2022")</f>
        <v>10</v>
      </c>
      <c r="Q14" s="86">
        <f>(+SUMIFS(манзилли!$K:$K,манзилли!$J:$J,'свод (соҳа)'!$B14,манзилли!$AA:$AA,"&gt;31.12.2020",манзилли!$AA:$AA,"&lt;01.01.2022"))</f>
        <v>15160</v>
      </c>
      <c r="R14" s="86">
        <f>(+SUMIFS(манзилли!$M:$M,манзилли!$J:$J,'свод (соҳа)'!$B14,манзилли!$AA:$AA,"&gt;31.12.2020",манзилли!$AA:$AA,"&lt;01.01.2022"))</f>
        <v>4900</v>
      </c>
      <c r="S14" s="86">
        <f>(+SUMIFS(манзилли!$Q:$Q,манзилли!$J:$J,'свод (соҳа)'!$B14,манзилли!$AA:$AA,"&gt;31.12.2020",манзилли!$AA:$AA,"&lt;01.01.2022"))</f>
        <v>8200</v>
      </c>
      <c r="T14" s="86">
        <f>(+SUMIFS(манзилли!$S:$S,манзилли!$J:$J,'свод (соҳа)'!$B14,манзилли!$AA:$AA,"&gt;31.12.2020",манзилли!$AA:$AA,"&lt;01.01.2022"))</f>
        <v>200</v>
      </c>
      <c r="U14" s="86">
        <f>(+SUMIFS(манзилли!$U:$U,манзилли!$J:$J,'свод (соҳа)'!$B14,манзилли!$AA:$AA,"&gt;31.12.2020",манзилли!$AA:$AA,"&lt;01.01.2022"))</f>
        <v>0</v>
      </c>
      <c r="V14" s="30">
        <f>+SUMIFS(манзилли!$Y:$Y,манзилли!$J:$J,'свод (соҳа)'!$B14,манзилли!$AA:$AA,"&gt;31.12.2020",манзилли!$AA:$AA,"&lt;01.01.2022")</f>
        <v>89</v>
      </c>
      <c r="W14" s="28">
        <f t="shared" si="4"/>
        <v>1</v>
      </c>
      <c r="X14" s="86">
        <f t="shared" si="5"/>
        <v>400</v>
      </c>
      <c r="Y14" s="86">
        <f t="shared" si="5"/>
        <v>400</v>
      </c>
      <c r="Z14" s="86">
        <f t="shared" si="5"/>
        <v>0</v>
      </c>
      <c r="AA14" s="86">
        <f t="shared" si="5"/>
        <v>0</v>
      </c>
      <c r="AB14" s="86">
        <f t="shared" si="5"/>
        <v>0</v>
      </c>
      <c r="AC14" s="30">
        <f t="shared" si="5"/>
        <v>1</v>
      </c>
      <c r="AD14" s="28">
        <f>+COUNTIFS(манзилли!$J:$J,'свод (соҳа)'!$B14,манзилли!$AB:$AB,"&gt;31.12.2020",манзилли!$AA:$AA,"&gt;31.12.2020",манзилли!$AA:$AA,"&lt;01.01.2022")</f>
        <v>1</v>
      </c>
      <c r="AE14" s="86">
        <f>(+SUMIFS(манзилли!$L:$L,манзилли!$J:$J,'свод (соҳа)'!$B14,манзилли!$AB:$AB,"&gt;31.12.2020",манзилли!$AA:$AA,"&gt;31.12.2020",манзилли!$AA:$AA,"&lt;01.01.2022"))</f>
        <v>400</v>
      </c>
      <c r="AF14" s="86">
        <f>(+SUMIFS(манзилли!$N:$N,манзилли!$J:$J,'свод (соҳа)'!$B14,манзилли!$AB:$AB,"&gt;31.12.2020",манзилли!$AA:$AA,"&gt;31.12.2020",манзилли!$AA:$AA,"&lt;01.01.2022"))</f>
        <v>400</v>
      </c>
      <c r="AG14" s="86">
        <f>(+SUMIFS(манзилли!$R:$R,манзилли!$J:$J,'свод (соҳа)'!$B14,манзилли!$AB:$AB,"&gt;31.12.2020",манзилли!$AA:$AA,"&gt;31.12.2020",манзилли!$AA:$AA,"&lt;01.01.2022"))</f>
        <v>0</v>
      </c>
      <c r="AH14" s="86">
        <f>(+SUMIFS(манзилли!$T:$T,манзилли!$J:$J,'свод (соҳа)'!$B14,манзилли!$AB:$AB,"&gt;31.12.2020",манзилли!$AA:$AA,"&gt;31.12.2020",манзилли!$AA:$AA,"&lt;01.01.2022"))</f>
        <v>0</v>
      </c>
      <c r="AI14" s="86">
        <f>(+SUMIFS(манзилли!$V:$V,манзилли!$J:$J,'свод (соҳа)'!$B14,манзилли!$AB:$AB,"&gt;31.12.2020",манзилли!$AA:$AA,"&gt;31.12.2020",манзилли!$AA:$AA,"&lt;01.01.2022"))</f>
        <v>0</v>
      </c>
      <c r="AJ14" s="30">
        <f>+SUMIFS(манзилли!$Z:$Z,манзилли!$J:$J,'свод (соҳа)'!$B14,манзилли!$AB:$AB,"&gt;31.12.2020",манзилли!$AA:$AA,"&gt;31.12.2020",манзилли!$AA:$AA,"&lt;01.01.2022")</f>
        <v>1</v>
      </c>
      <c r="AK14" s="28">
        <f>+COUNTIFS('Қўшимча ишга тушган'!$J:$J,'свод (соҳа)'!B14,'Қўшимча ишга тушган'!$AO:$AO,"&lt;01.10.2023")</f>
        <v>0</v>
      </c>
      <c r="AL14" s="86">
        <f>(+SUMIFS('Қўшимча ишга тушган'!$T:$T,'Қўшимча ишга тушган'!$J:$J,'свод (соҳа)'!$B14,'Қўшимча ишга тушган'!$AO:$AO,"&lt;01.10.2023"))</f>
        <v>0</v>
      </c>
      <c r="AM14" s="86">
        <f>(+SUMIFS('Қўшимча ишга тушган'!$V:$V,'Қўшимча ишга тушган'!$J:$J,'свод (соҳа)'!$B14,'Қўшимча ишга тушган'!$AO:$AO,"&lt;01.10.2023"))</f>
        <v>0</v>
      </c>
      <c r="AN14" s="86">
        <f>(+SUMIFS('Қўшимча ишга тушган'!$Z:$Z,'Қўшимча ишга тушган'!$J:$J,'свод (соҳа)'!$B14,'Қўшимча ишга тушган'!$AO:$AO,"&lt;01.10.2023"))</f>
        <v>0</v>
      </c>
      <c r="AO14" s="86">
        <f>(+SUMIFS('Қўшимча ишга тушган'!$AB:$AB,'Қўшимча ишга тушган'!$J:$J,'свод (соҳа)'!$B14,'Қўшимча ишга тушган'!$AO:$AO,"&lt;01.10.2023"))</f>
        <v>0</v>
      </c>
      <c r="AP14" s="86">
        <f>(+SUMIFS('Қўшимча ишга тушган'!$AD:$AD,'Қўшимча ишга тушган'!$J:$J,'свод (соҳа)'!$B14,'Қўшимча ишга тушган'!$AO:$AO,"&lt;01.10.2023"))</f>
        <v>0</v>
      </c>
      <c r="AQ14" s="30">
        <f>+SUMIFS('Қўшимча ишга тушган'!$AM:$AM,'Қўшимча ишга тушган'!$J:$J,'свод (соҳа)'!$B14,'Қўшимча ишга тушган'!$AO:$AO,"&lt;01.10.2023")</f>
        <v>0</v>
      </c>
      <c r="AR14" s="28">
        <f>+COUNTIFS(манзилли!$J:$J,'свод (соҳа)'!$B14,манзилли!$AA:$AA,"&lt;01.02.2021",манзилли!$AB:$AB,"")</f>
        <v>0</v>
      </c>
      <c r="AS14" s="86">
        <f>(+SUMIFS(манзилли!$K:$K,манзилли!$J:$J,'свод (соҳа)'!$B14,манзилли!$AA:$AA,"&lt;01.02.2021",манзилли!$AB:$AB,""))</f>
        <v>0</v>
      </c>
      <c r="AT14" s="86">
        <f>(+SUMIFS(манзилли!$M:$M,манзилли!$J:$J,'свод (соҳа)'!$B14,манзилли!$AA:$AA,"&lt;01.02.2021",манзилли!$AB:$AB,""))</f>
        <v>0</v>
      </c>
      <c r="AU14" s="86">
        <f>(+SUMIFS(манзилли!$Q:$Q,манзилли!$J:$J,'свод (соҳа)'!$B14,манзилли!$AA:$AA,"&lt;01.02.2021",манзилли!$AB:$AB,""))</f>
        <v>0</v>
      </c>
      <c r="AV14" s="86">
        <f>(+SUMIFS(манзилли!$S:$S,манзилли!$J:$J,'свод (соҳа)'!$B14,манзилли!$AA:$AA,"&lt;01.02.2021",манзилли!$AB:$AB,""))</f>
        <v>0</v>
      </c>
      <c r="AW14" s="86">
        <f>(+SUMIFS(манзилли!$U:$U,манзилли!$J:$J,'свод (соҳа)'!$B14,манзилли!$AA:$AA,"&lt;01.02.2021",манзилли!$AB:$AB,""))</f>
        <v>0</v>
      </c>
      <c r="AX14" s="30">
        <f>+SUMIFS(манзилли!$Y:$Y,манзилли!$J:$J,'свод (соҳа)'!$B14,манзилли!$AA:$AA,"&lt;01.02.2021",манзилли!$AB:$AB,"")</f>
        <v>0</v>
      </c>
      <c r="AY14" s="28">
        <f>+COUNTIFS(манзилли!$J:$J,'свод (соҳа)'!$B14,манзилли!$AA:$AA,"&lt;01.01.2022",манзилли!$AB:$AB,"")</f>
        <v>8</v>
      </c>
      <c r="AZ14" s="86">
        <f>(+SUMIFS(манзилли!$K:$K,манзилли!$J:$J,'свод (соҳа)'!$B14,манзилли!$AA:$AA,"&lt;01.01.2022",манзилли!$AB:$AB,""))</f>
        <v>13460</v>
      </c>
      <c r="BA14" s="86">
        <f>(+SUMIFS(манзилли!$M:$M,манзилли!$J:$J,'свод (соҳа)'!$B14,манзилли!$AA:$AA,"&lt;01.01.2022",манзилли!$AB:$AB,""))</f>
        <v>4000</v>
      </c>
      <c r="BB14" s="86">
        <f>(+SUMIFS(манзилли!$Q:$Q,манзилли!$J:$J,'свод (соҳа)'!$B14,манзилли!$AA:$AA,"&lt;01.01.2022",манзилли!$AB:$AB,""))</f>
        <v>7400</v>
      </c>
      <c r="BC14" s="86">
        <f>(+SUMIFS(манзилли!$S:$S,манзилли!$J:$J,'свод (соҳа)'!$B14,манзилли!$AA:$AA,"&lt;01.01.2022",манзилли!$AB:$AB,""))</f>
        <v>200</v>
      </c>
      <c r="BD14" s="86">
        <f>(+SUMIFS(манзилли!$U:$U,манзилли!$J:$J,'свод (соҳа)'!$B14,манзилли!$AA:$AA,"&lt;01.01.2022",манзилли!$AB:$AB,""))</f>
        <v>0</v>
      </c>
      <c r="BE14" s="30">
        <f>+SUMIFS(манзилли!$Y:$Y,манзилли!$J:$J,'свод (соҳа)'!$B14,манзилли!$AA:$AA,"&lt;01.01.2022",манзилли!$AB:$AB,"")</f>
        <v>81</v>
      </c>
      <c r="BF14" s="28">
        <f>+COUNTIFS(манзилли!$J:$J,'свод (соҳа)'!$B14,манзилли!$AA:$AA,"&lt;01.01.2023",манзилли!$AA:$AA,"&gt;=01.01.2022")</f>
        <v>1</v>
      </c>
      <c r="BG14" s="86">
        <f>(+SUMIFS(манзилли!$K:$K,манзилли!$J:$J,'свод (соҳа)'!$B14,манзилли!$AA:$AA,"&lt;01.01.2023",манзилли!$AA:$AA,"&gt;=01.01.2022"))</f>
        <v>4000</v>
      </c>
      <c r="BH14" s="86">
        <f>(+SUMIFS(манзилли!$M:$M,манзилли!$J:$J,'свод (соҳа)'!$B14,манзилли!$AA:$AA,"&lt;01.01.2023",манзилли!$AA:$AA,"&gt;=01.01.2022"))</f>
        <v>1000</v>
      </c>
      <c r="BI14" s="86">
        <f>(+SUMIFS(манзилли!$Q:$Q,манзилли!$J:$J,'свод (соҳа)'!$B14,манзилли!$AA:$AA,"&lt;01.01.2023",манзилли!$AA:$AA,"&gt;=01.01.2022"))</f>
        <v>3000</v>
      </c>
      <c r="BJ14" s="86">
        <f>(+SUMIFS(манзилли!$S:$S,манзилли!$J:$J,'свод (соҳа)'!$B14,манзилли!$AA:$AA,"&lt;01.01.2023",манзилли!$AA:$AA,"&gt;=01.01.2022"))</f>
        <v>0</v>
      </c>
      <c r="BK14" s="86">
        <f>(+SUMIFS(манзилли!$U:$U,манзилли!$J:$J,'свод (соҳа)'!$B14,манзилли!$AA:$AA,"&lt;01.01.2023",манзилли!$AA:$AA,"&gt;=01.01.2022"))</f>
        <v>0</v>
      </c>
      <c r="BL14" s="30">
        <f>+SUMIFS(манзилли!$Y:$Y,манзилли!$J:$J,'свод (соҳа)'!$B14,манзилли!$AA:$AA,"&lt;01.01.2023",манзилли!$AA:$AA,"&gt;=01.01.2022")</f>
        <v>15</v>
      </c>
    </row>
    <row r="15" spans="1:64" s="3" customFormat="1" ht="35.25" customHeight="1" outlineLevel="1">
      <c r="A15" s="26">
        <f t="shared" si="6"/>
        <v>8</v>
      </c>
      <c r="B15" s="88" t="s">
        <v>53</v>
      </c>
      <c r="C15" s="28">
        <f>+COUNTIFS(манзилли!$J:$J,'свод (соҳа)'!$B15)</f>
        <v>2</v>
      </c>
      <c r="D15" s="86">
        <f>(+SUMIFS(манзилли!$K:$K,манзилли!$J:$J,'свод (соҳа)'!$B15))</f>
        <v>5700</v>
      </c>
      <c r="E15" s="86">
        <f>(+SUMIFS(манзилли!$M:$M,манзилли!$J:$J,'свод (соҳа)'!$B15))</f>
        <v>2900</v>
      </c>
      <c r="F15" s="86">
        <f>(+SUMIFS(манзилли!$Q:$Q,манзилли!$J:$J,'свод (соҳа)'!$B15))</f>
        <v>2800</v>
      </c>
      <c r="G15" s="86">
        <f>(+SUMIFS(манзилли!$S:$S,манзилли!$J:$J,'свод (соҳа)'!$B15))</f>
        <v>0</v>
      </c>
      <c r="H15" s="86">
        <f>(+SUMIFS(манзилли!$U:$U,манзилли!$J:$J,'свод (соҳа)'!$B15))</f>
        <v>0</v>
      </c>
      <c r="I15" s="30">
        <f>+SUMIFS(манзилли!$Y:$Y,манзилли!$J:$J,'свод (соҳа)'!$B15)</f>
        <v>7</v>
      </c>
      <c r="J15" s="28">
        <f>+(COUNTIFS(манзилли!$L:$L,"&gt;0",манзилли!$J:$J,'свод (соҳа)'!$B15)+COUNTIFS('Қўшимча ишга тушган'!$T:$T,"&gt;0",'Қўшимча ишга тушган'!$J:$J,'свод (соҳа)'!$B15))</f>
        <v>2</v>
      </c>
      <c r="K15" s="86">
        <f>(+SUMIFS(манзилли!$L:$L,манзилли!$J:$J,'свод (соҳа)'!$B15)+SUMIFS('Қўшимча ишга тушган'!$T:$T,'Қўшимча ишга тушган'!$J:$J,'свод (соҳа)'!$B15))</f>
        <v>4700</v>
      </c>
      <c r="L15" s="86">
        <f>+(SUMIFS(манзилли!$N:$N,манзилли!$J:$J,'свод (соҳа)'!$B15)+SUMIFS('Қўшимча ишга тушган'!$V:$V,'Қўшимча ишга тушган'!$J:$J,'свод (соҳа)'!$B15))</f>
        <v>3700</v>
      </c>
      <c r="M15" s="86">
        <f>(+SUMIFS(манзилли!$R:$R,манзилли!$J:$J,'свод (соҳа)'!$B15)+SUMIFS('Қўшимча ишга тушган'!$Z:$Z,'Қўшимча ишга тушган'!$J:$J,'свод (соҳа)'!$B15))</f>
        <v>1000</v>
      </c>
      <c r="N15" s="86">
        <f>(+SUMIFS(манзилли!$T:$T,манзилли!$J:$J,'свод (соҳа)'!$B15)+SUMIFS('Қўшимча ишга тушган'!$AB:$AB,'Қўшимча ишга тушган'!$J:$J,'свод (соҳа)'!$B15))</f>
        <v>0</v>
      </c>
      <c r="O15" s="30">
        <f>(+SUMIFS(манзилли!$V:$V,манзилли!$J:$J,'свод (соҳа)'!$B15)+SUMIFS('Қўшимча ишга тушган'!$AD:$AD,'Қўшимча ишга тушган'!$J:$J,'свод (соҳа)'!$B15))</f>
        <v>0</v>
      </c>
      <c r="P15" s="32">
        <f>+COUNTIFS(манзилли!$J:$J,'свод (соҳа)'!$B15,манзилли!$AA:$AA,"&gt;31.12.2020",манзилли!$AA:$AA,"&lt;01.01.2022")</f>
        <v>1</v>
      </c>
      <c r="Q15" s="86">
        <f>(+SUMIFS(манзилли!$K:$K,манзилли!$J:$J,'свод (соҳа)'!$B15,манзилли!$AA:$AA,"&gt;31.12.2020",манзилли!$AA:$AA,"&lt;01.01.2022"))</f>
        <v>5000</v>
      </c>
      <c r="R15" s="90">
        <f>(+SUMIFS(манзилли!$M:$M,манзилли!$J:$J,'свод (соҳа)'!$B15,манзилли!$AA:$AA,"&gt;31.12.2020",манзилли!$AA:$AA,"&lt;01.01.2022"))</f>
        <v>2500</v>
      </c>
      <c r="S15" s="90">
        <f>(+SUMIFS(манзилли!$Q:$Q,манзилли!$J:$J,'свод (соҳа)'!$B15,манзилли!$AA:$AA,"&gt;31.12.2020",манзилли!$AA:$AA,"&lt;01.01.2022"))</f>
        <v>2500</v>
      </c>
      <c r="T15" s="90">
        <f>(+SUMIFS(манзилли!$S:$S,манзилли!$J:$J,'свод (соҳа)'!$B15,манзилли!$AA:$AA,"&gt;31.12.2020",манзилли!$AA:$AA,"&lt;01.01.2022"))</f>
        <v>0</v>
      </c>
      <c r="U15" s="90">
        <f>(+SUMIFS(манзилли!$U:$U,манзилли!$J:$J,'свод (соҳа)'!$B15,манзилли!$AA:$AA,"&gt;31.12.2020",манзилли!$AA:$AA,"&lt;01.01.2022"))</f>
        <v>0</v>
      </c>
      <c r="V15" s="34">
        <f>+SUMIFS(манзилли!$Y:$Y,манзилли!$J:$J,'свод (соҳа)'!$B15,манзилли!$AA:$AA,"&gt;31.12.2020",манзилли!$AA:$AA,"&lt;01.01.2022")</f>
        <v>4</v>
      </c>
      <c r="W15" s="28">
        <f t="shared" si="4"/>
        <v>1</v>
      </c>
      <c r="X15" s="86">
        <f t="shared" si="5"/>
        <v>4000</v>
      </c>
      <c r="Y15" s="86">
        <f t="shared" si="5"/>
        <v>3300</v>
      </c>
      <c r="Z15" s="86">
        <f t="shared" si="5"/>
        <v>700</v>
      </c>
      <c r="AA15" s="86">
        <f t="shared" si="5"/>
        <v>0</v>
      </c>
      <c r="AB15" s="86">
        <f t="shared" si="5"/>
        <v>0</v>
      </c>
      <c r="AC15" s="30">
        <f t="shared" si="5"/>
        <v>4</v>
      </c>
      <c r="AD15" s="28">
        <f>+COUNTIFS(манзилли!$J:$J,'свод (соҳа)'!$B15,манзилли!$AB:$AB,"&gt;31.12.2020",манзилли!$AA:$AA,"&gt;31.12.2020",манзилли!$AA:$AA,"&lt;01.01.2022")</f>
        <v>1</v>
      </c>
      <c r="AE15" s="86">
        <f>(+SUMIFS(манзилли!$L:$L,манзилли!$J:$J,'свод (соҳа)'!$B15,манзилли!$AB:$AB,"&gt;31.12.2020",манзилли!$AA:$AA,"&gt;31.12.2020",манзилли!$AA:$AA,"&lt;01.01.2022"))</f>
        <v>4000</v>
      </c>
      <c r="AF15" s="86">
        <f>(+SUMIFS(манзилли!$N:$N,манзилли!$J:$J,'свод (соҳа)'!$B15,манзилли!$AB:$AB,"&gt;31.12.2020",манзилли!$AA:$AA,"&gt;31.12.2020",манзилли!$AA:$AA,"&lt;01.01.2022"))</f>
        <v>3300</v>
      </c>
      <c r="AG15" s="86">
        <f>(+SUMIFS(манзилли!$R:$R,манзилли!$J:$J,'свод (соҳа)'!$B15,манзилли!$AB:$AB,"&gt;31.12.2020",манзилли!$AA:$AA,"&gt;31.12.2020",манзилли!$AA:$AA,"&lt;01.01.2022"))</f>
        <v>700</v>
      </c>
      <c r="AH15" s="86">
        <f>(+SUMIFS(манзилли!$T:$T,манзилли!$J:$J,'свод (соҳа)'!$B15,манзилли!$AB:$AB,"&gt;31.12.2020",манзилли!$AA:$AA,"&gt;31.12.2020",манзилли!$AA:$AA,"&lt;01.01.2022"))</f>
        <v>0</v>
      </c>
      <c r="AI15" s="86">
        <f>(+SUMIFS(манзилли!$V:$V,манзилли!$J:$J,'свод (соҳа)'!$B15,манзилли!$AB:$AB,"&gt;31.12.2020",манзилли!$AA:$AA,"&gt;31.12.2020",манзилли!$AA:$AA,"&lt;01.01.2022"))</f>
        <v>0</v>
      </c>
      <c r="AJ15" s="30">
        <f>+SUMIFS(манзилли!$Z:$Z,манзилли!$J:$J,'свод (соҳа)'!$B15,манзилли!$AB:$AB,"&gt;31.12.2020",манзилли!$AA:$AA,"&gt;31.12.2020",манзилли!$AA:$AA,"&lt;01.01.2022")</f>
        <v>4</v>
      </c>
      <c r="AK15" s="28">
        <f>+COUNTIFS('Қўшимча ишга тушган'!$J:$J,'свод (соҳа)'!B15,'Қўшимча ишга тушган'!$AO:$AO,"&lt;01.10.2023")</f>
        <v>0</v>
      </c>
      <c r="AL15" s="86">
        <f>(+SUMIFS('Қўшимча ишга тушган'!$T:$T,'Қўшимча ишга тушган'!$J:$J,'свод (соҳа)'!$B15,'Қўшимча ишга тушган'!$AO:$AO,"&lt;01.10.2023"))</f>
        <v>0</v>
      </c>
      <c r="AM15" s="86">
        <f>(+SUMIFS('Қўшимча ишга тушган'!$V:$V,'Қўшимча ишга тушган'!$J:$J,'свод (соҳа)'!$B15,'Қўшимча ишга тушган'!$AO:$AO,"&lt;01.10.2023"))</f>
        <v>0</v>
      </c>
      <c r="AN15" s="86">
        <f>(+SUMIFS('Қўшимча ишга тушган'!$Z:$Z,'Қўшимча ишга тушган'!$J:$J,'свод (соҳа)'!$B15,'Қўшимча ишга тушган'!$AO:$AO,"&lt;01.10.2023"))</f>
        <v>0</v>
      </c>
      <c r="AO15" s="86">
        <f>(+SUMIFS('Қўшимча ишга тушган'!$AB:$AB,'Қўшимча ишга тушган'!$J:$J,'свод (соҳа)'!$B15,'Қўшимча ишга тушган'!$AO:$AO,"&lt;01.10.2023"))</f>
        <v>0</v>
      </c>
      <c r="AP15" s="86">
        <f>(+SUMIFS('Қўшимча ишга тушган'!$AD:$AD,'Қўшимча ишга тушган'!$J:$J,'свод (соҳа)'!$B15,'Қўшимча ишга тушган'!$AO:$AO,"&lt;01.10.2023"))</f>
        <v>0</v>
      </c>
      <c r="AQ15" s="30">
        <f>+SUMIFS('Қўшимча ишга тушган'!$AM:$AM,'Қўшимча ишга тушган'!$J:$J,'свод (соҳа)'!$B15,'Қўшимча ишга тушган'!$AO:$AO,"&lt;01.10.2023")</f>
        <v>0</v>
      </c>
      <c r="AR15" s="28">
        <f>+COUNTIFS(манзилли!$J:$J,'свод (соҳа)'!$B15,манзилли!$AA:$AA,"&lt;01.02.2021",манзилли!$AB:$AB,"")</f>
        <v>0</v>
      </c>
      <c r="AS15" s="86">
        <f>(+SUMIFS(манзилли!$K:$K,манзилли!$J:$J,'свод (соҳа)'!$B15,манзилли!$AA:$AA,"&lt;01.02.2021",манзилли!$AB:$AB,""))</f>
        <v>0</v>
      </c>
      <c r="AT15" s="86">
        <f>(+SUMIFS(манзилли!$M:$M,манзилли!$J:$J,'свод (соҳа)'!$B15,манзилли!$AA:$AA,"&lt;01.02.2021",манзилли!$AB:$AB,""))</f>
        <v>0</v>
      </c>
      <c r="AU15" s="86">
        <f>(+SUMIFS(манзилли!$Q:$Q,манзилли!$J:$J,'свод (соҳа)'!$B15,манзилли!$AA:$AA,"&lt;01.02.2021",манзилли!$AB:$AB,""))</f>
        <v>0</v>
      </c>
      <c r="AV15" s="86">
        <f>(+SUMIFS(манзилли!$S:$S,манзилли!$J:$J,'свод (соҳа)'!$B15,манзилли!$AA:$AA,"&lt;01.02.2021",манзилли!$AB:$AB,""))</f>
        <v>0</v>
      </c>
      <c r="AW15" s="86">
        <f>(+SUMIFS(манзилли!$U:$U,манзилли!$J:$J,'свод (соҳа)'!$B15,манзилли!$AA:$AA,"&lt;01.02.2021",манзилли!$AB:$AB,""))</f>
        <v>0</v>
      </c>
      <c r="AX15" s="30">
        <f>+SUMIFS(манзилли!$Y:$Y,манзилли!$J:$J,'свод (соҳа)'!$B15,манзилли!$AA:$AA,"&lt;01.02.2021",манзилли!$AB:$AB,"")</f>
        <v>0</v>
      </c>
      <c r="AY15" s="28">
        <f>+COUNTIFS(манзилли!$J:$J,'свод (соҳа)'!$B15,манзилли!$AA:$AA,"&lt;01.01.2022",манзилли!$AB:$AB,"")</f>
        <v>0</v>
      </c>
      <c r="AZ15" s="86">
        <f>(+SUMIFS(манзилли!$K:$K,манзилли!$J:$J,'свод (соҳа)'!$B15,манзилли!$AA:$AA,"&lt;01.01.2022",манзилли!$AB:$AB,""))</f>
        <v>0</v>
      </c>
      <c r="BA15" s="86">
        <f>(+SUMIFS(манзилли!$M:$M,манзилли!$J:$J,'свод (соҳа)'!$B15,манзилли!$AA:$AA,"&lt;01.01.2022",манзилли!$AB:$AB,""))</f>
        <v>0</v>
      </c>
      <c r="BB15" s="86">
        <f>(+SUMIFS(манзилли!$Q:$Q,манзилли!$J:$J,'свод (соҳа)'!$B15,манзилли!$AA:$AA,"&lt;01.01.2022",манзилли!$AB:$AB,""))</f>
        <v>0</v>
      </c>
      <c r="BC15" s="86">
        <f>(+SUMIFS(манзилли!$S:$S,манзилли!$J:$J,'свод (соҳа)'!$B15,манзилли!$AA:$AA,"&lt;01.01.2022",манзилли!$AB:$AB,""))</f>
        <v>0</v>
      </c>
      <c r="BD15" s="86">
        <f>(+SUMIFS(манзилли!$U:$U,манзилли!$J:$J,'свод (соҳа)'!$B15,манзилли!$AA:$AA,"&lt;01.01.2022",манзилли!$AB:$AB,""))</f>
        <v>0</v>
      </c>
      <c r="BE15" s="30">
        <f>+SUMIFS(манзилли!$Y:$Y,манзилли!$J:$J,'свод (соҳа)'!$B15,манзилли!$AA:$AA,"&lt;01.01.2022",манзилли!$AB:$AB,"")</f>
        <v>0</v>
      </c>
      <c r="BF15" s="32">
        <f>+COUNTIFS(манзилли!$J:$J,'свод (соҳа)'!$B15,манзилли!$AA:$AA,"&lt;01.01.2023",манзилли!$AA:$AA,"&gt;=01.01.2022")</f>
        <v>0</v>
      </c>
      <c r="BG15" s="86">
        <f>(+SUMIFS(манзилли!$K:$K,манзилли!$J:$J,'свод (соҳа)'!$B15,манзилли!$AA:$AA,"&lt;01.01.2023",манзилли!$AA:$AA,"&gt;=01.01.2022"))</f>
        <v>0</v>
      </c>
      <c r="BH15" s="90">
        <f>(+SUMIFS(манзилли!$M:$M,манзилли!$J:$J,'свод (соҳа)'!$B15,манзилли!$AA:$AA,"&lt;01.01.2023",манзилли!$AA:$AA,"&gt;=01.01.2022"))</f>
        <v>0</v>
      </c>
      <c r="BI15" s="90">
        <f>(+SUMIFS(манзилли!$Q:$Q,манзилли!$J:$J,'свод (соҳа)'!$B15,манзилли!$AA:$AA,"&lt;01.01.2023",манзилли!$AA:$AA,"&gt;=01.01.2022"))</f>
        <v>0</v>
      </c>
      <c r="BJ15" s="90">
        <f>(+SUMIFS(манзилли!$S:$S,манзилли!$J:$J,'свод (соҳа)'!$B15,манзилли!$AA:$AA,"&lt;01.01.2023",манзилли!$AA:$AA,"&gt;=01.01.2022"))</f>
        <v>0</v>
      </c>
      <c r="BK15" s="90">
        <f>(+SUMIFS(манзилли!$U:$U,манзилли!$J:$J,'свод (соҳа)'!$B15,манзилли!$AA:$AA,"&lt;01.01.2023",манзилли!$AA:$AA,"&gt;=01.01.2022"))</f>
        <v>0</v>
      </c>
      <c r="BL15" s="34">
        <f>+SUMIFS(манзилли!$Y:$Y,манзилли!$J:$J,'свод (соҳа)'!$B15,манзилли!$AA:$AA,"&lt;01.01.2023",манзилли!$AA:$AA,"&gt;=01.01.2022")</f>
        <v>0</v>
      </c>
    </row>
    <row r="16" spans="1:64" s="3" customFormat="1" ht="35.25" customHeight="1" outlineLevel="1">
      <c r="A16" s="26">
        <f t="shared" si="6"/>
        <v>9</v>
      </c>
      <c r="B16" s="88" t="s">
        <v>13</v>
      </c>
      <c r="C16" s="28">
        <f>+COUNTIFS(манзилли!$J:$J,'свод (соҳа)'!$B16)</f>
        <v>77</v>
      </c>
      <c r="D16" s="86">
        <f>(+SUMIFS(манзилли!$K:$K,манзилли!$J:$J,'свод (соҳа)'!$B16))</f>
        <v>511491</v>
      </c>
      <c r="E16" s="86">
        <f>(+SUMIFS(манзилли!$M:$M,манзилли!$J:$J,'свод (соҳа)'!$B16))</f>
        <v>154567.5</v>
      </c>
      <c r="F16" s="86">
        <f>(+SUMIFS(манзилли!$Q:$Q,манзилли!$J:$J,'свод (соҳа)'!$B16))</f>
        <v>100898</v>
      </c>
      <c r="G16" s="86">
        <f>(+SUMIFS(манзилли!$S:$S,манзилли!$J:$J,'свод (соҳа)'!$B16))</f>
        <v>18035</v>
      </c>
      <c r="H16" s="86">
        <f>(+SUMIFS(манзилли!$U:$U,манзилли!$J:$J,'свод (соҳа)'!$B16))</f>
        <v>6750</v>
      </c>
      <c r="I16" s="30">
        <f>+SUMIFS(манзилли!$Y:$Y,манзилли!$J:$J,'свод (соҳа)'!$B16)</f>
        <v>1550</v>
      </c>
      <c r="J16" s="28">
        <f>+(COUNTIFS(манзилли!$L:$L,"&gt;0",манзилли!$J:$J,'свод (соҳа)'!$B16)+COUNTIFS('Қўшимча ишга тушган'!$T:$T,"&gt;0",'Қўшимча ишга тушган'!$J:$J,'свод (соҳа)'!$B16))</f>
        <v>44</v>
      </c>
      <c r="K16" s="86">
        <f>(+SUMIFS(манзилли!$L:$L,манзилли!$J:$J,'свод (соҳа)'!$B16)+SUMIFS('Қўшимча ишга тушган'!$T:$T,'Қўшимча ишга тушган'!$J:$J,'свод (соҳа)'!$B16))</f>
        <v>127268.4</v>
      </c>
      <c r="L16" s="86">
        <f>+(SUMIFS(манзилли!$N:$N,манзилли!$J:$J,'свод (соҳа)'!$B16)+SUMIFS('Қўшимча ишга тушган'!$V:$V,'Қўшимча ишга тушган'!$J:$J,'свод (соҳа)'!$B16))</f>
        <v>10497.1</v>
      </c>
      <c r="M16" s="86">
        <f>(+SUMIFS(манзилли!$R:$R,манзилли!$J:$J,'свод (соҳа)'!$B16)+SUMIFS('Қўшимча ишга тушган'!$Z:$Z,'Қўшимча ишга тушган'!$J:$J,'свод (соҳа)'!$B16))</f>
        <v>25249.5</v>
      </c>
      <c r="N16" s="86">
        <f>(+SUMIFS(манзилли!$T:$T,манзилли!$J:$J,'свод (соҳа)'!$B16)+SUMIFS('Қўшимча ишга тушган'!$AB:$AB,'Қўшимча ишга тушган'!$J:$J,'свод (соҳа)'!$B16))</f>
        <v>8988</v>
      </c>
      <c r="O16" s="30">
        <f>(+SUMIFS(манзилли!$V:$V,манзилли!$J:$J,'свод (соҳа)'!$B16)+SUMIFS('Қўшимча ишга тушган'!$AD:$AD,'Қўшимча ишга тушган'!$J:$J,'свод (соҳа)'!$B16))</f>
        <v>0</v>
      </c>
      <c r="P16" s="28">
        <f>+COUNTIFS(манзилли!$J:$J,'свод (соҳа)'!$B16,манзилли!$AA:$AA,"&gt;31.12.2020",манзилли!$AA:$AA,"&lt;01.01.2022")</f>
        <v>57</v>
      </c>
      <c r="Q16" s="86">
        <f>(+SUMIFS(манзилли!$K:$K,манзилли!$J:$J,'свод (соҳа)'!$B16,манзилли!$AA:$AA,"&gt;31.12.2020",манзилли!$AA:$AA,"&lt;01.01.2022"))</f>
        <v>375179.5</v>
      </c>
      <c r="R16" s="86">
        <f>(+SUMIFS(манзилли!$M:$M,манзилли!$J:$J,'свод (соҳа)'!$B16,манзилли!$AA:$AA,"&gt;31.12.2020",манзилли!$AA:$AA,"&lt;01.01.2022"))</f>
        <v>122347.5</v>
      </c>
      <c r="S16" s="86">
        <f>(+SUMIFS(манзилли!$Q:$Q,манзилли!$J:$J,'свод (соҳа)'!$B16,манзилли!$AA:$AA,"&gt;31.12.2020",манзилли!$AA:$AA,"&lt;01.01.2022"))</f>
        <v>72243</v>
      </c>
      <c r="T16" s="86">
        <f>(+SUMIFS(манзилли!$S:$S,манзилли!$J:$J,'свод (соҳа)'!$B16,манзилли!$AA:$AA,"&gt;31.12.2020",манзилли!$AA:$AA,"&lt;01.01.2022"))</f>
        <v>12080</v>
      </c>
      <c r="U16" s="86">
        <f>(+SUMIFS(манзилли!$U:$U,манзилли!$J:$J,'свод (соҳа)'!$B16,манзилли!$AA:$AA,"&gt;31.12.2020",манзилли!$AA:$AA,"&lt;01.01.2022"))</f>
        <v>5350</v>
      </c>
      <c r="V16" s="30">
        <f>+SUMIFS(манзилли!$Y:$Y,манзилли!$J:$J,'свод (соҳа)'!$B16,манзилли!$AA:$AA,"&gt;31.12.2020",манзилли!$AA:$AA,"&lt;01.01.2022")</f>
        <v>1209</v>
      </c>
      <c r="W16" s="28">
        <f t="shared" si="4"/>
        <v>1</v>
      </c>
      <c r="X16" s="86">
        <f t="shared" si="5"/>
        <v>180</v>
      </c>
      <c r="Y16" s="86">
        <f t="shared" si="5"/>
        <v>50</v>
      </c>
      <c r="Z16" s="86">
        <f t="shared" si="5"/>
        <v>130</v>
      </c>
      <c r="AA16" s="86">
        <f t="shared" si="5"/>
        <v>0</v>
      </c>
      <c r="AB16" s="86">
        <f t="shared" si="5"/>
        <v>0</v>
      </c>
      <c r="AC16" s="30">
        <f t="shared" si="5"/>
        <v>2</v>
      </c>
      <c r="AD16" s="28">
        <f>+COUNTIFS(манзилли!$J:$J,'свод (соҳа)'!$B16,манзилли!$AB:$AB,"&gt;31.12.2020",манзилли!$AA:$AA,"&gt;31.12.2020",манзилли!$AA:$AA,"&lt;01.01.2022")</f>
        <v>1</v>
      </c>
      <c r="AE16" s="86">
        <f>(+SUMIFS(манзилли!$L:$L,манзилли!$J:$J,'свод (соҳа)'!$B16,манзилли!$AB:$AB,"&gt;31.12.2020",манзилли!$AA:$AA,"&gt;31.12.2020",манзилли!$AA:$AA,"&lt;01.01.2022"))</f>
        <v>180</v>
      </c>
      <c r="AF16" s="86">
        <f>(+SUMIFS(манзилли!$N:$N,манзилли!$J:$J,'свод (соҳа)'!$B16,манзилли!$AB:$AB,"&gt;31.12.2020",манзилли!$AA:$AA,"&gt;31.12.2020",манзилли!$AA:$AA,"&lt;01.01.2022"))</f>
        <v>50</v>
      </c>
      <c r="AG16" s="86">
        <f>(+SUMIFS(манзилли!$R:$R,манзилли!$J:$J,'свод (соҳа)'!$B16,манзилли!$AB:$AB,"&gt;31.12.2020",манзилли!$AA:$AA,"&gt;31.12.2020",манзилли!$AA:$AA,"&lt;01.01.2022"))</f>
        <v>130</v>
      </c>
      <c r="AH16" s="86">
        <f>(+SUMIFS(манзилли!$T:$T,манзилли!$J:$J,'свод (соҳа)'!$B16,манзилли!$AB:$AB,"&gt;31.12.2020",манзилли!$AA:$AA,"&gt;31.12.2020",манзилли!$AA:$AA,"&lt;01.01.2022"))</f>
        <v>0</v>
      </c>
      <c r="AI16" s="86">
        <f>(+SUMIFS(манзилли!$V:$V,манзилли!$J:$J,'свод (соҳа)'!$B16,манзилли!$AB:$AB,"&gt;31.12.2020",манзилли!$AA:$AA,"&gt;31.12.2020",манзилли!$AA:$AA,"&lt;01.01.2022"))</f>
        <v>0</v>
      </c>
      <c r="AJ16" s="30">
        <f>+SUMIFS(манзилли!$Z:$Z,манзилли!$J:$J,'свод (соҳа)'!$B16,манзилли!$AB:$AB,"&gt;31.12.2020",манзилли!$AA:$AA,"&gt;31.12.2020",манзилли!$AA:$AA,"&lt;01.01.2022")</f>
        <v>2</v>
      </c>
      <c r="AK16" s="28">
        <f>+COUNTIFS('Қўшимча ишга тушган'!$J:$J,'свод (соҳа)'!B16,'Қўшимча ишга тушган'!$AO:$AO,"&lt;01.10.2023")</f>
        <v>0</v>
      </c>
      <c r="AL16" s="86">
        <f>(+SUMIFS('Қўшимча ишга тушган'!$T:$T,'Қўшимча ишга тушган'!$J:$J,'свод (соҳа)'!$B16,'Қўшимча ишга тушган'!$AO:$AO,"&lt;01.10.2023"))</f>
        <v>0</v>
      </c>
      <c r="AM16" s="86">
        <f>(+SUMIFS('Қўшимча ишга тушган'!$V:$V,'Қўшимча ишга тушган'!$J:$J,'свод (соҳа)'!$B16,'Қўшимча ишга тушган'!$AO:$AO,"&lt;01.10.2023"))</f>
        <v>0</v>
      </c>
      <c r="AN16" s="86">
        <f>(+SUMIFS('Қўшимча ишга тушган'!$Z:$Z,'Қўшимча ишга тушган'!$J:$J,'свод (соҳа)'!$B16,'Қўшимча ишга тушган'!$AO:$AO,"&lt;01.10.2023"))</f>
        <v>0</v>
      </c>
      <c r="AO16" s="86">
        <f>(+SUMIFS('Қўшимча ишга тушган'!$AB:$AB,'Қўшимча ишга тушган'!$J:$J,'свод (соҳа)'!$B16,'Қўшимча ишга тушган'!$AO:$AO,"&lt;01.10.2023"))</f>
        <v>0</v>
      </c>
      <c r="AP16" s="86">
        <f>(+SUMIFS('Қўшимча ишга тушган'!$AD:$AD,'Қўшимча ишга тушган'!$J:$J,'свод (соҳа)'!$B16,'Қўшимча ишга тушган'!$AO:$AO,"&lt;01.10.2023"))</f>
        <v>0</v>
      </c>
      <c r="AQ16" s="30">
        <f>+SUMIFS('Қўшимча ишга тушган'!$AM:$AM,'Қўшимча ишга тушган'!$J:$J,'свод (соҳа)'!$B16,'Қўшимча ишга тушган'!$AO:$AO,"&lt;01.10.2023")</f>
        <v>0</v>
      </c>
      <c r="AR16" s="28">
        <f>+COUNTIFS(манзилли!$J:$J,'свод (соҳа)'!$B16,манзилли!$AA:$AA,"&lt;01.02.2021",манзилли!$AB:$AB,"")</f>
        <v>0</v>
      </c>
      <c r="AS16" s="86">
        <f>(+SUMIFS(манзилли!$K:$K,манзилли!$J:$J,'свод (соҳа)'!$B16,манзилли!$AA:$AA,"&lt;01.02.2021",манзилли!$AB:$AB,""))</f>
        <v>0</v>
      </c>
      <c r="AT16" s="86">
        <f>(+SUMIFS(манзилли!$M:$M,манзилли!$J:$J,'свод (соҳа)'!$B16,манзилли!$AA:$AA,"&lt;01.02.2021",манзилли!$AB:$AB,""))</f>
        <v>0</v>
      </c>
      <c r="AU16" s="86">
        <f>(+SUMIFS(манзилли!$Q:$Q,манзилли!$J:$J,'свод (соҳа)'!$B16,манзилли!$AA:$AA,"&lt;01.02.2021",манзилли!$AB:$AB,""))</f>
        <v>0</v>
      </c>
      <c r="AV16" s="86">
        <f>(+SUMIFS(манзилли!$S:$S,манзилли!$J:$J,'свод (соҳа)'!$B16,манзилли!$AA:$AA,"&lt;01.02.2021",манзилли!$AB:$AB,""))</f>
        <v>0</v>
      </c>
      <c r="AW16" s="86">
        <f>(+SUMIFS(манзилли!$U:$U,манзилли!$J:$J,'свод (соҳа)'!$B16,манзилли!$AA:$AA,"&lt;01.02.2021",манзилли!$AB:$AB,""))</f>
        <v>0</v>
      </c>
      <c r="AX16" s="30">
        <f>+SUMIFS(манзилли!$Y:$Y,манзилли!$J:$J,'свод (соҳа)'!$B16,манзилли!$AA:$AA,"&lt;01.02.2021",манзилли!$AB:$AB,"")</f>
        <v>0</v>
      </c>
      <c r="AY16" s="28">
        <f>+COUNTIFS(манзилли!$J:$J,'свод (соҳа)'!$B16,манзилли!$AA:$AA,"&lt;01.01.2022",манзилли!$AB:$AB,"")</f>
        <v>48</v>
      </c>
      <c r="AZ16" s="86">
        <f>(+SUMIFS(манзилли!$K:$K,манзилли!$J:$J,'свод (соҳа)'!$B16,манзилли!$AA:$AA,"&lt;01.01.2022",манзилли!$AB:$AB,""))</f>
        <v>362247.7</v>
      </c>
      <c r="BA16" s="86">
        <f>(+SUMIFS(манзилли!$M:$M,манзилли!$J:$J,'свод (соҳа)'!$B16,манзилли!$AA:$AA,"&lt;01.01.2022",манзилли!$AB:$AB,""))</f>
        <v>117147.5</v>
      </c>
      <c r="BB16" s="86">
        <f>(+SUMIFS(манзилли!$Q:$Q,манзилли!$J:$J,'свод (соҳа)'!$B16,манзилли!$AA:$AA,"&lt;01.01.2022",манзилли!$AB:$AB,""))</f>
        <v>68590</v>
      </c>
      <c r="BC16" s="86">
        <f>(+SUMIFS(манзилли!$S:$S,манзилли!$J:$J,'свод (соҳа)'!$B16,манзилли!$AA:$AA,"&lt;01.01.2022",манзилли!$AB:$AB,""))</f>
        <v>11684</v>
      </c>
      <c r="BD16" s="86">
        <f>(+SUMIFS(манзилли!$U:$U,манзилли!$J:$J,'свод (соҳа)'!$B16,манзилли!$AA:$AA,"&lt;01.01.2022",манзилли!$AB:$AB,""))</f>
        <v>5350</v>
      </c>
      <c r="BE16" s="30">
        <f>+SUMIFS(манзилли!$Y:$Y,манзилли!$J:$J,'свод (соҳа)'!$B16,манзилли!$AA:$AA,"&lt;01.01.2022",манзилли!$AB:$AB,"")</f>
        <v>1155</v>
      </c>
      <c r="BF16" s="28">
        <f>+COUNTIFS(манзилли!$J:$J,'свод (соҳа)'!$B16,манзилли!$AA:$AA,"&lt;01.01.2023",манзилли!$AA:$AA,"&gt;=01.01.2022")</f>
        <v>11</v>
      </c>
      <c r="BG16" s="86">
        <f>(+SUMIFS(манзилли!$K:$K,манзилли!$J:$J,'свод (соҳа)'!$B16,манзилли!$AA:$AA,"&lt;01.01.2023",манзилли!$AA:$AA,"&gt;=01.01.2022"))</f>
        <v>130247</v>
      </c>
      <c r="BH16" s="86">
        <f>(+SUMIFS(манзилли!$M:$M,манзилли!$J:$J,'свод (соҳа)'!$B16,манзилли!$AA:$AA,"&lt;01.01.2023",манзилли!$AA:$AA,"&gt;=01.01.2022"))</f>
        <v>30240</v>
      </c>
      <c r="BI16" s="86">
        <f>(+SUMIFS(манзилли!$Q:$Q,манзилли!$J:$J,'свод (соҳа)'!$B16,манзилли!$AA:$AA,"&lt;01.01.2023",манзилли!$AA:$AA,"&gt;=01.01.2022"))</f>
        <v>25240</v>
      </c>
      <c r="BJ16" s="86">
        <f>(+SUMIFS(манзилли!$S:$S,манзилли!$J:$J,'свод (соҳа)'!$B16,манзилли!$AA:$AA,"&lt;01.01.2023",манзилли!$AA:$AA,"&gt;=01.01.2022"))</f>
        <v>5890</v>
      </c>
      <c r="BK16" s="86">
        <f>(+SUMIFS(манзилли!$U:$U,манзилли!$J:$J,'свод (соҳа)'!$B16,манзилли!$AA:$AA,"&lt;01.01.2023",манзилли!$AA:$AA,"&gt;=01.01.2022"))</f>
        <v>1400</v>
      </c>
      <c r="BL16" s="30">
        <f>+SUMIFS(манзилли!$Y:$Y,манзилли!$J:$J,'свод (соҳа)'!$B16,манзилли!$AA:$AA,"&lt;01.01.2023",манзилли!$AA:$AA,"&gt;=01.01.2022")</f>
        <v>291</v>
      </c>
    </row>
    <row r="17" spans="1:64" s="3" customFormat="1" ht="35.25" customHeight="1" outlineLevel="1">
      <c r="A17" s="26">
        <f t="shared" si="6"/>
        <v>10</v>
      </c>
      <c r="B17" s="88" t="s">
        <v>54</v>
      </c>
      <c r="C17" s="28">
        <f>+COUNTIFS(манзилли!$J:$J,'свод (соҳа)'!$B17)</f>
        <v>7</v>
      </c>
      <c r="D17" s="86">
        <f>(+SUMIFS(манзилли!$K:$K,манзилли!$J:$J,'свод (соҳа)'!$B17))</f>
        <v>59130.5</v>
      </c>
      <c r="E17" s="86">
        <f>(+SUMIFS(манзилли!$M:$M,манзилли!$J:$J,'свод (соҳа)'!$B17))</f>
        <v>9863</v>
      </c>
      <c r="F17" s="86">
        <f>(+SUMIFS(манзилли!$Q:$Q,манзилли!$J:$J,'свод (соҳа)'!$B17))</f>
        <v>3690</v>
      </c>
      <c r="G17" s="86">
        <f>(+SUMIFS(манзилли!$S:$S,манзилли!$J:$J,'свод (соҳа)'!$B17))</f>
        <v>4425</v>
      </c>
      <c r="H17" s="86">
        <f>(+SUMIFS(манзилли!$U:$U,манзилли!$J:$J,'свод (соҳа)'!$B17))</f>
        <v>0</v>
      </c>
      <c r="I17" s="30">
        <f>+SUMIFS(манзилли!$Y:$Y,манзилли!$J:$J,'свод (соҳа)'!$B17)</f>
        <v>192</v>
      </c>
      <c r="J17" s="28">
        <f>+(COUNTIFS(манзилли!$L:$L,"&gt;0",манзилли!$J:$J,'свод (соҳа)'!$B17)+COUNTIFS('Қўшимча ишга тушган'!$T:$T,"&gt;0",'Қўшимча ишга тушган'!$J:$J,'свод (соҳа)'!$B17))</f>
        <v>5</v>
      </c>
      <c r="K17" s="86">
        <f>(+SUMIFS(манзилли!$L:$L,манзилли!$J:$J,'свод (соҳа)'!$B17)+SUMIFS('Қўшимча ишга тушган'!$T:$T,'Қўшимча ишга тушган'!$J:$J,'свод (соҳа)'!$B17))</f>
        <v>17291.68</v>
      </c>
      <c r="L17" s="86">
        <f>+(SUMIFS(манзилли!$N:$N,манзилли!$J:$J,'свод (соҳа)'!$B17)+SUMIFS('Қўшимча ишга тушган'!$V:$V,'Қўшимча ишга тушган'!$J:$J,'свод (соҳа)'!$B17))</f>
        <v>1600</v>
      </c>
      <c r="M17" s="86">
        <f>(+SUMIFS(манзилли!$R:$R,манзилли!$J:$J,'свод (соҳа)'!$B17)+SUMIFS('Қўшимча ишга тушган'!$Z:$Z,'Қўшимча ишга тушган'!$J:$J,'свод (соҳа)'!$B17))</f>
        <v>0</v>
      </c>
      <c r="N17" s="86">
        <f>(+SUMIFS(манзилли!$T:$T,манзилли!$J:$J,'свод (соҳа)'!$B17)+SUMIFS('Қўшимча ишга тушган'!$AB:$AB,'Қўшимча ишга тушган'!$J:$J,'свод (соҳа)'!$B17))</f>
        <v>1538.4</v>
      </c>
      <c r="O17" s="30">
        <f>(+SUMIFS(манзилли!$V:$V,манзилли!$J:$J,'свод (соҳа)'!$B17)+SUMIFS('Қўшимча ишга тушган'!$AD:$AD,'Қўшимча ишга тушган'!$J:$J,'свод (соҳа)'!$B17))</f>
        <v>0</v>
      </c>
      <c r="P17" s="28">
        <f>+COUNTIFS(манзилли!$J:$J,'свод (соҳа)'!$B17,манзилли!$AA:$AA,"&gt;31.12.2020",манзилли!$AA:$AA,"&lt;01.01.2022")</f>
        <v>7</v>
      </c>
      <c r="Q17" s="86">
        <f>(+SUMIFS(манзилли!$K:$K,манзилли!$J:$J,'свод (соҳа)'!$B17,манзилли!$AA:$AA,"&gt;31.12.2020",манзилли!$AA:$AA,"&lt;01.01.2022"))</f>
        <v>59130.5</v>
      </c>
      <c r="R17" s="86">
        <f>(+SUMIFS(манзилли!$M:$M,манзилли!$J:$J,'свод (соҳа)'!$B17,манзилли!$AA:$AA,"&gt;31.12.2020",манзилли!$AA:$AA,"&lt;01.01.2022"))</f>
        <v>9863</v>
      </c>
      <c r="S17" s="86">
        <f>(+SUMIFS(манзилли!$Q:$Q,манзилли!$J:$J,'свод (соҳа)'!$B17,манзилли!$AA:$AA,"&gt;31.12.2020",манзилли!$AA:$AA,"&lt;01.01.2022"))</f>
        <v>3690</v>
      </c>
      <c r="T17" s="86">
        <f>(+SUMIFS(манзилли!$S:$S,манзилли!$J:$J,'свод (соҳа)'!$B17,манзилли!$AA:$AA,"&gt;31.12.2020",манзилли!$AA:$AA,"&lt;01.01.2022"))</f>
        <v>4425</v>
      </c>
      <c r="U17" s="86">
        <f>(+SUMIFS(манзилли!$U:$U,манзилли!$J:$J,'свод (соҳа)'!$B17,манзилли!$AA:$AA,"&gt;31.12.2020",манзилли!$AA:$AA,"&lt;01.01.2022"))</f>
        <v>0</v>
      </c>
      <c r="V17" s="30">
        <f>+SUMIFS(манзилли!$Y:$Y,манзилли!$J:$J,'свод (соҳа)'!$B17,манзилли!$AA:$AA,"&gt;31.12.2020",манзилли!$AA:$AA,"&lt;01.01.2022")</f>
        <v>192</v>
      </c>
      <c r="W17" s="28">
        <f t="shared" si="4"/>
        <v>0</v>
      </c>
      <c r="X17" s="86">
        <f t="shared" si="5"/>
        <v>0</v>
      </c>
      <c r="Y17" s="86">
        <f t="shared" si="5"/>
        <v>0</v>
      </c>
      <c r="Z17" s="86">
        <f t="shared" si="5"/>
        <v>0</v>
      </c>
      <c r="AA17" s="86">
        <f t="shared" si="5"/>
        <v>0</v>
      </c>
      <c r="AB17" s="86">
        <f t="shared" si="5"/>
        <v>0</v>
      </c>
      <c r="AC17" s="30">
        <f t="shared" si="5"/>
        <v>0</v>
      </c>
      <c r="AD17" s="28">
        <f>+COUNTIFS(манзилли!$J:$J,'свод (соҳа)'!$B17,манзилли!$AB:$AB,"&gt;31.12.2020",манзилли!$AA:$AA,"&gt;31.12.2020",манзилли!$AA:$AA,"&lt;01.01.2022")</f>
        <v>0</v>
      </c>
      <c r="AE17" s="86">
        <f>(+SUMIFS(манзилли!$L:$L,манзилли!$J:$J,'свод (соҳа)'!$B17,манзилли!$AB:$AB,"&gt;31.12.2020",манзилли!$AA:$AA,"&gt;31.12.2020",манзилли!$AA:$AA,"&lt;01.01.2022"))</f>
        <v>0</v>
      </c>
      <c r="AF17" s="86">
        <f>(+SUMIFS(манзилли!$N:$N,манзилли!$J:$J,'свод (соҳа)'!$B17,манзилли!$AB:$AB,"&gt;31.12.2020",манзилли!$AA:$AA,"&gt;31.12.2020",манзилли!$AA:$AA,"&lt;01.01.2022"))</f>
        <v>0</v>
      </c>
      <c r="AG17" s="86">
        <f>(+SUMIFS(манзилли!$R:$R,манзилли!$J:$J,'свод (соҳа)'!$B17,манзилли!$AB:$AB,"&gt;31.12.2020",манзилли!$AA:$AA,"&gt;31.12.2020",манзилли!$AA:$AA,"&lt;01.01.2022"))</f>
        <v>0</v>
      </c>
      <c r="AH17" s="86">
        <f>(+SUMIFS(манзилли!$T:$T,манзилли!$J:$J,'свод (соҳа)'!$B17,манзилли!$AB:$AB,"&gt;31.12.2020",манзилли!$AA:$AA,"&gt;31.12.2020",манзилли!$AA:$AA,"&lt;01.01.2022"))</f>
        <v>0</v>
      </c>
      <c r="AI17" s="86">
        <f>(+SUMIFS(манзилли!$V:$V,манзилли!$J:$J,'свод (соҳа)'!$B17,манзилли!$AB:$AB,"&gt;31.12.2020",манзилли!$AA:$AA,"&gt;31.12.2020",манзилли!$AA:$AA,"&lt;01.01.2022"))</f>
        <v>0</v>
      </c>
      <c r="AJ17" s="30">
        <f>+SUMIFS(манзилли!$Z:$Z,манзилли!$J:$J,'свод (соҳа)'!$B17,манзилли!$AB:$AB,"&gt;31.12.2020",манзилли!$AA:$AA,"&gt;31.12.2020",манзилли!$AA:$AA,"&lt;01.01.2022")</f>
        <v>0</v>
      </c>
      <c r="AK17" s="28">
        <f>+COUNTIFS('Қўшимча ишга тушган'!$J:$J,'свод (соҳа)'!B17,'Қўшимча ишга тушган'!$AO:$AO,"&lt;01.10.2023")</f>
        <v>0</v>
      </c>
      <c r="AL17" s="86">
        <f>(+SUMIFS('Қўшимча ишга тушган'!$T:$T,'Қўшимча ишга тушган'!$J:$J,'свод (соҳа)'!$B17,'Қўшимча ишга тушган'!$AO:$AO,"&lt;01.10.2023"))</f>
        <v>0</v>
      </c>
      <c r="AM17" s="86">
        <f>(+SUMIFS('Қўшимча ишга тушган'!$V:$V,'Қўшимча ишга тушган'!$J:$J,'свод (соҳа)'!$B17,'Қўшимча ишга тушган'!$AO:$AO,"&lt;01.10.2023"))</f>
        <v>0</v>
      </c>
      <c r="AN17" s="86">
        <f>(+SUMIFS('Қўшимча ишга тушган'!$Z:$Z,'Қўшимча ишга тушган'!$J:$J,'свод (соҳа)'!$B17,'Қўшимча ишга тушган'!$AO:$AO,"&lt;01.10.2023"))</f>
        <v>0</v>
      </c>
      <c r="AO17" s="86">
        <f>(+SUMIFS('Қўшимча ишга тушган'!$AB:$AB,'Қўшимча ишга тушган'!$J:$J,'свод (соҳа)'!$B17,'Қўшимча ишга тушган'!$AO:$AO,"&lt;01.10.2023"))</f>
        <v>0</v>
      </c>
      <c r="AP17" s="86">
        <f>(+SUMIFS('Қўшимча ишга тушган'!$AD:$AD,'Қўшимча ишга тушган'!$J:$J,'свод (соҳа)'!$B17,'Қўшимча ишга тушган'!$AO:$AO,"&lt;01.10.2023"))</f>
        <v>0</v>
      </c>
      <c r="AQ17" s="30">
        <f>+SUMIFS('Қўшимча ишга тушган'!$AM:$AM,'Қўшимча ишга тушган'!$J:$J,'свод (соҳа)'!$B17,'Қўшимча ишга тушган'!$AO:$AO,"&lt;01.10.2023")</f>
        <v>0</v>
      </c>
      <c r="AR17" s="28">
        <f>+COUNTIFS(манзилли!$J:$J,'свод (соҳа)'!$B17,манзилли!$AA:$AA,"&lt;01.02.2021",манзилли!$AB:$AB,"")</f>
        <v>0</v>
      </c>
      <c r="AS17" s="86">
        <f>(+SUMIFS(манзилли!$K:$K,манзилли!$J:$J,'свод (соҳа)'!$B17,манзилли!$AA:$AA,"&lt;01.02.2021",манзилли!$AB:$AB,""))</f>
        <v>0</v>
      </c>
      <c r="AT17" s="86">
        <f>(+SUMIFS(манзилли!$M:$M,манзилли!$J:$J,'свод (соҳа)'!$B17,манзилли!$AA:$AA,"&lt;01.02.2021",манзилли!$AB:$AB,""))</f>
        <v>0</v>
      </c>
      <c r="AU17" s="86">
        <f>(+SUMIFS(манзилли!$Q:$Q,манзилли!$J:$J,'свод (соҳа)'!$B17,манзилли!$AA:$AA,"&lt;01.02.2021",манзилли!$AB:$AB,""))</f>
        <v>0</v>
      </c>
      <c r="AV17" s="86">
        <f>(+SUMIFS(манзилли!$S:$S,манзилли!$J:$J,'свод (соҳа)'!$B17,манзилли!$AA:$AA,"&lt;01.02.2021",манзилли!$AB:$AB,""))</f>
        <v>0</v>
      </c>
      <c r="AW17" s="86">
        <f>(+SUMIFS(манзилли!$U:$U,манзилли!$J:$J,'свод (соҳа)'!$B17,манзилли!$AA:$AA,"&lt;01.02.2021",манзилли!$AB:$AB,""))</f>
        <v>0</v>
      </c>
      <c r="AX17" s="30">
        <f>+SUMIFS(манзилли!$Y:$Y,манзилли!$J:$J,'свод (соҳа)'!$B17,манзилли!$AA:$AA,"&lt;01.02.2021",манзилли!$AB:$AB,"")</f>
        <v>0</v>
      </c>
      <c r="AY17" s="28">
        <f>+COUNTIFS(манзилли!$J:$J,'свод (соҳа)'!$B17,манзилли!$AA:$AA,"&lt;01.01.2022",манзилли!$AB:$AB,"")</f>
        <v>6</v>
      </c>
      <c r="AZ17" s="86">
        <f>(+SUMIFS(манзилли!$K:$K,манзилли!$J:$J,'свод (соҳа)'!$B17,манзилли!$AA:$AA,"&lt;01.01.2022",манзилли!$AB:$AB,""))</f>
        <v>55040.5</v>
      </c>
      <c r="BA17" s="86">
        <f>(+SUMIFS(манзилли!$M:$M,манзилли!$J:$J,'свод (соҳа)'!$B17,манзилли!$AA:$AA,"&lt;01.01.2022",манзилли!$AB:$AB,""))</f>
        <v>8263</v>
      </c>
      <c r="BB17" s="86">
        <f>(+SUMIFS(манзилли!$Q:$Q,манзилли!$J:$J,'свод (соҳа)'!$B17,манзилли!$AA:$AA,"&lt;01.01.2022",манзилли!$AB:$AB,""))</f>
        <v>1200</v>
      </c>
      <c r="BC17" s="86">
        <f>(+SUMIFS(манзилли!$S:$S,манзилли!$J:$J,'свод (соҳа)'!$B17,манзилли!$AA:$AA,"&lt;01.01.2022",манзилли!$AB:$AB,""))</f>
        <v>4425</v>
      </c>
      <c r="BD17" s="86">
        <f>(+SUMIFS(манзилли!$U:$U,манзилли!$J:$J,'свод (соҳа)'!$B17,манзилли!$AA:$AA,"&lt;01.01.2022",манзилли!$AB:$AB,""))</f>
        <v>0</v>
      </c>
      <c r="BE17" s="30">
        <f>+SUMIFS(манзилли!$Y:$Y,манзилли!$J:$J,'свод (соҳа)'!$B17,манзилли!$AA:$AA,"&lt;01.01.2022",манзилли!$AB:$AB,"")</f>
        <v>187</v>
      </c>
      <c r="BF17" s="28">
        <f>+COUNTIFS(манзилли!$J:$J,'свод (соҳа)'!$B17,манзилли!$AA:$AA,"&lt;01.01.2023",манзилли!$AA:$AA,"&gt;=01.01.2022")</f>
        <v>0</v>
      </c>
      <c r="BG17" s="86">
        <f>(+SUMIFS(манзилли!$K:$K,манзилли!$J:$J,'свод (соҳа)'!$B17,манзилли!$AA:$AA,"&lt;01.01.2023",манзилли!$AA:$AA,"&gt;=01.01.2022"))</f>
        <v>0</v>
      </c>
      <c r="BH17" s="86">
        <f>(+SUMIFS(манзилли!$M:$M,манзилли!$J:$J,'свод (соҳа)'!$B17,манзилли!$AA:$AA,"&lt;01.01.2023",манзилли!$AA:$AA,"&gt;=01.01.2022"))</f>
        <v>0</v>
      </c>
      <c r="BI17" s="86">
        <f>(+SUMIFS(манзилли!$Q:$Q,манзилли!$J:$J,'свод (соҳа)'!$B17,манзилли!$AA:$AA,"&lt;01.01.2023",манзилли!$AA:$AA,"&gt;=01.01.2022"))</f>
        <v>0</v>
      </c>
      <c r="BJ17" s="86">
        <f>(+SUMIFS(манзилли!$S:$S,манзилли!$J:$J,'свод (соҳа)'!$B17,манзилли!$AA:$AA,"&lt;01.01.2023",манзилли!$AA:$AA,"&gt;=01.01.2022"))</f>
        <v>0</v>
      </c>
      <c r="BK17" s="86">
        <f>(+SUMIFS(манзилли!$U:$U,манзилли!$J:$J,'свод (соҳа)'!$B17,манзилли!$AA:$AA,"&lt;01.01.2023",манзилли!$AA:$AA,"&gt;=01.01.2022"))</f>
        <v>0</v>
      </c>
      <c r="BL17" s="30">
        <f>+SUMIFS(манзилли!$Y:$Y,манзилли!$J:$J,'свод (соҳа)'!$B17,манзилли!$AA:$AA,"&lt;01.01.2023",манзилли!$AA:$AA,"&gt;=01.01.2022")</f>
        <v>0</v>
      </c>
    </row>
    <row r="18" spans="1:64" s="3" customFormat="1" ht="35.25" customHeight="1" outlineLevel="1">
      <c r="A18" s="26">
        <f t="shared" si="6"/>
        <v>11</v>
      </c>
      <c r="B18" s="88" t="s">
        <v>34</v>
      </c>
      <c r="C18" s="28">
        <f>+COUNTIFS(манзилли!$J:$J,'свод (соҳа)'!$B18)</f>
        <v>22</v>
      </c>
      <c r="D18" s="86">
        <f>(+SUMIFS(манзилли!$K:$K,манзилли!$J:$J,'свод (соҳа)'!$B18))</f>
        <v>1331312</v>
      </c>
      <c r="E18" s="86">
        <f>(+SUMIFS(манзилли!$M:$M,манзилли!$J:$J,'свод (соҳа)'!$B18))</f>
        <v>507047</v>
      </c>
      <c r="F18" s="86">
        <f>(+SUMIFS(манзилли!$Q:$Q,манзилли!$J:$J,'свод (соҳа)'!$B18))</f>
        <v>15125</v>
      </c>
      <c r="G18" s="86">
        <f>(+SUMIFS(манзилли!$S:$S,манзилли!$J:$J,'свод (соҳа)'!$B18))</f>
        <v>37300</v>
      </c>
      <c r="H18" s="86">
        <f>(+SUMIFS(манзилли!$U:$U,манзилли!$J:$J,'свод (соҳа)'!$B18))</f>
        <v>41260</v>
      </c>
      <c r="I18" s="30">
        <f>+SUMIFS(манзилли!$Y:$Y,манзилли!$J:$J,'свод (соҳа)'!$B18)</f>
        <v>4385</v>
      </c>
      <c r="J18" s="28">
        <f>+(COUNTIFS(манзилли!$L:$L,"&gt;0",манзилли!$J:$J,'свод (соҳа)'!$B18)+COUNTIFS('Қўшимча ишга тушган'!$T:$T,"&gt;0",'Қўшимча ишга тушган'!$J:$J,'свод (соҳа)'!$B18))</f>
        <v>14</v>
      </c>
      <c r="K18" s="86">
        <f>(+SUMIFS(манзилли!$L:$L,манзилли!$J:$J,'свод (соҳа)'!$B18)+SUMIFS('Қўшимча ишга тушган'!$T:$T,'Қўшимча ишга тушган'!$J:$J,'свод (соҳа)'!$B18))</f>
        <v>115771.62000000001</v>
      </c>
      <c r="L18" s="86">
        <f>+(SUMIFS(манзилли!$N:$N,манзилли!$J:$J,'свод (соҳа)'!$B18)+SUMIFS('Қўшимча ишга тушган'!$V:$V,'Қўшимча ишга тушган'!$J:$J,'свод (соҳа)'!$B18))</f>
        <v>1075</v>
      </c>
      <c r="M18" s="86">
        <f>(+SUMIFS(манзилли!$R:$R,манзилли!$J:$J,'свод (соҳа)'!$B18)+SUMIFS('Қўшимча ишга тушган'!$Z:$Z,'Қўшимча ишга тушган'!$J:$J,'свод (соҳа)'!$B18))</f>
        <v>731</v>
      </c>
      <c r="N18" s="86">
        <f>(+SUMIFS(манзилли!$T:$T,манзилли!$J:$J,'свод (соҳа)'!$B18)+SUMIFS('Қўшимча ишга тушган'!$AB:$AB,'Қўшимча ишга тушган'!$J:$J,'свод (соҳа)'!$B18))</f>
        <v>11173.1</v>
      </c>
      <c r="O18" s="30">
        <f>(+SUMIFS(манзилли!$V:$V,манзилли!$J:$J,'свод (соҳа)'!$B18)+SUMIFS('Қўшимча ишга тушган'!$AD:$AD,'Қўшимча ишга тушган'!$J:$J,'свод (соҳа)'!$B18))</f>
        <v>0</v>
      </c>
      <c r="P18" s="28">
        <f>+COUNTIFS(манзилли!$J:$J,'свод (соҳа)'!$B18,манзилли!$AA:$AA,"&gt;31.12.2020",манзилли!$AA:$AA,"&lt;01.01.2022")</f>
        <v>13</v>
      </c>
      <c r="Q18" s="86">
        <f>(+SUMIFS(манзилли!$K:$K,манзилли!$J:$J,'свод (соҳа)'!$B18,манзилли!$AA:$AA,"&gt;31.12.2020",манзилли!$AA:$AA,"&lt;01.01.2022"))</f>
        <v>1152332</v>
      </c>
      <c r="R18" s="86">
        <f>(+SUMIFS(манзилли!$M:$M,манзилли!$J:$J,'свод (соҳа)'!$B18,манзилли!$AA:$AA,"&gt;31.12.2020",манзилли!$AA:$AA,"&lt;01.01.2022"))</f>
        <v>447740</v>
      </c>
      <c r="S18" s="86">
        <f>(+SUMIFS(манзилли!$Q:$Q,манзилли!$J:$J,'свод (соҳа)'!$B18,манзилли!$AA:$AA,"&gt;31.12.2020",манзилли!$AA:$AA,"&lt;01.01.2022"))</f>
        <v>8625</v>
      </c>
      <c r="T18" s="86">
        <f>(+SUMIFS(манзилли!$S:$S,манзилли!$J:$J,'свод (соҳа)'!$B18,манзилли!$AA:$AA,"&gt;31.12.2020",манзилли!$AA:$AA,"&lt;01.01.2022"))</f>
        <v>26300</v>
      </c>
      <c r="U18" s="86">
        <f>(+SUMIFS(манзилли!$U:$U,манзилли!$J:$J,'свод (соҳа)'!$B18,манзилли!$AA:$AA,"&gt;31.12.2020",манзилли!$AA:$AA,"&lt;01.01.2022"))</f>
        <v>41260</v>
      </c>
      <c r="V18" s="30">
        <f>+SUMIFS(манзилли!$Y:$Y,манзилли!$J:$J,'свод (соҳа)'!$B18,манзилли!$AA:$AA,"&gt;31.12.2020",манзилли!$AA:$AA,"&lt;01.01.2022")</f>
        <v>3080</v>
      </c>
      <c r="W18" s="28">
        <f t="shared" si="4"/>
        <v>0</v>
      </c>
      <c r="X18" s="86">
        <f t="shared" si="5"/>
        <v>0</v>
      </c>
      <c r="Y18" s="86">
        <f t="shared" si="5"/>
        <v>0</v>
      </c>
      <c r="Z18" s="86">
        <f t="shared" si="5"/>
        <v>0</v>
      </c>
      <c r="AA18" s="86">
        <f t="shared" si="5"/>
        <v>0</v>
      </c>
      <c r="AB18" s="86">
        <f t="shared" si="5"/>
        <v>0</v>
      </c>
      <c r="AC18" s="30">
        <f t="shared" si="5"/>
        <v>0</v>
      </c>
      <c r="AD18" s="28">
        <f>+COUNTIFS(манзилли!$J:$J,'свод (соҳа)'!$B18,манзилли!$AB:$AB,"&gt;31.12.2020",манзилли!$AA:$AA,"&gt;31.12.2020",манзилли!$AA:$AA,"&lt;01.01.2022")</f>
        <v>0</v>
      </c>
      <c r="AE18" s="86">
        <f>(+SUMIFS(манзилли!$L:$L,манзилли!$J:$J,'свод (соҳа)'!$B18,манзилли!$AB:$AB,"&gt;31.12.2020",манзилли!$AA:$AA,"&gt;31.12.2020",манзилли!$AA:$AA,"&lt;01.01.2022"))</f>
        <v>0</v>
      </c>
      <c r="AF18" s="86">
        <f>(+SUMIFS(манзилли!$N:$N,манзилли!$J:$J,'свод (соҳа)'!$B18,манзилли!$AB:$AB,"&gt;31.12.2020",манзилли!$AA:$AA,"&gt;31.12.2020",манзилли!$AA:$AA,"&lt;01.01.2022"))</f>
        <v>0</v>
      </c>
      <c r="AG18" s="86">
        <f>(+SUMIFS(манзилли!$R:$R,манзилли!$J:$J,'свод (соҳа)'!$B18,манзилли!$AB:$AB,"&gt;31.12.2020",манзилли!$AA:$AA,"&gt;31.12.2020",манзилли!$AA:$AA,"&lt;01.01.2022"))</f>
        <v>0</v>
      </c>
      <c r="AH18" s="86">
        <f>(+SUMIFS(манзилли!$T:$T,манзилли!$J:$J,'свод (соҳа)'!$B18,манзилли!$AB:$AB,"&gt;31.12.2020",манзилли!$AA:$AA,"&gt;31.12.2020",манзилли!$AA:$AA,"&lt;01.01.2022"))</f>
        <v>0</v>
      </c>
      <c r="AI18" s="86">
        <f>(+SUMIFS(манзилли!$V:$V,манзилли!$J:$J,'свод (соҳа)'!$B18,манзилли!$AB:$AB,"&gt;31.12.2020",манзилли!$AA:$AA,"&gt;31.12.2020",манзилли!$AA:$AA,"&lt;01.01.2022"))</f>
        <v>0</v>
      </c>
      <c r="AJ18" s="30">
        <f>+SUMIFS(манзилли!$Z:$Z,манзилли!$J:$J,'свод (соҳа)'!$B18,манзилли!$AB:$AB,"&gt;31.12.2020",манзилли!$AA:$AA,"&gt;31.12.2020",манзилли!$AA:$AA,"&lt;01.01.2022")</f>
        <v>0</v>
      </c>
      <c r="AK18" s="28">
        <f>+COUNTIFS('Қўшимча ишга тушган'!$J:$J,'свод (соҳа)'!B18,'Қўшимча ишга тушган'!$AO:$AO,"&lt;01.10.2023")</f>
        <v>0</v>
      </c>
      <c r="AL18" s="86">
        <f>(+SUMIFS('Қўшимча ишга тушган'!$T:$T,'Қўшимча ишга тушган'!$J:$J,'свод (соҳа)'!$B18,'Қўшимча ишга тушган'!$AO:$AO,"&lt;01.10.2023"))</f>
        <v>0</v>
      </c>
      <c r="AM18" s="86">
        <f>(+SUMIFS('Қўшимча ишга тушган'!$V:$V,'Қўшимча ишга тушган'!$J:$J,'свод (соҳа)'!$B18,'Қўшимча ишга тушган'!$AO:$AO,"&lt;01.10.2023"))</f>
        <v>0</v>
      </c>
      <c r="AN18" s="86">
        <f>(+SUMIFS('Қўшимча ишга тушган'!$Z:$Z,'Қўшимча ишга тушган'!$J:$J,'свод (соҳа)'!$B18,'Қўшимча ишга тушган'!$AO:$AO,"&lt;01.10.2023"))</f>
        <v>0</v>
      </c>
      <c r="AO18" s="86">
        <f>(+SUMIFS('Қўшимча ишга тушган'!$AB:$AB,'Қўшимча ишга тушган'!$J:$J,'свод (соҳа)'!$B18,'Қўшимча ишга тушган'!$AO:$AO,"&lt;01.10.2023"))</f>
        <v>0</v>
      </c>
      <c r="AP18" s="86">
        <f>(+SUMIFS('Қўшимча ишга тушган'!$AD:$AD,'Қўшимча ишга тушган'!$J:$J,'свод (соҳа)'!$B18,'Қўшимча ишга тушган'!$AO:$AO,"&lt;01.10.2023"))</f>
        <v>0</v>
      </c>
      <c r="AQ18" s="30">
        <f>+SUMIFS('Қўшимча ишга тушган'!$AM:$AM,'Қўшимча ишга тушган'!$J:$J,'свод (соҳа)'!$B18,'Қўшимча ишга тушган'!$AO:$AO,"&lt;01.10.2023")</f>
        <v>0</v>
      </c>
      <c r="AR18" s="28">
        <f>+COUNTIFS(манзилли!$J:$J,'свод (соҳа)'!$B18,манзилли!$AA:$AA,"&lt;01.02.2021",манзилли!$AB:$AB,"")</f>
        <v>0</v>
      </c>
      <c r="AS18" s="86">
        <f>(+SUMIFS(манзилли!$K:$K,манзилли!$J:$J,'свод (соҳа)'!$B18,манзилли!$AA:$AA,"&lt;01.02.2021",манзилли!$AB:$AB,""))</f>
        <v>0</v>
      </c>
      <c r="AT18" s="86">
        <f>(+SUMIFS(манзилли!$M:$M,манзилли!$J:$J,'свод (соҳа)'!$B18,манзилли!$AA:$AA,"&lt;01.02.2021",манзилли!$AB:$AB,""))</f>
        <v>0</v>
      </c>
      <c r="AU18" s="86">
        <f>(+SUMIFS(манзилли!$Q:$Q,манзилли!$J:$J,'свод (соҳа)'!$B18,манзилли!$AA:$AA,"&lt;01.02.2021",манзилли!$AB:$AB,""))</f>
        <v>0</v>
      </c>
      <c r="AV18" s="86">
        <f>(+SUMIFS(манзилли!$S:$S,манзилли!$J:$J,'свод (соҳа)'!$B18,манзилли!$AA:$AA,"&lt;01.02.2021",манзилли!$AB:$AB,""))</f>
        <v>0</v>
      </c>
      <c r="AW18" s="86">
        <f>(+SUMIFS(манзилли!$U:$U,манзилли!$J:$J,'свод (соҳа)'!$B18,манзилли!$AA:$AA,"&lt;01.02.2021",манзилли!$AB:$AB,""))</f>
        <v>0</v>
      </c>
      <c r="AX18" s="30">
        <f>+SUMIFS(манзилли!$Y:$Y,манзилли!$J:$J,'свод (соҳа)'!$B18,манзилли!$AA:$AA,"&lt;01.02.2021",манзилли!$AB:$AB,"")</f>
        <v>0</v>
      </c>
      <c r="AY18" s="28">
        <f>+COUNTIFS(манзилли!$J:$J,'свод (соҳа)'!$B18,манзилли!$AA:$AA,"&lt;01.01.2022",манзилли!$AB:$AB,"")</f>
        <v>11</v>
      </c>
      <c r="AZ18" s="86">
        <f>(+SUMIFS(манзилли!$K:$K,манзилли!$J:$J,'свод (соҳа)'!$B18,манзилли!$AA:$AA,"&lt;01.01.2022",манзилли!$AB:$AB,""))</f>
        <v>1150732</v>
      </c>
      <c r="BA18" s="86">
        <f>(+SUMIFS(манзилли!$M:$M,манзилли!$J:$J,'свод (соҳа)'!$B18,манзилли!$AA:$AA,"&lt;01.01.2022",манзилли!$AB:$AB,""))</f>
        <v>446740</v>
      </c>
      <c r="BB18" s="86">
        <f>(+SUMIFS(манзилли!$Q:$Q,манзилли!$J:$J,'свод (соҳа)'!$B18,манзилли!$AA:$AA,"&lt;01.01.2022",манзилли!$AB:$AB,""))</f>
        <v>8025</v>
      </c>
      <c r="BC18" s="86">
        <f>(+SUMIFS(манзилли!$S:$S,манзилли!$J:$J,'свод (соҳа)'!$B18,манзилли!$AA:$AA,"&lt;01.01.2022",манзилли!$AB:$AB,""))</f>
        <v>26300</v>
      </c>
      <c r="BD18" s="86">
        <f>(+SUMIFS(манзилли!$U:$U,манзилли!$J:$J,'свод (соҳа)'!$B18,манзилли!$AA:$AA,"&lt;01.01.2022",манзилли!$AB:$AB,""))</f>
        <v>41260</v>
      </c>
      <c r="BE18" s="30">
        <f>+SUMIFS(манзилли!$Y:$Y,манзилли!$J:$J,'свод (соҳа)'!$B18,манзилли!$AA:$AA,"&lt;01.01.2022",манзилли!$AB:$AB,"")</f>
        <v>3068</v>
      </c>
      <c r="BF18" s="28">
        <f>+COUNTIFS(манзилли!$J:$J,'свод (соҳа)'!$B18,манзилли!$AA:$AA,"&lt;01.01.2023",манзилли!$AA:$AA,"&gt;=01.01.2022")</f>
        <v>9</v>
      </c>
      <c r="BG18" s="86">
        <f>(+SUMIFS(манзилли!$K:$K,манзилли!$J:$J,'свод (соҳа)'!$B18,манзилли!$AA:$AA,"&lt;01.01.2023",манзилли!$AA:$AA,"&gt;=01.01.2022"))</f>
        <v>178980</v>
      </c>
      <c r="BH18" s="86">
        <f>(+SUMIFS(манзилли!$M:$M,манзилли!$J:$J,'свод (соҳа)'!$B18,манзилли!$AA:$AA,"&lt;01.01.2023",манзилли!$AA:$AA,"&gt;=01.01.2022"))</f>
        <v>59307</v>
      </c>
      <c r="BI18" s="86">
        <f>(+SUMIFS(манзилли!$Q:$Q,манзилли!$J:$J,'свод (соҳа)'!$B18,манзилли!$AA:$AA,"&lt;01.01.2023",манзилли!$AA:$AA,"&gt;=01.01.2022"))</f>
        <v>6500</v>
      </c>
      <c r="BJ18" s="86">
        <f>(+SUMIFS(манзилли!$S:$S,манзилли!$J:$J,'свод (соҳа)'!$B18,манзилли!$AA:$AA,"&lt;01.01.2023",манзилли!$AA:$AA,"&gt;=01.01.2022"))</f>
        <v>11000</v>
      </c>
      <c r="BK18" s="86">
        <f>(+SUMIFS(манзилли!$U:$U,манзилли!$J:$J,'свод (соҳа)'!$B18,манзилли!$AA:$AA,"&lt;01.01.2023",манзилли!$AA:$AA,"&gt;=01.01.2022"))</f>
        <v>0</v>
      </c>
      <c r="BL18" s="30">
        <f>+SUMIFS(манзилли!$Y:$Y,манзилли!$J:$J,'свод (соҳа)'!$B18,манзилли!$AA:$AA,"&lt;01.01.2023",манзилли!$AA:$AA,"&gt;=01.01.2022")</f>
        <v>1305</v>
      </c>
    </row>
    <row r="19" spans="1:64" s="3" customFormat="1" ht="35.25" customHeight="1" outlineLevel="1">
      <c r="A19" s="26">
        <f t="shared" si="6"/>
        <v>12</v>
      </c>
      <c r="B19" s="88" t="s">
        <v>14</v>
      </c>
      <c r="C19" s="28">
        <f>+COUNTIFS(манзилли!$J:$J,'свод (соҳа)'!$B19)</f>
        <v>6</v>
      </c>
      <c r="D19" s="86">
        <f>(+SUMIFS(манзилли!$K:$K,манзилли!$J:$J,'свод (соҳа)'!$B19))</f>
        <v>101040</v>
      </c>
      <c r="E19" s="86">
        <f>(+SUMIFS(манзилли!$M:$M,манзилли!$J:$J,'свод (соҳа)'!$B19))</f>
        <v>19553</v>
      </c>
      <c r="F19" s="86">
        <f>(+SUMIFS(манзилли!$Q:$Q,манзилли!$J:$J,'свод (соҳа)'!$B19))</f>
        <v>3377</v>
      </c>
      <c r="G19" s="86">
        <f>(+SUMIFS(манзилли!$S:$S,манзилли!$J:$J,'свод (соҳа)'!$B19))</f>
        <v>6200</v>
      </c>
      <c r="H19" s="86">
        <f>(+SUMIFS(манзилли!$U:$U,манзилли!$J:$J,'свод (соҳа)'!$B19))</f>
        <v>1500</v>
      </c>
      <c r="I19" s="30">
        <f>+SUMIFS(манзилли!$Y:$Y,манзилли!$J:$J,'свод (соҳа)'!$B19)</f>
        <v>114</v>
      </c>
      <c r="J19" s="28">
        <f>+(COUNTIFS(манзилли!$L:$L,"&gt;0",манзилли!$J:$J,'свод (соҳа)'!$B19)+COUNTIFS('Қўшимча ишга тушган'!$T:$T,"&gt;0",'Қўшимча ишга тушган'!$J:$J,'свод (соҳа)'!$B19))</f>
        <v>2</v>
      </c>
      <c r="K19" s="86">
        <f>(+SUMIFS(манзилли!$L:$L,манзилли!$J:$J,'свод (соҳа)'!$B19)+SUMIFS('Қўшимча ишга тушган'!$T:$T,'Қўшимча ишга тушган'!$J:$J,'свод (соҳа)'!$B19))</f>
        <v>15180</v>
      </c>
      <c r="L19" s="86">
        <f>+(SUMIFS(манзилли!$N:$N,манзилли!$J:$J,'свод (соҳа)'!$B19)+SUMIFS('Қўшимча ишга тушган'!$V:$V,'Қўшимча ишга тушган'!$J:$J,'свод (соҳа)'!$B19))</f>
        <v>1053</v>
      </c>
      <c r="M19" s="86">
        <f>(+SUMIFS(манзилли!$R:$R,манзилли!$J:$J,'свод (соҳа)'!$B19)+SUMIFS('Қўшимча ишга тушган'!$Z:$Z,'Қўшимча ишга тушган'!$J:$J,'свод (соҳа)'!$B19))</f>
        <v>1377</v>
      </c>
      <c r="N19" s="86">
        <f>(+SUMIFS(манзилли!$T:$T,манзилли!$J:$J,'свод (соҳа)'!$B19)+SUMIFS('Қўшимча ишга тушган'!$AB:$AB,'Қўшимча ишга тушган'!$J:$J,'свод (соҳа)'!$B19))</f>
        <v>1250</v>
      </c>
      <c r="O19" s="30">
        <f>(+SUMIFS(манзилли!$V:$V,манзилли!$J:$J,'свод (соҳа)'!$B19)+SUMIFS('Қўшимча ишга тушган'!$AD:$AD,'Қўшимча ишга тушган'!$J:$J,'свод (соҳа)'!$B19))</f>
        <v>0</v>
      </c>
      <c r="P19" s="28">
        <f>+COUNTIFS(манзилли!$J:$J,'свод (соҳа)'!$B19,манзилли!$AA:$AA,"&gt;31.12.2020",манзилли!$AA:$AA,"&lt;01.01.2022")</f>
        <v>5</v>
      </c>
      <c r="Q19" s="86">
        <f>(+SUMIFS(манзилли!$K:$K,манзилли!$J:$J,'свод (соҳа)'!$B19,манзилли!$AA:$AA,"&gt;31.12.2020",манзилли!$AA:$AA,"&lt;01.01.2022"))</f>
        <v>98610</v>
      </c>
      <c r="R19" s="86">
        <f>(+SUMIFS(манзилли!$M:$M,манзилли!$J:$J,'свод (соҳа)'!$B19,манзилли!$AA:$AA,"&gt;31.12.2020",манзилли!$AA:$AA,"&lt;01.01.2022"))</f>
        <v>18500</v>
      </c>
      <c r="S19" s="86">
        <f>(+SUMIFS(манзилли!$Q:$Q,манзилли!$J:$J,'свод (соҳа)'!$B19,манзилли!$AA:$AA,"&gt;31.12.2020",манзилли!$AA:$AA,"&lt;01.01.2022"))</f>
        <v>2000</v>
      </c>
      <c r="T19" s="86">
        <f>(+SUMIFS(манзилли!$S:$S,манзилли!$J:$J,'свод (соҳа)'!$B19,манзилли!$AA:$AA,"&gt;31.12.2020",манзилли!$AA:$AA,"&lt;01.01.2022"))</f>
        <v>6200</v>
      </c>
      <c r="U19" s="86">
        <f>(+SUMIFS(манзилли!$U:$U,манзилли!$J:$J,'свод (соҳа)'!$B19,манзилли!$AA:$AA,"&gt;31.12.2020",манзилли!$AA:$AA,"&lt;01.01.2022"))</f>
        <v>1500</v>
      </c>
      <c r="V19" s="30">
        <f>+SUMIFS(манзилли!$Y:$Y,манзилли!$J:$J,'свод (соҳа)'!$B19,манзилли!$AA:$AA,"&gt;31.12.2020",манзилли!$AA:$AA,"&lt;01.01.2022")</f>
        <v>104</v>
      </c>
      <c r="W19" s="28">
        <f t="shared" si="4"/>
        <v>0</v>
      </c>
      <c r="X19" s="86">
        <f t="shared" si="5"/>
        <v>0</v>
      </c>
      <c r="Y19" s="86">
        <f t="shared" si="5"/>
        <v>0</v>
      </c>
      <c r="Z19" s="86">
        <f t="shared" si="5"/>
        <v>0</v>
      </c>
      <c r="AA19" s="86">
        <f t="shared" si="5"/>
        <v>0</v>
      </c>
      <c r="AB19" s="86">
        <f t="shared" si="5"/>
        <v>0</v>
      </c>
      <c r="AC19" s="30">
        <f t="shared" si="5"/>
        <v>0</v>
      </c>
      <c r="AD19" s="28">
        <f>+COUNTIFS(манзилли!$J:$J,'свод (соҳа)'!$B19,манзилли!$AB:$AB,"&gt;31.12.2020",манзилли!$AA:$AA,"&gt;31.12.2020",манзилли!$AA:$AA,"&lt;01.01.2022")</f>
        <v>0</v>
      </c>
      <c r="AE19" s="86">
        <f>(+SUMIFS(манзилли!$L:$L,манзилли!$J:$J,'свод (соҳа)'!$B19,манзилли!$AB:$AB,"&gt;31.12.2020",манзилли!$AA:$AA,"&gt;31.12.2020",манзилли!$AA:$AA,"&lt;01.01.2022"))</f>
        <v>0</v>
      </c>
      <c r="AF19" s="86">
        <f>(+SUMIFS(манзилли!$N:$N,манзилли!$J:$J,'свод (соҳа)'!$B19,манзилли!$AB:$AB,"&gt;31.12.2020",манзилли!$AA:$AA,"&gt;31.12.2020",манзилли!$AA:$AA,"&lt;01.01.2022"))</f>
        <v>0</v>
      </c>
      <c r="AG19" s="86">
        <f>(+SUMIFS(манзилли!$R:$R,манзилли!$J:$J,'свод (соҳа)'!$B19,манзилли!$AB:$AB,"&gt;31.12.2020",манзилли!$AA:$AA,"&gt;31.12.2020",манзилли!$AA:$AA,"&lt;01.01.2022"))</f>
        <v>0</v>
      </c>
      <c r="AH19" s="86">
        <f>(+SUMIFS(манзилли!$T:$T,манзилли!$J:$J,'свод (соҳа)'!$B19,манзилли!$AB:$AB,"&gt;31.12.2020",манзилли!$AA:$AA,"&gt;31.12.2020",манзилли!$AA:$AA,"&lt;01.01.2022"))</f>
        <v>0</v>
      </c>
      <c r="AI19" s="86">
        <f>(+SUMIFS(манзилли!$V:$V,манзилли!$J:$J,'свод (соҳа)'!$B19,манзилли!$AB:$AB,"&gt;31.12.2020",манзилли!$AA:$AA,"&gt;31.12.2020",манзилли!$AA:$AA,"&lt;01.01.2022"))</f>
        <v>0</v>
      </c>
      <c r="AJ19" s="30">
        <f>+SUMIFS(манзилли!$Z:$Z,манзилли!$J:$J,'свод (соҳа)'!$B19,манзилли!$AB:$AB,"&gt;31.12.2020",манзилли!$AA:$AA,"&gt;31.12.2020",манзилли!$AA:$AA,"&lt;01.01.2022")</f>
        <v>0</v>
      </c>
      <c r="AK19" s="28">
        <f>+COUNTIFS('Қўшимча ишга тушган'!$J:$J,'свод (соҳа)'!B19,'Қўшимча ишга тушган'!$AO:$AO,"&lt;01.10.2023")</f>
        <v>0</v>
      </c>
      <c r="AL19" s="86">
        <f>(+SUMIFS('Қўшимча ишга тушган'!$T:$T,'Қўшимча ишга тушган'!$J:$J,'свод (соҳа)'!$B19,'Қўшимча ишга тушган'!$AO:$AO,"&lt;01.10.2023"))</f>
        <v>0</v>
      </c>
      <c r="AM19" s="86">
        <f>(+SUMIFS('Қўшимча ишга тушган'!$V:$V,'Қўшимча ишга тушган'!$J:$J,'свод (соҳа)'!$B19,'Қўшимча ишга тушган'!$AO:$AO,"&lt;01.10.2023"))</f>
        <v>0</v>
      </c>
      <c r="AN19" s="86">
        <f>(+SUMIFS('Қўшимча ишга тушган'!$Z:$Z,'Қўшимча ишга тушган'!$J:$J,'свод (соҳа)'!$B19,'Қўшимча ишга тушган'!$AO:$AO,"&lt;01.10.2023"))</f>
        <v>0</v>
      </c>
      <c r="AO19" s="86">
        <f>(+SUMIFS('Қўшимча ишга тушган'!$AB:$AB,'Қўшимча ишга тушган'!$J:$J,'свод (соҳа)'!$B19,'Қўшимча ишга тушган'!$AO:$AO,"&lt;01.10.2023"))</f>
        <v>0</v>
      </c>
      <c r="AP19" s="86">
        <f>(+SUMIFS('Қўшимча ишга тушган'!$AD:$AD,'Қўшимча ишга тушган'!$J:$J,'свод (соҳа)'!$B19,'Қўшимча ишга тушган'!$AO:$AO,"&lt;01.10.2023"))</f>
        <v>0</v>
      </c>
      <c r="AQ19" s="30">
        <f>+SUMIFS('Қўшимча ишга тушган'!$AM:$AM,'Қўшимча ишга тушган'!$J:$J,'свод (соҳа)'!$B19,'Қўшимча ишга тушган'!$AO:$AO,"&lt;01.10.2023")</f>
        <v>0</v>
      </c>
      <c r="AR19" s="28">
        <f>+COUNTIFS(манзилли!$J:$J,'свод (соҳа)'!$B19,манзилли!$AA:$AA,"&lt;01.02.2021",манзилли!$AB:$AB,"")</f>
        <v>0</v>
      </c>
      <c r="AS19" s="86">
        <f>(+SUMIFS(манзилли!$K:$K,манзилли!$J:$J,'свод (соҳа)'!$B19,манзилли!$AA:$AA,"&lt;01.02.2021",манзилли!$AB:$AB,""))</f>
        <v>0</v>
      </c>
      <c r="AT19" s="86">
        <f>(+SUMIFS(манзилли!$M:$M,манзилли!$J:$J,'свод (соҳа)'!$B19,манзилли!$AA:$AA,"&lt;01.02.2021",манзилли!$AB:$AB,""))</f>
        <v>0</v>
      </c>
      <c r="AU19" s="86">
        <f>(+SUMIFS(манзилли!$Q:$Q,манзилли!$J:$J,'свод (соҳа)'!$B19,манзилли!$AA:$AA,"&lt;01.02.2021",манзилли!$AB:$AB,""))</f>
        <v>0</v>
      </c>
      <c r="AV19" s="86">
        <f>(+SUMIFS(манзилли!$S:$S,манзилли!$J:$J,'свод (соҳа)'!$B19,манзилли!$AA:$AA,"&lt;01.02.2021",манзилли!$AB:$AB,""))</f>
        <v>0</v>
      </c>
      <c r="AW19" s="86">
        <f>(+SUMIFS(манзилли!$U:$U,манзилли!$J:$J,'свод (соҳа)'!$B19,манзилли!$AA:$AA,"&lt;01.02.2021",манзилли!$AB:$AB,""))</f>
        <v>0</v>
      </c>
      <c r="AX19" s="30">
        <f>+SUMIFS(манзилли!$Y:$Y,манзилли!$J:$J,'свод (соҳа)'!$B19,манзилли!$AA:$AA,"&lt;01.02.2021",манзилли!$AB:$AB,"")</f>
        <v>0</v>
      </c>
      <c r="AY19" s="28">
        <f>+COUNTIFS(манзилли!$J:$J,'свод (соҳа)'!$B19,манзилли!$AA:$AA,"&lt;01.01.2022",манзилли!$AB:$AB,"")</f>
        <v>5</v>
      </c>
      <c r="AZ19" s="86">
        <f>(+SUMIFS(манзилли!$K:$K,манзилли!$J:$J,'свод (соҳа)'!$B19,манзилли!$AA:$AA,"&lt;01.01.2022",манзилли!$AB:$AB,""))</f>
        <v>98610</v>
      </c>
      <c r="BA19" s="86">
        <f>(+SUMIFS(манзилли!$M:$M,манзилли!$J:$J,'свод (соҳа)'!$B19,манзилли!$AA:$AA,"&lt;01.01.2022",манзилли!$AB:$AB,""))</f>
        <v>18500</v>
      </c>
      <c r="BB19" s="86">
        <f>(+SUMIFS(манзилли!$Q:$Q,манзилли!$J:$J,'свод (соҳа)'!$B19,манзилли!$AA:$AA,"&lt;01.01.2022",манзилли!$AB:$AB,""))</f>
        <v>2000</v>
      </c>
      <c r="BC19" s="86">
        <f>(+SUMIFS(манзилли!$S:$S,манзилли!$J:$J,'свод (соҳа)'!$B19,манзилли!$AA:$AA,"&lt;01.01.2022",манзилли!$AB:$AB,""))</f>
        <v>6200</v>
      </c>
      <c r="BD19" s="86">
        <f>(+SUMIFS(манзилли!$U:$U,манзилли!$J:$J,'свод (соҳа)'!$B19,манзилли!$AA:$AA,"&lt;01.01.2022",манзилли!$AB:$AB,""))</f>
        <v>1500</v>
      </c>
      <c r="BE19" s="30">
        <f>+SUMIFS(манзилли!$Y:$Y,манзилли!$J:$J,'свод (соҳа)'!$B19,манзилли!$AA:$AA,"&lt;01.01.2022",манзилли!$AB:$AB,"")</f>
        <v>104</v>
      </c>
      <c r="BF19" s="28">
        <f>+COUNTIFS(манзилли!$J:$J,'свод (соҳа)'!$B19,манзилли!$AA:$AA,"&lt;01.01.2023",манзилли!$AA:$AA,"&gt;=01.01.2022")</f>
        <v>0</v>
      </c>
      <c r="BG19" s="86">
        <f>(+SUMIFS(манзилли!$K:$K,манзилли!$J:$J,'свод (соҳа)'!$B19,манзилли!$AA:$AA,"&lt;01.01.2023",манзилли!$AA:$AA,"&gt;=01.01.2022"))</f>
        <v>0</v>
      </c>
      <c r="BH19" s="86">
        <f>(+SUMIFS(манзилли!$M:$M,манзилли!$J:$J,'свод (соҳа)'!$B19,манзилли!$AA:$AA,"&lt;01.01.2023",манзилли!$AA:$AA,"&gt;=01.01.2022"))</f>
        <v>0</v>
      </c>
      <c r="BI19" s="86">
        <f>(+SUMIFS(манзилли!$Q:$Q,манзилли!$J:$J,'свод (соҳа)'!$B19,манзилли!$AA:$AA,"&lt;01.01.2023",манзилли!$AA:$AA,"&gt;=01.01.2022"))</f>
        <v>0</v>
      </c>
      <c r="BJ19" s="86">
        <f>(+SUMIFS(манзилли!$S:$S,манзилли!$J:$J,'свод (соҳа)'!$B19,манзилли!$AA:$AA,"&lt;01.01.2023",манзилли!$AA:$AA,"&gt;=01.01.2022"))</f>
        <v>0</v>
      </c>
      <c r="BK19" s="86">
        <f>(+SUMIFS(манзилли!$U:$U,манзилли!$J:$J,'свод (соҳа)'!$B19,манзилли!$AA:$AA,"&lt;01.01.2023",манзилли!$AA:$AA,"&gt;=01.01.2022"))</f>
        <v>0</v>
      </c>
      <c r="BL19" s="30">
        <f>+SUMIFS(манзилли!$Y:$Y,манзилли!$J:$J,'свод (соҳа)'!$B19,манзилли!$AA:$AA,"&lt;01.01.2023",манзилли!$AA:$AA,"&gt;=01.01.2022")</f>
        <v>0</v>
      </c>
    </row>
    <row r="20" spans="1:64" s="3" customFormat="1" ht="35.25" customHeight="1" outlineLevel="1">
      <c r="A20" s="26">
        <f t="shared" si="6"/>
        <v>13</v>
      </c>
      <c r="B20" s="88" t="s">
        <v>31</v>
      </c>
      <c r="C20" s="28">
        <f>+COUNTIFS(манзилли!$J:$J,'свод (соҳа)'!$B20)</f>
        <v>5</v>
      </c>
      <c r="D20" s="86">
        <f>(+SUMIFS(манзилли!$K:$K,манзилли!$J:$J,'свод (соҳа)'!$B20))</f>
        <v>269660</v>
      </c>
      <c r="E20" s="86">
        <f>(+SUMIFS(манзилли!$M:$M,манзилли!$J:$J,'свод (соҳа)'!$B20))</f>
        <v>110040</v>
      </c>
      <c r="F20" s="86">
        <f>(+SUMIFS(манзилли!$Q:$Q,манзилли!$J:$J,'свод (соҳа)'!$B20))</f>
        <v>1000</v>
      </c>
      <c r="G20" s="86">
        <f>(+SUMIFS(манзилли!$S:$S,манзилли!$J:$J,'свод (соҳа)'!$B20))</f>
        <v>15400</v>
      </c>
      <c r="H20" s="86">
        <f>(+SUMIFS(манзилли!$U:$U,манзилли!$J:$J,'свод (соҳа)'!$B20))</f>
        <v>0</v>
      </c>
      <c r="I20" s="30">
        <f>+SUMIFS(манзилли!$Y:$Y,манзилли!$J:$J,'свод (соҳа)'!$B20)</f>
        <v>466</v>
      </c>
      <c r="J20" s="28">
        <f>+(COUNTIFS(манзилли!$L:$L,"&gt;0",манзилли!$J:$J,'свод (соҳа)'!$B20)+COUNTIFS('Қўшимча ишга тушган'!$T:$T,"&gt;0",'Қўшимча ишга тушган'!$J:$J,'свод (соҳа)'!$B20))</f>
        <v>1</v>
      </c>
      <c r="K20" s="86">
        <f>(+SUMIFS(манзилли!$L:$L,манзилли!$J:$J,'свод (соҳа)'!$B20)+SUMIFS('Қўшимча ишга тушган'!$T:$T,'Қўшимча ишга тушган'!$J:$J,'свод (соҳа)'!$B20))</f>
        <v>1500</v>
      </c>
      <c r="L20" s="86">
        <f>+(SUMIFS(манзилли!$N:$N,манзилли!$J:$J,'свод (соҳа)'!$B20)+SUMIFS('Қўшимча ишга тушган'!$V:$V,'Қўшимча ишга тушган'!$J:$J,'свод (соҳа)'!$B20))</f>
        <v>836</v>
      </c>
      <c r="M20" s="86">
        <f>(+SUMIFS(манзилли!$R:$R,манзилли!$J:$J,'свод (соҳа)'!$B20)+SUMIFS('Қўшимча ишга тушган'!$Z:$Z,'Қўшимча ишга тушган'!$J:$J,'свод (соҳа)'!$B20))</f>
        <v>664</v>
      </c>
      <c r="N20" s="86">
        <f>(+SUMIFS(манзилли!$T:$T,манзилли!$J:$J,'свод (соҳа)'!$B20)+SUMIFS('Қўшимча ишга тушган'!$AB:$AB,'Қўшимча ишга тушган'!$J:$J,'свод (соҳа)'!$B20))</f>
        <v>0</v>
      </c>
      <c r="O20" s="30">
        <f>(+SUMIFS(манзилли!$V:$V,манзилли!$J:$J,'свод (соҳа)'!$B20)+SUMIFS('Қўшимча ишга тушган'!$AD:$AD,'Қўшимча ишга тушган'!$J:$J,'свод (соҳа)'!$B20))</f>
        <v>0</v>
      </c>
      <c r="P20" s="28">
        <f>+COUNTIFS(манзилли!$J:$J,'свод (соҳа)'!$B20,манзилли!$AA:$AA,"&gt;31.12.2020",манзилли!$AA:$AA,"&lt;01.01.2022")</f>
        <v>4</v>
      </c>
      <c r="Q20" s="86">
        <f>(+SUMIFS(манзилли!$K:$K,манзилли!$J:$J,'свод (соҳа)'!$B20,манзилли!$AA:$AA,"&gt;31.12.2020",манзилли!$AA:$AA,"&lt;01.01.2022"))</f>
        <v>118500</v>
      </c>
      <c r="R20" s="86">
        <f>(+SUMIFS(манзилли!$M:$M,манзилли!$J:$J,'свод (соҳа)'!$B20,манзилли!$AA:$AA,"&gt;31.12.2020",манзилли!$AA:$AA,"&lt;01.01.2022"))</f>
        <v>55700</v>
      </c>
      <c r="S20" s="86">
        <f>(+SUMIFS(манзилли!$Q:$Q,манзилли!$J:$J,'свод (соҳа)'!$B20,манзилли!$AA:$AA,"&gt;31.12.2020",манзилли!$AA:$AA,"&lt;01.01.2022"))</f>
        <v>1000</v>
      </c>
      <c r="T20" s="86">
        <f>(+SUMIFS(манзилли!$S:$S,манзилли!$J:$J,'свод (соҳа)'!$B20,манзилли!$AA:$AA,"&gt;31.12.2020",манзилли!$AA:$AA,"&lt;01.01.2022"))</f>
        <v>6000</v>
      </c>
      <c r="U20" s="86">
        <f>(+SUMIFS(манзилли!$U:$U,манзилли!$J:$J,'свод (соҳа)'!$B20,манзилли!$AA:$AA,"&gt;31.12.2020",манзилли!$AA:$AA,"&lt;01.01.2022"))</f>
        <v>0</v>
      </c>
      <c r="V20" s="30">
        <f>+SUMIFS(манзилли!$Y:$Y,манзилли!$J:$J,'свод (соҳа)'!$B20,манзилли!$AA:$AA,"&gt;31.12.2020",манзилли!$AA:$AA,"&lt;01.01.2022")</f>
        <v>270</v>
      </c>
      <c r="W20" s="28">
        <f>+AD20+AK20</f>
        <v>0</v>
      </c>
      <c r="X20" s="86">
        <f t="shared" ref="X20:X47" si="7">+AE20+AL20</f>
        <v>0</v>
      </c>
      <c r="Y20" s="86">
        <f t="shared" ref="Y20:Y47" si="8">+AF20+AM20</f>
        <v>0</v>
      </c>
      <c r="Z20" s="86">
        <f t="shared" ref="Z20:Z47" si="9">+AG20+AN20</f>
        <v>0</v>
      </c>
      <c r="AA20" s="86">
        <f t="shared" ref="AA20:AA47" si="10">+AH20+AO20</f>
        <v>0</v>
      </c>
      <c r="AB20" s="86">
        <f t="shared" ref="AB20:AB47" si="11">+AI20+AP20</f>
        <v>0</v>
      </c>
      <c r="AC20" s="30">
        <f t="shared" ref="AC20:AC47" si="12">+AJ20+AQ20</f>
        <v>0</v>
      </c>
      <c r="AD20" s="28">
        <f>+COUNTIFS(манзилли!$J:$J,'свод (соҳа)'!$B20,манзилли!$AB:$AB,"&gt;31.12.2020",манзилли!$AA:$AA,"&gt;31.12.2020",манзилли!$AA:$AA,"&lt;01.01.2022")</f>
        <v>0</v>
      </c>
      <c r="AE20" s="86">
        <f>(+SUMIFS(манзилли!$L:$L,манзилли!$J:$J,'свод (соҳа)'!$B20,манзилли!$AB:$AB,"&gt;31.12.2020",манзилли!$AA:$AA,"&gt;31.12.2020",манзилли!$AA:$AA,"&lt;01.01.2022"))</f>
        <v>0</v>
      </c>
      <c r="AF20" s="86">
        <f>(+SUMIFS(манзилли!$N:$N,манзилли!$J:$J,'свод (соҳа)'!$B20,манзилли!$AB:$AB,"&gt;31.12.2020",манзилли!$AA:$AA,"&gt;31.12.2020",манзилли!$AA:$AA,"&lt;01.01.2022"))</f>
        <v>0</v>
      </c>
      <c r="AG20" s="86">
        <f>(+SUMIFS(манзилли!$R:$R,манзилли!$J:$J,'свод (соҳа)'!$B20,манзилли!$AB:$AB,"&gt;31.12.2020",манзилли!$AA:$AA,"&gt;31.12.2020",манзилли!$AA:$AA,"&lt;01.01.2022"))</f>
        <v>0</v>
      </c>
      <c r="AH20" s="86">
        <f>(+SUMIFS(манзилли!$T:$T,манзилли!$J:$J,'свод (соҳа)'!$B20,манзилли!$AB:$AB,"&gt;31.12.2020",манзилли!$AA:$AA,"&gt;31.12.2020",манзилли!$AA:$AA,"&lt;01.01.2022"))</f>
        <v>0</v>
      </c>
      <c r="AI20" s="86">
        <f>(+SUMIFS(манзилли!$V:$V,манзилли!$J:$J,'свод (соҳа)'!$B20,манзилли!$AB:$AB,"&gt;31.12.2020",манзилли!$AA:$AA,"&gt;31.12.2020",манзилли!$AA:$AA,"&lt;01.01.2022"))</f>
        <v>0</v>
      </c>
      <c r="AJ20" s="30">
        <f>+SUMIFS(манзилли!$Z:$Z,манзилли!$J:$J,'свод (соҳа)'!$B20,манзилли!$AB:$AB,"&gt;31.12.2020",манзилли!$AA:$AA,"&gt;31.12.2020",манзилли!$AA:$AA,"&lt;01.01.2022")</f>
        <v>0</v>
      </c>
      <c r="AK20" s="28">
        <f>+COUNTIFS('Қўшимча ишга тушган'!$J:$J,'свод (соҳа)'!B20,'Қўшимча ишга тушган'!$AO:$AO,"&lt;01.10.2023")</f>
        <v>0</v>
      </c>
      <c r="AL20" s="86">
        <f>(+SUMIFS('Қўшимча ишга тушган'!$T:$T,'Қўшимча ишга тушган'!$J:$J,'свод (соҳа)'!$B20,'Қўшимча ишга тушган'!$AO:$AO,"&lt;01.10.2023"))</f>
        <v>0</v>
      </c>
      <c r="AM20" s="86">
        <f>(+SUMIFS('Қўшимча ишга тушган'!$V:$V,'Қўшимча ишга тушган'!$J:$J,'свод (соҳа)'!$B20,'Қўшимча ишга тушган'!$AO:$AO,"&lt;01.10.2023"))</f>
        <v>0</v>
      </c>
      <c r="AN20" s="86">
        <f>(+SUMIFS('Қўшимча ишга тушган'!$Z:$Z,'Қўшимча ишга тушган'!$J:$J,'свод (соҳа)'!$B20,'Қўшимча ишга тушган'!$AO:$AO,"&lt;01.10.2023"))</f>
        <v>0</v>
      </c>
      <c r="AO20" s="86">
        <f>(+SUMIFS('Қўшимча ишга тушган'!$AB:$AB,'Қўшимча ишга тушган'!$J:$J,'свод (соҳа)'!$B20,'Қўшимча ишга тушган'!$AO:$AO,"&lt;01.10.2023"))</f>
        <v>0</v>
      </c>
      <c r="AP20" s="86">
        <f>(+SUMIFS('Қўшимча ишга тушган'!$AD:$AD,'Қўшимча ишга тушган'!$J:$J,'свод (соҳа)'!$B20,'Қўшимча ишга тушган'!$AO:$AO,"&lt;01.10.2023"))</f>
        <v>0</v>
      </c>
      <c r="AQ20" s="30">
        <f>+SUMIFS('Қўшимча ишга тушган'!$AM:$AM,'Қўшимча ишга тушган'!$J:$J,'свод (соҳа)'!$B20,'Қўшимча ишга тушган'!$AO:$AO,"&lt;01.10.2023")</f>
        <v>0</v>
      </c>
      <c r="AR20" s="28">
        <f>+COUNTIFS(манзилли!$J:$J,'свод (соҳа)'!$B20,манзилли!$AA:$AA,"&lt;01.02.2021",манзилли!$AB:$AB,"")</f>
        <v>0</v>
      </c>
      <c r="AS20" s="86">
        <f>(+SUMIFS(манзилли!$K:$K,манзилли!$J:$J,'свод (соҳа)'!$B20,манзилли!$AA:$AA,"&lt;01.02.2021",манзилли!$AB:$AB,""))</f>
        <v>0</v>
      </c>
      <c r="AT20" s="86">
        <f>(+SUMIFS(манзилли!$M:$M,манзилли!$J:$J,'свод (соҳа)'!$B20,манзилли!$AA:$AA,"&lt;01.02.2021",манзилли!$AB:$AB,""))</f>
        <v>0</v>
      </c>
      <c r="AU20" s="86">
        <f>(+SUMIFS(манзилли!$Q:$Q,манзилли!$J:$J,'свод (соҳа)'!$B20,манзилли!$AA:$AA,"&lt;01.02.2021",манзилли!$AB:$AB,""))</f>
        <v>0</v>
      </c>
      <c r="AV20" s="86">
        <f>(+SUMIFS(манзилли!$S:$S,манзилли!$J:$J,'свод (соҳа)'!$B20,манзилли!$AA:$AA,"&lt;01.02.2021",манзилли!$AB:$AB,""))</f>
        <v>0</v>
      </c>
      <c r="AW20" s="86">
        <f>(+SUMIFS(манзилли!$U:$U,манзилли!$J:$J,'свод (соҳа)'!$B20,манзилли!$AA:$AA,"&lt;01.02.2021",манзилли!$AB:$AB,""))</f>
        <v>0</v>
      </c>
      <c r="AX20" s="30">
        <f>+SUMIFS(манзилли!$Y:$Y,манзилли!$J:$J,'свод (соҳа)'!$B20,манзилли!$AA:$AA,"&lt;01.02.2021",манзилли!$AB:$AB,"")</f>
        <v>0</v>
      </c>
      <c r="AY20" s="28">
        <f>+COUNTIFS(манзилли!$J:$J,'свод (соҳа)'!$B20,манзилли!$AA:$AA,"&lt;01.01.2022",манзилли!$AB:$AB,"")</f>
        <v>3</v>
      </c>
      <c r="AZ20" s="86">
        <f>(+SUMIFS(манзилли!$K:$K,манзилли!$J:$J,'свод (соҳа)'!$B20,манзилли!$AA:$AA,"&lt;01.01.2022",манзилли!$AB:$AB,""))</f>
        <v>117000</v>
      </c>
      <c r="BA20" s="86">
        <f>(+SUMIFS(манзилли!$M:$M,манзилли!$J:$J,'свод (соҳа)'!$B20,манзилли!$AA:$AA,"&lt;01.01.2022",манзилли!$AB:$AB,""))</f>
        <v>55200</v>
      </c>
      <c r="BB20" s="86">
        <f>(+SUMIFS(манзилли!$Q:$Q,манзилли!$J:$J,'свод (соҳа)'!$B20,манзилли!$AA:$AA,"&lt;01.01.2022",манзилли!$AB:$AB,""))</f>
        <v>0</v>
      </c>
      <c r="BC20" s="86">
        <f>(+SUMIFS(манзилли!$S:$S,манзилли!$J:$J,'свод (соҳа)'!$B20,манзилли!$AA:$AA,"&lt;01.01.2022",манзилли!$AB:$AB,""))</f>
        <v>6000</v>
      </c>
      <c r="BD20" s="86">
        <f>(+SUMIFS(манзилли!$U:$U,манзилли!$J:$J,'свод (соҳа)'!$B20,манзилли!$AA:$AA,"&lt;01.01.2022",манзилли!$AB:$AB,""))</f>
        <v>0</v>
      </c>
      <c r="BE20" s="30">
        <f>+SUMIFS(манзилли!$Y:$Y,манзилли!$J:$J,'свод (соҳа)'!$B20,манзилли!$AA:$AA,"&lt;01.01.2022",манзилли!$AB:$AB,"")</f>
        <v>260</v>
      </c>
      <c r="BF20" s="28">
        <f>+COUNTIFS(манзилли!$J:$J,'свод (соҳа)'!$B20,манзилли!$AA:$AA,"&lt;01.01.2023",манзилли!$AA:$AA,"&gt;=01.01.2022")</f>
        <v>1</v>
      </c>
      <c r="BG20" s="86">
        <f>(+SUMIFS(манзилли!$K:$K,манзилли!$J:$J,'свод (соҳа)'!$B20,манзилли!$AA:$AA,"&lt;01.01.2023",манзилли!$AA:$AA,"&gt;=01.01.2022"))</f>
        <v>151160</v>
      </c>
      <c r="BH20" s="86">
        <f>(+SUMIFS(манзилли!$M:$M,манзилли!$J:$J,'свод (соҳа)'!$B20,манзилли!$AA:$AA,"&lt;01.01.2023",манзилли!$AA:$AA,"&gt;=01.01.2022"))</f>
        <v>54340</v>
      </c>
      <c r="BI20" s="86">
        <f>(+SUMIFS(манзилли!$Q:$Q,манзилли!$J:$J,'свод (соҳа)'!$B20,манзилли!$AA:$AA,"&lt;01.01.2023",манзилли!$AA:$AA,"&gt;=01.01.2022"))</f>
        <v>0</v>
      </c>
      <c r="BJ20" s="86">
        <f>(+SUMIFS(манзилли!$S:$S,манзилли!$J:$J,'свод (соҳа)'!$B20,манзилли!$AA:$AA,"&lt;01.01.2023",манзилли!$AA:$AA,"&gt;=01.01.2022"))</f>
        <v>9400</v>
      </c>
      <c r="BK20" s="86">
        <f>(+SUMIFS(манзилли!$U:$U,манзилли!$J:$J,'свод (соҳа)'!$B20,манзилли!$AA:$AA,"&lt;01.01.2023",манзилли!$AA:$AA,"&gt;=01.01.2022"))</f>
        <v>0</v>
      </c>
      <c r="BL20" s="30">
        <f>+SUMIFS(манзилли!$Y:$Y,манзилли!$J:$J,'свод (соҳа)'!$B20,манзилли!$AA:$AA,"&lt;01.01.2023",манзилли!$AA:$AA,"&gt;=01.01.2022")</f>
        <v>196</v>
      </c>
    </row>
    <row r="21" spans="1:64" s="3" customFormat="1" ht="35.25" customHeight="1" outlineLevel="1">
      <c r="A21" s="26">
        <f t="shared" si="6"/>
        <v>14</v>
      </c>
      <c r="B21" s="88" t="s">
        <v>32</v>
      </c>
      <c r="C21" s="28">
        <f>+COUNTIFS(манзилли!$J:$J,'свод (соҳа)'!$B21)</f>
        <v>3</v>
      </c>
      <c r="D21" s="86">
        <f>(+SUMIFS(манзилли!$K:$K,манзилли!$J:$J,'свод (соҳа)'!$B21))</f>
        <v>217930</v>
      </c>
      <c r="E21" s="86">
        <f>(+SUMIFS(манзилли!$M:$M,манзилли!$J:$J,'свод (соҳа)'!$B21))</f>
        <v>142328</v>
      </c>
      <c r="F21" s="86">
        <f>(+SUMIFS(манзилли!$Q:$Q,манзилли!$J:$J,'свод (соҳа)'!$B21))</f>
        <v>0</v>
      </c>
      <c r="G21" s="86">
        <f>(+SUMIFS(манзилли!$S:$S,манзилли!$J:$J,'свод (соҳа)'!$B21))</f>
        <v>4340</v>
      </c>
      <c r="H21" s="86">
        <f>(+SUMIFS(манзилли!$U:$U,манзилли!$J:$J,'свод (соҳа)'!$B21))</f>
        <v>3000</v>
      </c>
      <c r="I21" s="30">
        <f>+SUMIFS(манзилли!$Y:$Y,манзилли!$J:$J,'свод (соҳа)'!$B21)</f>
        <v>280</v>
      </c>
      <c r="J21" s="28">
        <f>+(COUNTIFS(манзилли!$L:$L,"&gt;0",манзилли!$J:$J,'свод (соҳа)'!$B21)+COUNTIFS('Қўшимча ишга тушган'!$T:$T,"&gt;0",'Қўшимча ишга тушган'!$J:$J,'свод (соҳа)'!$B21))</f>
        <v>1</v>
      </c>
      <c r="K21" s="86">
        <f>(+SUMIFS(манзилли!$L:$L,манзилли!$J:$J,'свод (соҳа)'!$B21)+SUMIFS('Қўшимча ишга тушган'!$T:$T,'Қўшимча ишга тушган'!$J:$J,'свод (соҳа)'!$B21))</f>
        <v>44500</v>
      </c>
      <c r="L21" s="86">
        <f>+(SUMIFS(манзилли!$N:$N,манзилли!$J:$J,'свод (соҳа)'!$B21)+SUMIFS('Қўшимча ишга тушган'!$V:$V,'Қўшимча ишга тушган'!$J:$J,'свод (соҳа)'!$B21))</f>
        <v>0</v>
      </c>
      <c r="M21" s="86">
        <f>(+SUMIFS(манзилли!$R:$R,манзилли!$J:$J,'свод (соҳа)'!$B21)+SUMIFS('Қўшимча ишга тушган'!$Z:$Z,'Қўшимча ишга тушган'!$J:$J,'свод (соҳа)'!$B21))</f>
        <v>44500</v>
      </c>
      <c r="N21" s="86">
        <f>(+SUMIFS(манзилли!$T:$T,манзилли!$J:$J,'свод (соҳа)'!$B21)+SUMIFS('Қўшимча ишга тушган'!$AB:$AB,'Қўшимча ишга тушган'!$J:$J,'свод (соҳа)'!$B21))</f>
        <v>0</v>
      </c>
      <c r="O21" s="30">
        <f>(+SUMIFS(манзилли!$V:$V,манзилли!$J:$J,'свод (соҳа)'!$B21)+SUMIFS('Қўшимча ишга тушган'!$AD:$AD,'Қўшимча ишга тушган'!$J:$J,'свод (соҳа)'!$B21))</f>
        <v>0</v>
      </c>
      <c r="P21" s="28">
        <f>+COUNTIFS(манзилли!$J:$J,'свод (соҳа)'!$B21,манзилли!$AA:$AA,"&gt;31.12.2020",манзилли!$AA:$AA,"&lt;01.01.2022")</f>
        <v>2</v>
      </c>
      <c r="Q21" s="86">
        <f>(+SUMIFS(манзилли!$K:$K,манзилли!$J:$J,'свод (соҳа)'!$B21,манзилли!$AA:$AA,"&gt;31.12.2020",манзилли!$AA:$AA,"&lt;01.01.2022"))</f>
        <v>208530</v>
      </c>
      <c r="R21" s="86">
        <f>(+SUMIFS(манзилли!$M:$M,манзилли!$J:$J,'свод (соҳа)'!$B21,манзилли!$AA:$AA,"&gt;31.12.2020",манзилли!$AA:$AA,"&lt;01.01.2022"))</f>
        <v>132928</v>
      </c>
      <c r="S21" s="86">
        <f>(+SUMIFS(манзилли!$Q:$Q,манзилли!$J:$J,'свод (соҳа)'!$B21,манзилли!$AA:$AA,"&gt;31.12.2020",манзилли!$AA:$AA,"&lt;01.01.2022"))</f>
        <v>0</v>
      </c>
      <c r="T21" s="86">
        <f>(+SUMIFS(манзилли!$S:$S,манзилли!$J:$J,'свод (соҳа)'!$B21,манзилли!$AA:$AA,"&gt;31.12.2020",манзилли!$AA:$AA,"&lt;01.01.2022"))</f>
        <v>4340</v>
      </c>
      <c r="U21" s="86">
        <f>(+SUMIFS(манзилли!$U:$U,манзилли!$J:$J,'свод (соҳа)'!$B21,манзилли!$AA:$AA,"&gt;31.12.2020",манзилли!$AA:$AA,"&lt;01.01.2022"))</f>
        <v>3000</v>
      </c>
      <c r="V21" s="30">
        <f>+SUMIFS(манзилли!$Y:$Y,манзилли!$J:$J,'свод (соҳа)'!$B21,манзилли!$AA:$AA,"&gt;31.12.2020",манзилли!$AA:$AA,"&lt;01.01.2022")</f>
        <v>250</v>
      </c>
      <c r="W21" s="28">
        <f t="shared" ref="W21:W47" si="13">+AD21+AK21</f>
        <v>0</v>
      </c>
      <c r="X21" s="86">
        <f t="shared" si="7"/>
        <v>0</v>
      </c>
      <c r="Y21" s="86">
        <f t="shared" si="8"/>
        <v>0</v>
      </c>
      <c r="Z21" s="86">
        <f t="shared" si="9"/>
        <v>0</v>
      </c>
      <c r="AA21" s="86">
        <f t="shared" si="10"/>
        <v>0</v>
      </c>
      <c r="AB21" s="86">
        <f t="shared" si="11"/>
        <v>0</v>
      </c>
      <c r="AC21" s="30">
        <f t="shared" si="12"/>
        <v>0</v>
      </c>
      <c r="AD21" s="28">
        <f>+COUNTIFS(манзилли!$J:$J,'свод (соҳа)'!$B21,манзилли!$AB:$AB,"&gt;31.12.2020",манзилли!$AA:$AA,"&gt;31.12.2020",манзилли!$AA:$AA,"&lt;01.01.2022")</f>
        <v>0</v>
      </c>
      <c r="AE21" s="86">
        <f>(+SUMIFS(манзилли!$L:$L,манзилли!$J:$J,'свод (соҳа)'!$B21,манзилли!$AB:$AB,"&gt;31.12.2020",манзилли!$AA:$AA,"&gt;31.12.2020",манзилли!$AA:$AA,"&lt;01.01.2022"))</f>
        <v>0</v>
      </c>
      <c r="AF21" s="86">
        <f>(+SUMIFS(манзилли!$N:$N,манзилли!$J:$J,'свод (соҳа)'!$B21,манзилли!$AB:$AB,"&gt;31.12.2020",манзилли!$AA:$AA,"&gt;31.12.2020",манзилли!$AA:$AA,"&lt;01.01.2022"))</f>
        <v>0</v>
      </c>
      <c r="AG21" s="86">
        <f>(+SUMIFS(манзилли!$R:$R,манзилли!$J:$J,'свод (соҳа)'!$B21,манзилли!$AB:$AB,"&gt;31.12.2020",манзилли!$AA:$AA,"&gt;31.12.2020",манзилли!$AA:$AA,"&lt;01.01.2022"))</f>
        <v>0</v>
      </c>
      <c r="AH21" s="86">
        <f>(+SUMIFS(манзилли!$T:$T,манзилли!$J:$J,'свод (соҳа)'!$B21,манзилли!$AB:$AB,"&gt;31.12.2020",манзилли!$AA:$AA,"&gt;31.12.2020",манзилли!$AA:$AA,"&lt;01.01.2022"))</f>
        <v>0</v>
      </c>
      <c r="AI21" s="86">
        <f>(+SUMIFS(манзилли!$V:$V,манзилли!$J:$J,'свод (соҳа)'!$B21,манзилли!$AB:$AB,"&gt;31.12.2020",манзилли!$AA:$AA,"&gt;31.12.2020",манзилли!$AA:$AA,"&lt;01.01.2022"))</f>
        <v>0</v>
      </c>
      <c r="AJ21" s="30">
        <f>+SUMIFS(манзилли!$Z:$Z,манзилли!$J:$J,'свод (соҳа)'!$B21,манзилли!$AB:$AB,"&gt;31.12.2020",манзилли!$AA:$AA,"&gt;31.12.2020",манзилли!$AA:$AA,"&lt;01.01.2022")</f>
        <v>0</v>
      </c>
      <c r="AK21" s="28">
        <f>+COUNTIFS('Қўшимча ишга тушган'!$J:$J,'свод (соҳа)'!B21,'Қўшимча ишга тушган'!$AO:$AO,"&lt;01.10.2023")</f>
        <v>0</v>
      </c>
      <c r="AL21" s="86">
        <f>(+SUMIFS('Қўшимча ишга тушган'!$T:$T,'Қўшимча ишга тушган'!$J:$J,'свод (соҳа)'!$B21,'Қўшимча ишга тушган'!$AO:$AO,"&lt;01.10.2023"))</f>
        <v>0</v>
      </c>
      <c r="AM21" s="86">
        <f>(+SUMIFS('Қўшимча ишга тушган'!$V:$V,'Қўшимча ишга тушган'!$J:$J,'свод (соҳа)'!$B21,'Қўшимча ишга тушган'!$AO:$AO,"&lt;01.10.2023"))</f>
        <v>0</v>
      </c>
      <c r="AN21" s="86">
        <f>(+SUMIFS('Қўшимча ишга тушган'!$Z:$Z,'Қўшимча ишга тушган'!$J:$J,'свод (соҳа)'!$B21,'Қўшимча ишга тушган'!$AO:$AO,"&lt;01.10.2023"))</f>
        <v>0</v>
      </c>
      <c r="AO21" s="86">
        <f>(+SUMIFS('Қўшимча ишга тушган'!$AB:$AB,'Қўшимча ишга тушган'!$J:$J,'свод (соҳа)'!$B21,'Қўшимча ишга тушган'!$AO:$AO,"&lt;01.10.2023"))</f>
        <v>0</v>
      </c>
      <c r="AP21" s="86">
        <f>(+SUMIFS('Қўшимча ишга тушган'!$AD:$AD,'Қўшимча ишга тушган'!$J:$J,'свод (соҳа)'!$B21,'Қўшимча ишга тушган'!$AO:$AO,"&lt;01.10.2023"))</f>
        <v>0</v>
      </c>
      <c r="AQ21" s="30">
        <f>+SUMIFS('Қўшимча ишга тушган'!$AM:$AM,'Қўшимча ишга тушган'!$J:$J,'свод (соҳа)'!$B21,'Қўшимча ишга тушган'!$AO:$AO,"&lt;01.10.2023")</f>
        <v>0</v>
      </c>
      <c r="AR21" s="28">
        <f>+COUNTIFS(манзилли!$J:$J,'свод (соҳа)'!$B21,манзилли!$AA:$AA,"&lt;01.02.2021",манзилли!$AB:$AB,"")</f>
        <v>0</v>
      </c>
      <c r="AS21" s="86">
        <f>(+SUMIFS(манзилли!$K:$K,манзилли!$J:$J,'свод (соҳа)'!$B21,манзилли!$AA:$AA,"&lt;01.02.2021",манзилли!$AB:$AB,""))</f>
        <v>0</v>
      </c>
      <c r="AT21" s="86">
        <f>(+SUMIFS(манзилли!$M:$M,манзилли!$J:$J,'свод (соҳа)'!$B21,манзилли!$AA:$AA,"&lt;01.02.2021",манзилли!$AB:$AB,""))</f>
        <v>0</v>
      </c>
      <c r="AU21" s="86">
        <f>(+SUMIFS(манзилли!$Q:$Q,манзилли!$J:$J,'свод (соҳа)'!$B21,манзилли!$AA:$AA,"&lt;01.02.2021",манзилли!$AB:$AB,""))</f>
        <v>0</v>
      </c>
      <c r="AV21" s="86">
        <f>(+SUMIFS(манзилли!$S:$S,манзилли!$J:$J,'свод (соҳа)'!$B21,манзилли!$AA:$AA,"&lt;01.02.2021",манзилли!$AB:$AB,""))</f>
        <v>0</v>
      </c>
      <c r="AW21" s="86">
        <f>(+SUMIFS(манзилли!$U:$U,манзилли!$J:$J,'свод (соҳа)'!$B21,манзилли!$AA:$AA,"&lt;01.02.2021",манзилли!$AB:$AB,""))</f>
        <v>0</v>
      </c>
      <c r="AX21" s="30">
        <f>+SUMIFS(манзилли!$Y:$Y,манзилли!$J:$J,'свод (соҳа)'!$B21,манзилли!$AA:$AA,"&lt;01.02.2021",манзилли!$AB:$AB,"")</f>
        <v>0</v>
      </c>
      <c r="AY21" s="28">
        <f>+COUNTIFS(манзилли!$J:$J,'свод (соҳа)'!$B21,манзилли!$AA:$AA,"&lt;01.01.2022",манзилли!$AB:$AB,"")</f>
        <v>2</v>
      </c>
      <c r="AZ21" s="86">
        <f>(+SUMIFS(манзилли!$K:$K,манзилли!$J:$J,'свод (соҳа)'!$B21,манзилли!$AA:$AA,"&lt;01.01.2022",манзилли!$AB:$AB,""))</f>
        <v>208530</v>
      </c>
      <c r="BA21" s="86">
        <f>(+SUMIFS(манзилли!$M:$M,манзилли!$J:$J,'свод (соҳа)'!$B21,манзилли!$AA:$AA,"&lt;01.01.2022",манзилли!$AB:$AB,""))</f>
        <v>132928</v>
      </c>
      <c r="BB21" s="86">
        <f>(+SUMIFS(манзилли!$Q:$Q,манзилли!$J:$J,'свод (соҳа)'!$B21,манзилли!$AA:$AA,"&lt;01.01.2022",манзилли!$AB:$AB,""))</f>
        <v>0</v>
      </c>
      <c r="BC21" s="86">
        <f>(+SUMIFS(манзилли!$S:$S,манзилли!$J:$J,'свод (соҳа)'!$B21,манзилли!$AA:$AA,"&lt;01.01.2022",манзилли!$AB:$AB,""))</f>
        <v>4340</v>
      </c>
      <c r="BD21" s="86">
        <f>(+SUMIFS(манзилли!$U:$U,манзилли!$J:$J,'свод (соҳа)'!$B21,манзилли!$AA:$AA,"&lt;01.01.2022",манзилли!$AB:$AB,""))</f>
        <v>3000</v>
      </c>
      <c r="BE21" s="30">
        <f>+SUMIFS(манзилли!$Y:$Y,манзилли!$J:$J,'свод (соҳа)'!$B21,манзилли!$AA:$AA,"&lt;01.01.2022",манзилли!$AB:$AB,"")</f>
        <v>250</v>
      </c>
      <c r="BF21" s="28">
        <f>+COUNTIFS(манзилли!$J:$J,'свод (соҳа)'!$B21,манзилли!$AA:$AA,"&lt;01.01.2023",манзилли!$AA:$AA,"&gt;=01.01.2022")</f>
        <v>1</v>
      </c>
      <c r="BG21" s="86">
        <f>(+SUMIFS(манзилли!$K:$K,манзилли!$J:$J,'свод (соҳа)'!$B21,манзилли!$AA:$AA,"&lt;01.01.2023",манзилли!$AA:$AA,"&gt;=01.01.2022"))</f>
        <v>9400</v>
      </c>
      <c r="BH21" s="86">
        <f>(+SUMIFS(манзилли!$M:$M,манзилли!$J:$J,'свод (соҳа)'!$B21,манзилли!$AA:$AA,"&lt;01.01.2023",манзилли!$AA:$AA,"&gt;=01.01.2022"))</f>
        <v>9400</v>
      </c>
      <c r="BI21" s="86">
        <f>(+SUMIFS(манзилли!$Q:$Q,манзилли!$J:$J,'свод (соҳа)'!$B21,манзилли!$AA:$AA,"&lt;01.01.2023",манзилли!$AA:$AA,"&gt;=01.01.2022"))</f>
        <v>0</v>
      </c>
      <c r="BJ21" s="86">
        <f>(+SUMIFS(манзилли!$S:$S,манзилли!$J:$J,'свод (соҳа)'!$B21,манзилли!$AA:$AA,"&lt;01.01.2023",манзилли!$AA:$AA,"&gt;=01.01.2022"))</f>
        <v>0</v>
      </c>
      <c r="BK21" s="86">
        <f>(+SUMIFS(манзилли!$U:$U,манзилли!$J:$J,'свод (соҳа)'!$B21,манзилли!$AA:$AA,"&lt;01.01.2023",манзилли!$AA:$AA,"&gt;=01.01.2022"))</f>
        <v>0</v>
      </c>
      <c r="BL21" s="30">
        <f>+SUMIFS(манзилли!$Y:$Y,манзилли!$J:$J,'свод (соҳа)'!$B21,манзилли!$AA:$AA,"&lt;01.01.2023",манзилли!$AA:$AA,"&gt;=01.01.2022")</f>
        <v>30</v>
      </c>
    </row>
    <row r="22" spans="1:64" s="3" customFormat="1" ht="35.25" customHeight="1" outlineLevel="1" thickBot="1">
      <c r="A22" s="87">
        <f t="shared" si="6"/>
        <v>15</v>
      </c>
      <c r="B22" s="91" t="s">
        <v>51</v>
      </c>
      <c r="C22" s="58">
        <f>+COUNTIFS(манзилли!$J:$J,'свод (соҳа)'!$B22)</f>
        <v>6</v>
      </c>
      <c r="D22" s="59">
        <f>(+SUMIFS(манзилли!$K:$K,манзилли!$J:$J,'свод (соҳа)'!$B22))</f>
        <v>73220</v>
      </c>
      <c r="E22" s="59">
        <f>(+SUMIFS(манзилли!$M:$M,манзилли!$J:$J,'свод (соҳа)'!$B22))</f>
        <v>29990</v>
      </c>
      <c r="F22" s="59">
        <f>(+SUMIFS(манзилли!$Q:$Q,манзилли!$J:$J,'свод (соҳа)'!$B22))</f>
        <v>1000</v>
      </c>
      <c r="G22" s="59">
        <f>(+SUMIFS(манзилли!$S:$S,манзилли!$J:$J,'свод (соҳа)'!$B22))</f>
        <v>1600</v>
      </c>
      <c r="H22" s="59">
        <f>(+SUMIFS(манзилли!$U:$U,манзилли!$J:$J,'свод (соҳа)'!$B22))</f>
        <v>2500</v>
      </c>
      <c r="I22" s="63">
        <f>+SUMIFS(манзилли!$Y:$Y,манзилли!$J:$J,'свод (соҳа)'!$B22)</f>
        <v>144</v>
      </c>
      <c r="J22" s="58">
        <f>+(COUNTIFS(манзилли!$L:$L,"&gt;0",манзилли!$J:$J,'свод (соҳа)'!$B22)+COUNTIFS('Қўшимча ишга тушган'!$T:$T,"&gt;0",'Қўшимча ишга тушган'!$J:$J,'свод (соҳа)'!$B22))</f>
        <v>0</v>
      </c>
      <c r="K22" s="59">
        <f>(+SUMIFS(манзилли!$L:$L,манзилли!$J:$J,'свод (соҳа)'!$B22)+SUMIFS('Қўшимча ишга тушган'!$T:$T,'Қўшимча ишга тушган'!$J:$J,'свод (соҳа)'!$B22))</f>
        <v>0</v>
      </c>
      <c r="L22" s="59">
        <f>+(SUMIFS(манзилли!$N:$N,манзилли!$J:$J,'свод (соҳа)'!$B22)+SUMIFS('Қўшимча ишга тушган'!$V:$V,'Қўшимча ишга тушган'!$J:$J,'свод (соҳа)'!$B22))</f>
        <v>0</v>
      </c>
      <c r="M22" s="59">
        <f>(+SUMIFS(манзилли!$R:$R,манзилли!$J:$J,'свод (соҳа)'!$B22)+SUMIFS('Қўшимча ишга тушган'!$Z:$Z,'Қўшимча ишга тушган'!$J:$J,'свод (соҳа)'!$B22))</f>
        <v>0</v>
      </c>
      <c r="N22" s="59">
        <f>(+SUMIFS(манзилли!$T:$T,манзилли!$J:$J,'свод (соҳа)'!$B22)+SUMIFS('Қўшимча ишга тушган'!$AB:$AB,'Қўшимча ишга тушган'!$J:$J,'свод (соҳа)'!$B22))</f>
        <v>0</v>
      </c>
      <c r="O22" s="63">
        <f>(+SUMIFS(манзилли!$V:$V,манзилли!$J:$J,'свод (соҳа)'!$B22)+SUMIFS('Қўшимча ишга тушган'!$AD:$AD,'Қўшимча ишга тушган'!$J:$J,'свод (соҳа)'!$B22))</f>
        <v>0</v>
      </c>
      <c r="P22" s="58">
        <f>+COUNTIFS(манзилли!$J:$J,'свод (соҳа)'!$B22,манзилли!$AA:$AA,"&gt;31.12.2020",манзилли!$AA:$AA,"&lt;01.01.2022")</f>
        <v>2</v>
      </c>
      <c r="Q22" s="59">
        <f>(+SUMIFS(манзилли!$K:$K,манзилли!$J:$J,'свод (соҳа)'!$B22,манзилли!$AA:$AA,"&gt;31.12.2020",манзилли!$AA:$AA,"&lt;01.01.2022"))</f>
        <v>12170</v>
      </c>
      <c r="R22" s="59">
        <f>(+SUMIFS(манзилли!$M:$M,манзилли!$J:$J,'свод (соҳа)'!$B22,манзилли!$AA:$AA,"&gt;31.12.2020",манзилли!$AA:$AA,"&lt;01.01.2022"))</f>
        <v>12170</v>
      </c>
      <c r="S22" s="59">
        <f>(+SUMIFS(манзилли!$Q:$Q,манзилли!$J:$J,'свод (соҳа)'!$B22,манзилли!$AA:$AA,"&gt;31.12.2020",манзилли!$AA:$AA,"&lt;01.01.2022"))</f>
        <v>0</v>
      </c>
      <c r="T22" s="59">
        <f>(+SUMIFS(манзилли!$S:$S,манзилли!$J:$J,'свод (соҳа)'!$B22,манзилли!$AA:$AA,"&gt;31.12.2020",манзилли!$AA:$AA,"&lt;01.01.2022"))</f>
        <v>0</v>
      </c>
      <c r="U22" s="59">
        <f>(+SUMIFS(манзилли!$U:$U,манзилли!$J:$J,'свод (соҳа)'!$B22,манзилли!$AA:$AA,"&gt;31.12.2020",манзилли!$AA:$AA,"&lt;01.01.2022"))</f>
        <v>0</v>
      </c>
      <c r="V22" s="63">
        <f>+SUMIFS(манзилли!$Y:$Y,манзилли!$J:$J,'свод (соҳа)'!$B22,манзилли!$AA:$AA,"&gt;31.12.2020",манзилли!$AA:$AA,"&lt;01.01.2022")</f>
        <v>32</v>
      </c>
      <c r="W22" s="58">
        <f t="shared" si="13"/>
        <v>0</v>
      </c>
      <c r="X22" s="59">
        <f t="shared" si="7"/>
        <v>0</v>
      </c>
      <c r="Y22" s="59">
        <f t="shared" si="8"/>
        <v>0</v>
      </c>
      <c r="Z22" s="59">
        <f t="shared" si="9"/>
        <v>0</v>
      </c>
      <c r="AA22" s="59">
        <f t="shared" si="10"/>
        <v>0</v>
      </c>
      <c r="AB22" s="59">
        <f t="shared" si="11"/>
        <v>0</v>
      </c>
      <c r="AC22" s="63">
        <f t="shared" si="12"/>
        <v>0</v>
      </c>
      <c r="AD22" s="58">
        <f>+COUNTIFS(манзилли!$J:$J,'свод (соҳа)'!$B22,манзилли!$AB:$AB,"&gt;31.12.2020",манзилли!$AA:$AA,"&gt;31.12.2020",манзилли!$AA:$AA,"&lt;01.01.2022")</f>
        <v>0</v>
      </c>
      <c r="AE22" s="59">
        <f>(+SUMIFS(манзилли!$L:$L,манзилли!$J:$J,'свод (соҳа)'!$B22,манзилли!$AB:$AB,"&gt;31.12.2020",манзилли!$AA:$AA,"&gt;31.12.2020",манзилли!$AA:$AA,"&lt;01.01.2022"))</f>
        <v>0</v>
      </c>
      <c r="AF22" s="59">
        <f>(+SUMIFS(манзилли!$N:$N,манзилли!$J:$J,'свод (соҳа)'!$B22,манзилли!$AB:$AB,"&gt;31.12.2020",манзилли!$AA:$AA,"&gt;31.12.2020",манзилли!$AA:$AA,"&lt;01.01.2022"))</f>
        <v>0</v>
      </c>
      <c r="AG22" s="59">
        <f>(+SUMIFS(манзилли!$R:$R,манзилли!$J:$J,'свод (соҳа)'!$B22,манзилли!$AB:$AB,"&gt;31.12.2020",манзилли!$AA:$AA,"&gt;31.12.2020",манзилли!$AA:$AA,"&lt;01.01.2022"))</f>
        <v>0</v>
      </c>
      <c r="AH22" s="59">
        <f>(+SUMIFS(манзилли!$T:$T,манзилли!$J:$J,'свод (соҳа)'!$B22,манзилли!$AB:$AB,"&gt;31.12.2020",манзилли!$AA:$AA,"&gt;31.12.2020",манзилли!$AA:$AA,"&lt;01.01.2022"))</f>
        <v>0</v>
      </c>
      <c r="AI22" s="59">
        <f>(+SUMIFS(манзилли!$V:$V,манзилли!$J:$J,'свод (соҳа)'!$B22,манзилли!$AB:$AB,"&gt;31.12.2020",манзилли!$AA:$AA,"&gt;31.12.2020",манзилли!$AA:$AA,"&lt;01.01.2022"))</f>
        <v>0</v>
      </c>
      <c r="AJ22" s="63">
        <f>+SUMIFS(манзилли!$Z:$Z,манзилли!$J:$J,'свод (соҳа)'!$B22,манзилли!$AB:$AB,"&gt;31.12.2020",манзилли!$AA:$AA,"&gt;31.12.2020",манзилли!$AA:$AA,"&lt;01.01.2022")</f>
        <v>0</v>
      </c>
      <c r="AK22" s="58">
        <f>+COUNTIFS('Қўшимча ишга тушган'!$J:$J,'свод (соҳа)'!B22,'Қўшимча ишга тушган'!$AO:$AO,"&lt;01.10.2023")</f>
        <v>0</v>
      </c>
      <c r="AL22" s="59">
        <f>(+SUMIFS('Қўшимча ишга тушган'!$T:$T,'Қўшимча ишга тушган'!$J:$J,'свод (соҳа)'!$B22,'Қўшимча ишга тушган'!$AO:$AO,"&lt;01.10.2023"))</f>
        <v>0</v>
      </c>
      <c r="AM22" s="59">
        <f>(+SUMIFS('Қўшимча ишга тушган'!$V:$V,'Қўшимча ишга тушган'!$J:$J,'свод (соҳа)'!$B22,'Қўшимча ишга тушган'!$AO:$AO,"&lt;01.10.2023"))</f>
        <v>0</v>
      </c>
      <c r="AN22" s="59">
        <f>(+SUMIFS('Қўшимча ишга тушган'!$Z:$Z,'Қўшимча ишга тушган'!$J:$J,'свод (соҳа)'!$B22,'Қўшимча ишга тушган'!$AO:$AO,"&lt;01.10.2023"))</f>
        <v>0</v>
      </c>
      <c r="AO22" s="59">
        <f>(+SUMIFS('Қўшимча ишга тушган'!$AB:$AB,'Қўшимча ишга тушган'!$J:$J,'свод (соҳа)'!$B22,'Қўшимча ишга тушган'!$AO:$AO,"&lt;01.10.2023"))</f>
        <v>0</v>
      </c>
      <c r="AP22" s="59">
        <f>(+SUMIFS('Қўшимча ишга тушган'!$AD:$AD,'Қўшимча ишга тушган'!$J:$J,'свод (соҳа)'!$B22,'Қўшимча ишга тушган'!$AO:$AO,"&lt;01.10.2023"))</f>
        <v>0</v>
      </c>
      <c r="AQ22" s="63">
        <f>+SUMIFS('Қўшимча ишга тушган'!$AM:$AM,'Қўшимча ишга тушган'!$J:$J,'свод (соҳа)'!$B22,'Қўшимча ишга тушган'!$AO:$AO,"&lt;01.10.2023")</f>
        <v>0</v>
      </c>
      <c r="AR22" s="58">
        <f>+COUNTIFS(манзилли!$J:$J,'свод (соҳа)'!$B22,манзилли!$AA:$AA,"&lt;01.02.2021",манзилли!$AB:$AB,"")</f>
        <v>0</v>
      </c>
      <c r="AS22" s="59">
        <f>(+SUMIFS(манзилли!$K:$K,манзилли!$J:$J,'свод (соҳа)'!$B22,манзилли!$AA:$AA,"&lt;01.02.2021",манзилли!$AB:$AB,""))</f>
        <v>0</v>
      </c>
      <c r="AT22" s="59">
        <f>(+SUMIFS(манзилли!$M:$M,манзилли!$J:$J,'свод (соҳа)'!$B22,манзилли!$AA:$AA,"&lt;01.02.2021",манзилли!$AB:$AB,""))</f>
        <v>0</v>
      </c>
      <c r="AU22" s="59">
        <f>(+SUMIFS(манзилли!$Q:$Q,манзилли!$J:$J,'свод (соҳа)'!$B22,манзилли!$AA:$AA,"&lt;01.02.2021",манзилли!$AB:$AB,""))</f>
        <v>0</v>
      </c>
      <c r="AV22" s="59">
        <f>(+SUMIFS(манзилли!$S:$S,манзилли!$J:$J,'свод (соҳа)'!$B22,манзилли!$AA:$AA,"&lt;01.02.2021",манзилли!$AB:$AB,""))</f>
        <v>0</v>
      </c>
      <c r="AW22" s="59">
        <f>(+SUMIFS(манзилли!$U:$U,манзилли!$J:$J,'свод (соҳа)'!$B22,манзилли!$AA:$AA,"&lt;01.02.2021",манзилли!$AB:$AB,""))</f>
        <v>0</v>
      </c>
      <c r="AX22" s="63">
        <f>+SUMIFS(манзилли!$Y:$Y,манзилли!$J:$J,'свод (соҳа)'!$B22,манзилли!$AA:$AA,"&lt;01.02.2021",манзилли!$AB:$AB,"")</f>
        <v>0</v>
      </c>
      <c r="AY22" s="58">
        <f>+COUNTIFS(манзилли!$J:$J,'свод (соҳа)'!$B22,манзилли!$AA:$AA,"&lt;01.01.2022",манзилли!$AB:$AB,"")</f>
        <v>2</v>
      </c>
      <c r="AZ22" s="59">
        <f>(+SUMIFS(манзилли!$K:$K,манзилли!$J:$J,'свод (соҳа)'!$B22,манзилли!$AA:$AA,"&lt;01.01.2022",манзилли!$AB:$AB,""))</f>
        <v>12170</v>
      </c>
      <c r="BA22" s="59">
        <f>(+SUMIFS(манзилли!$M:$M,манзилли!$J:$J,'свод (соҳа)'!$B22,манзилли!$AA:$AA,"&lt;01.01.2022",манзилли!$AB:$AB,""))</f>
        <v>12170</v>
      </c>
      <c r="BB22" s="59">
        <f>(+SUMIFS(манзилли!$Q:$Q,манзилли!$J:$J,'свод (соҳа)'!$B22,манзилли!$AA:$AA,"&lt;01.01.2022",манзилли!$AB:$AB,""))</f>
        <v>0</v>
      </c>
      <c r="BC22" s="59">
        <f>(+SUMIFS(манзилли!$S:$S,манзилли!$J:$J,'свод (соҳа)'!$B22,манзилли!$AA:$AA,"&lt;01.01.2022",манзилли!$AB:$AB,""))</f>
        <v>0</v>
      </c>
      <c r="BD22" s="59">
        <f>(+SUMIFS(манзилли!$U:$U,манзилли!$J:$J,'свод (соҳа)'!$B22,манзилли!$AA:$AA,"&lt;01.01.2022",манзилли!$AB:$AB,""))</f>
        <v>0</v>
      </c>
      <c r="BE22" s="63">
        <f>+SUMIFS(манзилли!$Y:$Y,манзилли!$J:$J,'свод (соҳа)'!$B22,манзилли!$AA:$AA,"&lt;01.01.2022",манзилли!$AB:$AB,"")</f>
        <v>32</v>
      </c>
      <c r="BF22" s="58">
        <f>+COUNTIFS(манзилли!$J:$J,'свод (соҳа)'!$B22,манзилли!$AA:$AA,"&lt;01.01.2023",манзилли!$AA:$AA,"&gt;=01.01.2022")</f>
        <v>4</v>
      </c>
      <c r="BG22" s="59">
        <f>(+SUMIFS(манзилли!$K:$K,манзилли!$J:$J,'свод (соҳа)'!$B22,манзилли!$AA:$AA,"&lt;01.01.2023",манзилли!$AA:$AA,"&gt;=01.01.2022"))</f>
        <v>61050</v>
      </c>
      <c r="BH22" s="59">
        <f>(+SUMIFS(манзилли!$M:$M,манзилли!$J:$J,'свод (соҳа)'!$B22,манзилли!$AA:$AA,"&lt;01.01.2023",манзилли!$AA:$AA,"&gt;=01.01.2022"))</f>
        <v>17820</v>
      </c>
      <c r="BI22" s="59">
        <f>(+SUMIFS(манзилли!$Q:$Q,манзилли!$J:$J,'свод (соҳа)'!$B22,манзилли!$AA:$AA,"&lt;01.01.2023",манзилли!$AA:$AA,"&gt;=01.01.2022"))</f>
        <v>1000</v>
      </c>
      <c r="BJ22" s="59">
        <f>(+SUMIFS(манзилли!$S:$S,манзилли!$J:$J,'свод (соҳа)'!$B22,манзилли!$AA:$AA,"&lt;01.01.2023",манзилли!$AA:$AA,"&gt;=01.01.2022"))</f>
        <v>1600</v>
      </c>
      <c r="BK22" s="59">
        <f>(+SUMIFS(манзилли!$U:$U,манзилли!$J:$J,'свод (соҳа)'!$B22,манзилли!$AA:$AA,"&lt;01.01.2023",манзилли!$AA:$AA,"&gt;=01.01.2022"))</f>
        <v>2500</v>
      </c>
      <c r="BL22" s="63">
        <f>+SUMIFS(манзилли!$Y:$Y,манзилли!$J:$J,'свод (соҳа)'!$B22,манзилли!$AA:$AA,"&lt;01.01.2023",манзилли!$AA:$AA,"&gt;=01.01.2022")</f>
        <v>112</v>
      </c>
    </row>
    <row r="23" spans="1:64" s="3" customFormat="1" ht="35.25" customHeight="1" thickBot="1">
      <c r="A23" s="135" t="s">
        <v>9</v>
      </c>
      <c r="B23" s="145" t="s">
        <v>9</v>
      </c>
      <c r="C23" s="43">
        <f>+SUM(C24:C34)</f>
        <v>330</v>
      </c>
      <c r="D23" s="42">
        <f t="shared" ref="D23:BI23" si="14">+SUM(D24:D34)</f>
        <v>1684802.9</v>
      </c>
      <c r="E23" s="42">
        <f t="shared" si="14"/>
        <v>622703</v>
      </c>
      <c r="F23" s="42">
        <f t="shared" si="14"/>
        <v>596849</v>
      </c>
      <c r="G23" s="42">
        <f t="shared" si="14"/>
        <v>29788</v>
      </c>
      <c r="H23" s="42">
        <f t="shared" si="14"/>
        <v>14385</v>
      </c>
      <c r="I23" s="42">
        <f t="shared" si="14"/>
        <v>4258</v>
      </c>
      <c r="J23" s="43">
        <f t="shared" si="14"/>
        <v>213</v>
      </c>
      <c r="K23" s="42">
        <f t="shared" si="14"/>
        <v>314479</v>
      </c>
      <c r="L23" s="42">
        <f t="shared" si="14"/>
        <v>33894.300000000003</v>
      </c>
      <c r="M23" s="42">
        <f t="shared" si="14"/>
        <v>229429.7</v>
      </c>
      <c r="N23" s="42">
        <f t="shared" si="14"/>
        <v>5035</v>
      </c>
      <c r="O23" s="42">
        <f t="shared" si="14"/>
        <v>0</v>
      </c>
      <c r="P23" s="43">
        <f t="shared" si="14"/>
        <v>247</v>
      </c>
      <c r="Q23" s="42">
        <f t="shared" si="14"/>
        <v>1362744.1</v>
      </c>
      <c r="R23" s="42">
        <f t="shared" si="14"/>
        <v>519733</v>
      </c>
      <c r="S23" s="42">
        <f t="shared" si="14"/>
        <v>434862</v>
      </c>
      <c r="T23" s="42">
        <f t="shared" si="14"/>
        <v>25802</v>
      </c>
      <c r="U23" s="42">
        <f t="shared" si="14"/>
        <v>12885</v>
      </c>
      <c r="V23" s="42">
        <f t="shared" si="14"/>
        <v>3260</v>
      </c>
      <c r="W23" s="43">
        <f t="shared" si="14"/>
        <v>11</v>
      </c>
      <c r="X23" s="42">
        <f t="shared" si="14"/>
        <v>11005</v>
      </c>
      <c r="Y23" s="42">
        <f t="shared" si="14"/>
        <v>5520</v>
      </c>
      <c r="Z23" s="42">
        <f t="shared" si="14"/>
        <v>4465</v>
      </c>
      <c r="AA23" s="42">
        <f t="shared" si="14"/>
        <v>100</v>
      </c>
      <c r="AB23" s="42">
        <f t="shared" si="14"/>
        <v>0</v>
      </c>
      <c r="AC23" s="42">
        <f t="shared" si="14"/>
        <v>52</v>
      </c>
      <c r="AD23" s="43">
        <f t="shared" si="14"/>
        <v>11</v>
      </c>
      <c r="AE23" s="42">
        <f t="shared" si="14"/>
        <v>11005</v>
      </c>
      <c r="AF23" s="42">
        <f t="shared" si="14"/>
        <v>5520</v>
      </c>
      <c r="AG23" s="42">
        <f t="shared" si="14"/>
        <v>4465</v>
      </c>
      <c r="AH23" s="42">
        <f t="shared" si="14"/>
        <v>100</v>
      </c>
      <c r="AI23" s="42">
        <f t="shared" si="14"/>
        <v>0</v>
      </c>
      <c r="AJ23" s="42">
        <f t="shared" si="14"/>
        <v>52</v>
      </c>
      <c r="AK23" s="43">
        <f t="shared" si="14"/>
        <v>0</v>
      </c>
      <c r="AL23" s="42">
        <f t="shared" si="14"/>
        <v>0</v>
      </c>
      <c r="AM23" s="42">
        <f t="shared" si="14"/>
        <v>0</v>
      </c>
      <c r="AN23" s="42">
        <f t="shared" si="14"/>
        <v>0</v>
      </c>
      <c r="AO23" s="42">
        <f t="shared" si="14"/>
        <v>0</v>
      </c>
      <c r="AP23" s="42">
        <f t="shared" si="14"/>
        <v>0</v>
      </c>
      <c r="AQ23" s="42">
        <f t="shared" si="14"/>
        <v>0</v>
      </c>
      <c r="AR23" s="43">
        <f t="shared" si="14"/>
        <v>0</v>
      </c>
      <c r="AS23" s="42">
        <f t="shared" si="14"/>
        <v>0</v>
      </c>
      <c r="AT23" s="42">
        <f t="shared" si="14"/>
        <v>0</v>
      </c>
      <c r="AU23" s="42">
        <f t="shared" si="14"/>
        <v>0</v>
      </c>
      <c r="AV23" s="42">
        <f t="shared" si="14"/>
        <v>0</v>
      </c>
      <c r="AW23" s="42">
        <f t="shared" si="14"/>
        <v>0</v>
      </c>
      <c r="AX23" s="42">
        <f t="shared" si="14"/>
        <v>0</v>
      </c>
      <c r="AY23" s="43">
        <f t="shared" si="14"/>
        <v>223</v>
      </c>
      <c r="AZ23" s="42">
        <f t="shared" si="14"/>
        <v>1328421.1000000001</v>
      </c>
      <c r="BA23" s="42">
        <f t="shared" si="14"/>
        <v>508783</v>
      </c>
      <c r="BB23" s="42">
        <f t="shared" si="14"/>
        <v>414296</v>
      </c>
      <c r="BC23" s="42">
        <f t="shared" si="14"/>
        <v>25612</v>
      </c>
      <c r="BD23" s="42">
        <f t="shared" si="14"/>
        <v>12885</v>
      </c>
      <c r="BE23" s="42">
        <f t="shared" si="14"/>
        <v>3113</v>
      </c>
      <c r="BF23" s="43">
        <f t="shared" si="14"/>
        <v>36</v>
      </c>
      <c r="BG23" s="42">
        <f t="shared" si="14"/>
        <v>260802.8</v>
      </c>
      <c r="BH23" s="42">
        <f t="shared" si="14"/>
        <v>81410</v>
      </c>
      <c r="BI23" s="42">
        <f t="shared" si="14"/>
        <v>124150</v>
      </c>
      <c r="BJ23" s="42">
        <f t="shared" ref="BJ23:BL23" si="15">+SUM(BJ24:BJ34)</f>
        <v>3856</v>
      </c>
      <c r="BK23" s="42">
        <f t="shared" si="15"/>
        <v>1500</v>
      </c>
      <c r="BL23" s="42">
        <f t="shared" si="15"/>
        <v>750</v>
      </c>
    </row>
    <row r="24" spans="1:64" s="3" customFormat="1" ht="35.25" customHeight="1" outlineLevel="1">
      <c r="A24" s="92">
        <v>1</v>
      </c>
      <c r="B24" s="93" t="s">
        <v>42</v>
      </c>
      <c r="C24" s="46">
        <f>+COUNTIFS(манзилли!$J:$J,'свод (соҳа)'!$B24)</f>
        <v>4</v>
      </c>
      <c r="D24" s="47">
        <f>(+SUMIFS(манзилли!$K:$K,манзилли!$J:$J,'свод (соҳа)'!$B24))</f>
        <v>1200</v>
      </c>
      <c r="E24" s="47">
        <f>(+SUMIFS(манзилли!$M:$M,манзилли!$J:$J,'свод (соҳа)'!$B24))</f>
        <v>455</v>
      </c>
      <c r="F24" s="47">
        <f>(+SUMIFS(манзилли!$Q:$Q,манзилли!$J:$J,'свод (соҳа)'!$B24))</f>
        <v>745</v>
      </c>
      <c r="G24" s="47">
        <f>(+SUMIFS(манзилли!$S:$S,манзилли!$J:$J,'свод (соҳа)'!$B24))</f>
        <v>0</v>
      </c>
      <c r="H24" s="47">
        <f>(+SUMIFS(манзилли!$U:$U,манзилли!$J:$J,'свод (соҳа)'!$B24))</f>
        <v>0</v>
      </c>
      <c r="I24" s="48">
        <f>+SUMIFS(манзилли!$Y:$Y,манзилли!$J:$J,'свод (соҳа)'!$B24)</f>
        <v>26</v>
      </c>
      <c r="J24" s="46">
        <f>+(COUNTIFS(манзилли!$L:$L,"&gt;0",манзилли!$J:$J,'свод (соҳа)'!$B24)+COUNTIFS('Қўшимча ишга тушган'!$T:$T,"&gt;0",'Қўшимча ишга тушган'!$J:$J,'свод (соҳа)'!$B24))</f>
        <v>4</v>
      </c>
      <c r="K24" s="47">
        <f>(+SUMIFS(манзилли!$L:$L,манзилли!$J:$J,'свод (соҳа)'!$B24)+SUMIFS('Қўшимча ишга тушган'!$T:$T,'Қўшимча ишга тушган'!$J:$J,'свод (соҳа)'!$B24))</f>
        <v>1236</v>
      </c>
      <c r="L24" s="47">
        <f>+(SUMIFS(манзилли!$N:$N,манзилли!$J:$J,'свод (соҳа)'!$B24)+SUMIFS('Қўшимча ишга тушган'!$V:$V,'Қўшимча ишга тушган'!$J:$J,'свод (соҳа)'!$B24))</f>
        <v>495</v>
      </c>
      <c r="M24" s="47">
        <f>(+SUMIFS(манзилли!$R:$R,манзилли!$J:$J,'свод (соҳа)'!$B24)+SUMIFS('Қўшимча ишга тушган'!$Z:$Z,'Қўшимча ишга тушган'!$J:$J,'свод (соҳа)'!$B24))</f>
        <v>741</v>
      </c>
      <c r="N24" s="47">
        <f>(+SUMIFS(манзилли!$T:$T,манзилли!$J:$J,'свод (соҳа)'!$B24)+SUMIFS('Қўшимча ишга тушган'!$AB:$AB,'Қўшимча ишга тушган'!$J:$J,'свод (соҳа)'!$B24))</f>
        <v>0</v>
      </c>
      <c r="O24" s="48">
        <f>(+SUMIFS(манзилли!$V:$V,манзилли!$J:$J,'свод (соҳа)'!$B24)+SUMIFS('Қўшимча ишга тушган'!$AD:$AD,'Қўшимча ишга тушган'!$J:$J,'свод (соҳа)'!$B24))</f>
        <v>0</v>
      </c>
      <c r="P24" s="46">
        <f>+COUNTIFS(манзилли!$J:$J,'свод (соҳа)'!$B24,манзилли!$AA:$AA,"&gt;31.12.2020",манзилли!$AA:$AA,"&lt;01.01.2022")</f>
        <v>0</v>
      </c>
      <c r="Q24" s="47">
        <f>(+SUMIFS(манзилли!$K:$K,манзилли!$J:$J,'свод (соҳа)'!$B24,манзилли!$AA:$AA,"&gt;31.12.2020",манзилли!$AA:$AA,"&lt;01.01.2022"))</f>
        <v>0</v>
      </c>
      <c r="R24" s="47">
        <f>(+SUMIFS(манзилли!$M:$M,манзилли!$J:$J,'свод (соҳа)'!$B24,манзилли!$AA:$AA,"&gt;31.12.2020",манзилли!$AA:$AA,"&lt;01.01.2022"))</f>
        <v>0</v>
      </c>
      <c r="S24" s="47">
        <f>(+SUMIFS(манзилли!$Q:$Q,манзилли!$J:$J,'свод (соҳа)'!$B24,манзилли!$AA:$AA,"&gt;31.12.2020",манзилли!$AA:$AA,"&lt;01.01.2022"))</f>
        <v>0</v>
      </c>
      <c r="T24" s="47">
        <f>(+SUMIFS(манзилли!$S:$S,манзилли!$J:$J,'свод (соҳа)'!$B24,манзилли!$AA:$AA,"&gt;31.12.2020",манзилли!$AA:$AA,"&lt;01.01.2022"))</f>
        <v>0</v>
      </c>
      <c r="U24" s="47">
        <f>(+SUMIFS(манзилли!$U:$U,манзилли!$J:$J,'свод (соҳа)'!$B24,манзилли!$AA:$AA,"&gt;31.12.2020",манзилли!$AA:$AA,"&lt;01.01.2022"))</f>
        <v>0</v>
      </c>
      <c r="V24" s="48">
        <f>+SUMIFS(манзилли!$Y:$Y,манзилли!$J:$J,'свод (соҳа)'!$B24,манзилли!$AA:$AA,"&gt;31.12.2020",манзилли!$AA:$AA,"&lt;01.01.2022")</f>
        <v>0</v>
      </c>
      <c r="W24" s="46">
        <f t="shared" si="13"/>
        <v>0</v>
      </c>
      <c r="X24" s="47">
        <f t="shared" si="7"/>
        <v>0</v>
      </c>
      <c r="Y24" s="47">
        <f t="shared" si="8"/>
        <v>0</v>
      </c>
      <c r="Z24" s="47">
        <f t="shared" si="9"/>
        <v>0</v>
      </c>
      <c r="AA24" s="47">
        <f t="shared" si="10"/>
        <v>0</v>
      </c>
      <c r="AB24" s="47">
        <f t="shared" si="11"/>
        <v>0</v>
      </c>
      <c r="AC24" s="48">
        <f t="shared" si="12"/>
        <v>0</v>
      </c>
      <c r="AD24" s="46">
        <f>+COUNTIFS(манзилли!$J:$J,'свод (соҳа)'!$B24,манзилли!$AB:$AB,"&gt;31.12.2020",манзилли!$AA:$AA,"&gt;31.12.2020",манзилли!$AA:$AA,"&lt;01.01.2022")</f>
        <v>0</v>
      </c>
      <c r="AE24" s="47">
        <f>(+SUMIFS(манзилли!$L:$L,манзилли!$J:$J,'свод (соҳа)'!$B24,манзилли!$AB:$AB,"&gt;31.12.2020",манзилли!$AA:$AA,"&gt;31.12.2020",манзилли!$AA:$AA,"&lt;01.01.2022"))</f>
        <v>0</v>
      </c>
      <c r="AF24" s="47">
        <f>(+SUMIFS(манзилли!$N:$N,манзилли!$J:$J,'свод (соҳа)'!$B24,манзилли!$AB:$AB,"&gt;31.12.2020",манзилли!$AA:$AA,"&gt;31.12.2020",манзилли!$AA:$AA,"&lt;01.01.2022"))</f>
        <v>0</v>
      </c>
      <c r="AG24" s="47">
        <f>(+SUMIFS(манзилли!$R:$R,манзилли!$J:$J,'свод (соҳа)'!$B24,манзилли!$AB:$AB,"&gt;31.12.2020",манзилли!$AA:$AA,"&gt;31.12.2020",манзилли!$AA:$AA,"&lt;01.01.2022"))</f>
        <v>0</v>
      </c>
      <c r="AH24" s="47">
        <f>(+SUMIFS(манзилли!$T:$T,манзилли!$J:$J,'свод (соҳа)'!$B24,манзилли!$AB:$AB,"&gt;31.12.2020",манзилли!$AA:$AA,"&gt;31.12.2020",манзилли!$AA:$AA,"&lt;01.01.2022"))</f>
        <v>0</v>
      </c>
      <c r="AI24" s="47">
        <f>(+SUMIFS(манзилли!$V:$V,манзилли!$J:$J,'свод (соҳа)'!$B24,манзилли!$AB:$AB,"&gt;31.12.2020",манзилли!$AA:$AA,"&gt;31.12.2020",манзилли!$AA:$AA,"&lt;01.01.2022"))</f>
        <v>0</v>
      </c>
      <c r="AJ24" s="48">
        <f>+SUMIFS(манзилли!$Z:$Z,манзилли!$J:$J,'свод (соҳа)'!$B24,манзилли!$AB:$AB,"&gt;31.12.2020",манзилли!$AA:$AA,"&gt;31.12.2020",манзилли!$AA:$AA,"&lt;01.01.2022")</f>
        <v>0</v>
      </c>
      <c r="AK24" s="46">
        <f>+COUNTIFS('Қўшимча ишга тушган'!$J:$J,'свод (соҳа)'!B24,'Қўшимча ишга тушган'!$AO:$AO,"&lt;01.10.2023")</f>
        <v>0</v>
      </c>
      <c r="AL24" s="47">
        <f>(+SUMIFS('Қўшимча ишга тушган'!$T:$T,'Қўшимча ишга тушган'!$J:$J,'свод (соҳа)'!$B24,'Қўшимча ишга тушган'!$AO:$AO,"&lt;01.10.2023"))</f>
        <v>0</v>
      </c>
      <c r="AM24" s="47">
        <f>(+SUMIFS('Қўшимча ишга тушган'!$V:$V,'Қўшимча ишга тушган'!$J:$J,'свод (соҳа)'!$B24,'Қўшимча ишга тушган'!$AO:$AO,"&lt;01.10.2023"))</f>
        <v>0</v>
      </c>
      <c r="AN24" s="47">
        <f>(+SUMIFS('Қўшимча ишга тушган'!$Z:$Z,'Қўшимча ишга тушган'!$J:$J,'свод (соҳа)'!$B24,'Қўшимча ишга тушган'!$AO:$AO,"&lt;01.10.2023"))</f>
        <v>0</v>
      </c>
      <c r="AO24" s="47">
        <f>(+SUMIFS('Қўшимча ишга тушган'!$AB:$AB,'Қўшимча ишга тушган'!$J:$J,'свод (соҳа)'!$B24,'Қўшимча ишга тушган'!$AO:$AO,"&lt;01.10.2023"))</f>
        <v>0</v>
      </c>
      <c r="AP24" s="47">
        <f>(+SUMIFS('Қўшимча ишга тушган'!$AD:$AD,'Қўшимча ишга тушган'!$J:$J,'свод (соҳа)'!$B24,'Қўшимча ишга тушган'!$AO:$AO,"&lt;01.10.2023"))</f>
        <v>0</v>
      </c>
      <c r="AQ24" s="48">
        <f>+SUMIFS('Қўшимча ишга тушган'!$AM:$AM,'Қўшимча ишга тушган'!$J:$J,'свод (соҳа)'!$B24,'Қўшимча ишга тушган'!$AO:$AO,"&lt;01.10.2023")</f>
        <v>0</v>
      </c>
      <c r="AR24" s="46">
        <f>+COUNTIFS(манзилли!$J:$J,'свод (соҳа)'!$B24,манзилли!$AA:$AA,"&lt;01.02.2021",манзилли!$AB:$AB,"")</f>
        <v>0</v>
      </c>
      <c r="AS24" s="47">
        <f>(+SUMIFS(манзилли!$K:$K,манзилли!$J:$J,'свод (соҳа)'!$B24,манзилли!$AA:$AA,"&lt;01.02.2021",манзилли!$AB:$AB,""))</f>
        <v>0</v>
      </c>
      <c r="AT24" s="47">
        <f>(+SUMIFS(манзилли!$M:$M,манзилли!$J:$J,'свод (соҳа)'!$B24,манзилли!$AA:$AA,"&lt;01.02.2021",манзилли!$AB:$AB,""))</f>
        <v>0</v>
      </c>
      <c r="AU24" s="47">
        <f>(+SUMIFS(манзилли!$Q:$Q,манзилли!$J:$J,'свод (соҳа)'!$B24,манзилли!$AA:$AA,"&lt;01.02.2021",манзилли!$AB:$AB,""))</f>
        <v>0</v>
      </c>
      <c r="AV24" s="47">
        <f>(+SUMIFS(манзилли!$S:$S,манзилли!$J:$J,'свод (соҳа)'!$B24,манзилли!$AA:$AA,"&lt;01.02.2021",манзилли!$AB:$AB,""))</f>
        <v>0</v>
      </c>
      <c r="AW24" s="47">
        <f>(+SUMIFS(манзилли!$U:$U,манзилли!$J:$J,'свод (соҳа)'!$B24,манзилли!$AA:$AA,"&lt;01.02.2021",манзилли!$AB:$AB,""))</f>
        <v>0</v>
      </c>
      <c r="AX24" s="48">
        <f>+SUMIFS(манзилли!$Y:$Y,манзилли!$J:$J,'свод (соҳа)'!$B24,манзилли!$AA:$AA,"&lt;01.02.2021",манзилли!$AB:$AB,"")</f>
        <v>0</v>
      </c>
      <c r="AY24" s="46">
        <f>+COUNTIFS(манзилли!$J:$J,'свод (соҳа)'!$B24,манзилли!$AA:$AA,"&lt;01.01.2022",манзилли!$AB:$AB,"")</f>
        <v>0</v>
      </c>
      <c r="AZ24" s="47">
        <f>(+SUMIFS(манзилли!$K:$K,манзилли!$J:$J,'свод (соҳа)'!$B24,манзилли!$AA:$AA,"&lt;01.01.2022",манзилли!$AB:$AB,""))</f>
        <v>0</v>
      </c>
      <c r="BA24" s="47">
        <f>(+SUMIFS(манзилли!$M:$M,манзилли!$J:$J,'свод (соҳа)'!$B24,манзилли!$AA:$AA,"&lt;01.01.2022",манзилли!$AB:$AB,""))</f>
        <v>0</v>
      </c>
      <c r="BB24" s="47">
        <f>(+SUMIFS(манзилли!$Q:$Q,манзилли!$J:$J,'свод (соҳа)'!$B24,манзилли!$AA:$AA,"&lt;01.01.2022",манзилли!$AB:$AB,""))</f>
        <v>0</v>
      </c>
      <c r="BC24" s="47">
        <f>(+SUMIFS(манзилли!$S:$S,манзилли!$J:$J,'свод (соҳа)'!$B24,манзилли!$AA:$AA,"&lt;01.01.2022",манзилли!$AB:$AB,""))</f>
        <v>0</v>
      </c>
      <c r="BD24" s="47">
        <f>(+SUMIFS(манзилли!$U:$U,манзилли!$J:$J,'свод (соҳа)'!$B24,манзилли!$AA:$AA,"&lt;01.01.2022",манзилли!$AB:$AB,""))</f>
        <v>0</v>
      </c>
      <c r="BE24" s="48">
        <f>+SUMIFS(манзилли!$Y:$Y,манзилли!$J:$J,'свод (соҳа)'!$B24,манзилли!$AA:$AA,"&lt;01.01.2022",манзилли!$AB:$AB,"")</f>
        <v>0</v>
      </c>
      <c r="BF24" s="46">
        <f>+COUNTIFS(манзилли!$J:$J,'свод (соҳа)'!$B24,манзилли!$AA:$AA,"&lt;01.01.2023",манзилли!$AA:$AA,"&gt;=01.01.2022")</f>
        <v>0</v>
      </c>
      <c r="BG24" s="47">
        <f>(+SUMIFS(манзилли!$K:$K,манзилли!$J:$J,'свод (соҳа)'!$B24,манзилли!$AA:$AA,"&lt;01.01.2023",манзилли!$AA:$AA,"&gt;=01.01.2022"))</f>
        <v>0</v>
      </c>
      <c r="BH24" s="47">
        <f>(+SUMIFS(манзилли!$M:$M,манзилли!$J:$J,'свод (соҳа)'!$B24,манзилли!$AA:$AA,"&lt;01.01.2023",манзилли!$AA:$AA,"&gt;=01.01.2022"))</f>
        <v>0</v>
      </c>
      <c r="BI24" s="47">
        <f>(+SUMIFS(манзилли!$Q:$Q,манзилли!$J:$J,'свод (соҳа)'!$B24,манзилли!$AA:$AA,"&lt;01.01.2023",манзилли!$AA:$AA,"&gt;=01.01.2022"))</f>
        <v>0</v>
      </c>
      <c r="BJ24" s="47">
        <f>(+SUMIFS(манзилли!$S:$S,манзилли!$J:$J,'свод (соҳа)'!$B24,манзилли!$AA:$AA,"&lt;01.01.2023",манзилли!$AA:$AA,"&gt;=01.01.2022"))</f>
        <v>0</v>
      </c>
      <c r="BK24" s="47">
        <f>(+SUMIFS(манзилли!$U:$U,манзилли!$J:$J,'свод (соҳа)'!$B24,манзилли!$AA:$AA,"&lt;01.01.2023",манзилли!$AA:$AA,"&gt;=01.01.2022"))</f>
        <v>0</v>
      </c>
      <c r="BL24" s="48">
        <f>+SUMIFS(манзилли!$Y:$Y,манзилли!$J:$J,'свод (соҳа)'!$B24,манзилли!$AA:$AA,"&lt;01.01.2023",манзилли!$AA:$AA,"&gt;=01.01.2022")</f>
        <v>0</v>
      </c>
    </row>
    <row r="25" spans="1:64" s="3" customFormat="1" ht="35.25" customHeight="1" outlineLevel="1">
      <c r="A25" s="26">
        <f t="shared" ref="A25:A34" si="16">+A24+1</f>
        <v>2</v>
      </c>
      <c r="B25" s="88" t="s">
        <v>40</v>
      </c>
      <c r="C25" s="28">
        <f>+COUNTIFS(манзилли!$J:$J,'свод (соҳа)'!$B25)</f>
        <v>32</v>
      </c>
      <c r="D25" s="86">
        <f>(+SUMIFS(манзилли!$K:$K,манзилли!$J:$J,'свод (соҳа)'!$B25))</f>
        <v>57985</v>
      </c>
      <c r="E25" s="86">
        <f>(+SUMIFS(манзилли!$M:$M,манзилли!$J:$J,'свод (соҳа)'!$B25))</f>
        <v>25185</v>
      </c>
      <c r="F25" s="86">
        <f>(+SUMIFS(манзилли!$Q:$Q,манзилли!$J:$J,'свод (соҳа)'!$B25))</f>
        <v>32800</v>
      </c>
      <c r="G25" s="86">
        <f>(+SUMIFS(манзилли!$S:$S,манзилли!$J:$J,'свод (соҳа)'!$B25))</f>
        <v>0</v>
      </c>
      <c r="H25" s="86">
        <f>(+SUMIFS(манзилли!$U:$U,манзилли!$J:$J,'свод (соҳа)'!$B25))</f>
        <v>0</v>
      </c>
      <c r="I25" s="30">
        <f>+SUMIFS(манзилли!$Y:$Y,манзилли!$J:$J,'свод (соҳа)'!$B25)</f>
        <v>185</v>
      </c>
      <c r="J25" s="28">
        <f>+(COUNTIFS(манзилли!$L:$L,"&gt;0",манзилли!$J:$J,'свод (соҳа)'!$B25)+COUNTIFS('Қўшимча ишга тушган'!$T:$T,"&gt;0",'Қўшимча ишга тушган'!$J:$J,'свод (соҳа)'!$B25))</f>
        <v>27</v>
      </c>
      <c r="K25" s="86">
        <f>(+SUMIFS(манзилли!$L:$L,манзилли!$J:$J,'свод (соҳа)'!$B25)+SUMIFS('Қўшимча ишга тушган'!$T:$T,'Қўшимча ишга тушган'!$J:$J,'свод (соҳа)'!$B25))</f>
        <v>31339</v>
      </c>
      <c r="L25" s="86">
        <f>+(SUMIFS(манзилли!$N:$N,манзилли!$J:$J,'свод (соҳа)'!$B25)+SUMIFS('Қўшимча ишга тушган'!$V:$V,'Қўшимча ишга тушган'!$J:$J,'свод (соҳа)'!$B25))</f>
        <v>7650</v>
      </c>
      <c r="M25" s="86">
        <f>(+SUMIFS(манзилли!$R:$R,манзилли!$J:$J,'свод (соҳа)'!$B25)+SUMIFS('Қўшимча ишга тушган'!$Z:$Z,'Қўшимча ишга тушган'!$J:$J,'свод (соҳа)'!$B25))</f>
        <v>23689</v>
      </c>
      <c r="N25" s="86">
        <f>(+SUMIFS(манзилли!$T:$T,манзилли!$J:$J,'свод (соҳа)'!$B25)+SUMIFS('Қўшимча ишга тушган'!$AB:$AB,'Қўшимча ишга тушган'!$J:$J,'свод (соҳа)'!$B25))</f>
        <v>0</v>
      </c>
      <c r="O25" s="30">
        <f>(+SUMIFS(манзилли!$V:$V,манзилли!$J:$J,'свод (соҳа)'!$B25)+SUMIFS('Қўшимча ишга тушган'!$AD:$AD,'Қўшимча ишга тушган'!$J:$J,'свод (соҳа)'!$B25))</f>
        <v>0</v>
      </c>
      <c r="P25" s="28">
        <f>+COUNTIFS(манзилли!$J:$J,'свод (соҳа)'!$B25,манзилли!$AA:$AA,"&gt;31.12.2020",манзилли!$AA:$AA,"&lt;01.01.2022")</f>
        <v>22</v>
      </c>
      <c r="Q25" s="86">
        <f>(+SUMIFS(манзилли!$K:$K,манзилли!$J:$J,'свод (соҳа)'!$B25,манзилли!$AA:$AA,"&gt;31.12.2020",манзилли!$AA:$AA,"&lt;01.01.2022"))</f>
        <v>32835</v>
      </c>
      <c r="R25" s="86">
        <f>(+SUMIFS(манзилли!$M:$M,манзилли!$J:$J,'свод (соҳа)'!$B25,манзилли!$AA:$AA,"&gt;31.12.2020",манзилли!$AA:$AA,"&lt;01.01.2022"))</f>
        <v>13135</v>
      </c>
      <c r="S25" s="86">
        <f>(+SUMIFS(манзилли!$Q:$Q,манзилли!$J:$J,'свод (соҳа)'!$B25,манзилли!$AA:$AA,"&gt;31.12.2020",манзилли!$AA:$AA,"&lt;01.01.2022"))</f>
        <v>19700</v>
      </c>
      <c r="T25" s="86">
        <f>(+SUMIFS(манзилли!$S:$S,манзилли!$J:$J,'свод (соҳа)'!$B25,манзилли!$AA:$AA,"&gt;31.12.2020",манзилли!$AA:$AA,"&lt;01.01.2022"))</f>
        <v>0</v>
      </c>
      <c r="U25" s="86">
        <f>(+SUMIFS(манзилли!$U:$U,манзилли!$J:$J,'свод (соҳа)'!$B25,манзилли!$AA:$AA,"&gt;31.12.2020",манзилли!$AA:$AA,"&lt;01.01.2022"))</f>
        <v>0</v>
      </c>
      <c r="V25" s="30">
        <f>+SUMIFS(манзилли!$Y:$Y,манзилли!$J:$J,'свод (соҳа)'!$B25,манзилли!$AA:$AA,"&gt;31.12.2020",манзилли!$AA:$AA,"&lt;01.01.2022")</f>
        <v>98</v>
      </c>
      <c r="W25" s="28">
        <f t="shared" si="13"/>
        <v>1</v>
      </c>
      <c r="X25" s="86">
        <f t="shared" si="7"/>
        <v>235</v>
      </c>
      <c r="Y25" s="86">
        <f t="shared" si="8"/>
        <v>100</v>
      </c>
      <c r="Z25" s="86">
        <f t="shared" si="9"/>
        <v>135</v>
      </c>
      <c r="AA25" s="86">
        <f t="shared" si="10"/>
        <v>0</v>
      </c>
      <c r="AB25" s="86">
        <f t="shared" si="11"/>
        <v>0</v>
      </c>
      <c r="AC25" s="30">
        <f t="shared" si="12"/>
        <v>4</v>
      </c>
      <c r="AD25" s="28">
        <f>+COUNTIFS(манзилли!$J:$J,'свод (соҳа)'!$B25,манзилли!$AB:$AB,"&gt;31.12.2020",манзилли!$AA:$AA,"&gt;31.12.2020",манзилли!$AA:$AA,"&lt;01.01.2022")</f>
        <v>1</v>
      </c>
      <c r="AE25" s="86">
        <f>(+SUMIFS(манзилли!$L:$L,манзилли!$J:$J,'свод (соҳа)'!$B25,манзилли!$AB:$AB,"&gt;31.12.2020",манзилли!$AA:$AA,"&gt;31.12.2020",манзилли!$AA:$AA,"&lt;01.01.2022"))</f>
        <v>235</v>
      </c>
      <c r="AF25" s="86">
        <f>(+SUMIFS(манзилли!$N:$N,манзилли!$J:$J,'свод (соҳа)'!$B25,манзилли!$AB:$AB,"&gt;31.12.2020",манзилли!$AA:$AA,"&gt;31.12.2020",манзилли!$AA:$AA,"&lt;01.01.2022"))</f>
        <v>100</v>
      </c>
      <c r="AG25" s="86">
        <f>(+SUMIFS(манзилли!$R:$R,манзилли!$J:$J,'свод (соҳа)'!$B25,манзилли!$AB:$AB,"&gt;31.12.2020",манзилли!$AA:$AA,"&gt;31.12.2020",манзилли!$AA:$AA,"&lt;01.01.2022"))</f>
        <v>135</v>
      </c>
      <c r="AH25" s="86">
        <f>(+SUMIFS(манзилли!$T:$T,манзилли!$J:$J,'свод (соҳа)'!$B25,манзилли!$AB:$AB,"&gt;31.12.2020",манзилли!$AA:$AA,"&gt;31.12.2020",манзилли!$AA:$AA,"&lt;01.01.2022"))</f>
        <v>0</v>
      </c>
      <c r="AI25" s="86">
        <f>(+SUMIFS(манзилли!$V:$V,манзилли!$J:$J,'свод (соҳа)'!$B25,манзилли!$AB:$AB,"&gt;31.12.2020",манзилли!$AA:$AA,"&gt;31.12.2020",манзилли!$AA:$AA,"&lt;01.01.2022"))</f>
        <v>0</v>
      </c>
      <c r="AJ25" s="30">
        <f>+SUMIFS(манзилли!$Z:$Z,манзилли!$J:$J,'свод (соҳа)'!$B25,манзилли!$AB:$AB,"&gt;31.12.2020",манзилли!$AA:$AA,"&gt;31.12.2020",манзилли!$AA:$AA,"&lt;01.01.2022")</f>
        <v>4</v>
      </c>
      <c r="AK25" s="28">
        <f>+COUNTIFS('Қўшимча ишга тушган'!$J:$J,'свод (соҳа)'!B25,'Қўшимча ишга тушган'!$AO:$AO,"&lt;01.10.2023")</f>
        <v>0</v>
      </c>
      <c r="AL25" s="86">
        <f>(+SUMIFS('Қўшимча ишга тушган'!$T:$T,'Қўшимча ишга тушган'!$J:$J,'свод (соҳа)'!$B25,'Қўшимча ишга тушган'!$AO:$AO,"&lt;01.10.2023"))</f>
        <v>0</v>
      </c>
      <c r="AM25" s="86">
        <f>(+SUMIFS('Қўшимча ишга тушган'!$V:$V,'Қўшимча ишга тушган'!$J:$J,'свод (соҳа)'!$B25,'Қўшимча ишга тушган'!$AO:$AO,"&lt;01.10.2023"))</f>
        <v>0</v>
      </c>
      <c r="AN25" s="86">
        <f>(+SUMIFS('Қўшимча ишга тушган'!$Z:$Z,'Қўшимча ишга тушган'!$J:$J,'свод (соҳа)'!$B25,'Қўшимча ишга тушган'!$AO:$AO,"&lt;01.10.2023"))</f>
        <v>0</v>
      </c>
      <c r="AO25" s="86">
        <f>(+SUMIFS('Қўшимча ишга тушган'!$AB:$AB,'Қўшимча ишга тушган'!$J:$J,'свод (соҳа)'!$B25,'Қўшимча ишга тушган'!$AO:$AO,"&lt;01.10.2023"))</f>
        <v>0</v>
      </c>
      <c r="AP25" s="86">
        <f>(+SUMIFS('Қўшимча ишга тушган'!$AD:$AD,'Қўшимча ишга тушган'!$J:$J,'свод (соҳа)'!$B25,'Қўшимча ишга тушган'!$AO:$AO,"&lt;01.10.2023"))</f>
        <v>0</v>
      </c>
      <c r="AQ25" s="30">
        <f>+SUMIFS('Қўшимча ишга тушган'!$AM:$AM,'Қўшимча ишга тушган'!$J:$J,'свод (соҳа)'!$B25,'Қўшимча ишга тушган'!$AO:$AO,"&lt;01.10.2023")</f>
        <v>0</v>
      </c>
      <c r="AR25" s="28">
        <f>+COUNTIFS(манзилли!$J:$J,'свод (соҳа)'!$B25,манзилли!$AA:$AA,"&lt;01.02.2021",манзилли!$AB:$AB,"")</f>
        <v>0</v>
      </c>
      <c r="AS25" s="86">
        <f>(+SUMIFS(манзилли!$K:$K,манзилли!$J:$J,'свод (соҳа)'!$B25,манзилли!$AA:$AA,"&lt;01.02.2021",манзилли!$AB:$AB,""))</f>
        <v>0</v>
      </c>
      <c r="AT25" s="86">
        <f>(+SUMIFS(манзилли!$M:$M,манзилли!$J:$J,'свод (соҳа)'!$B25,манзилли!$AA:$AA,"&lt;01.02.2021",манзилли!$AB:$AB,""))</f>
        <v>0</v>
      </c>
      <c r="AU25" s="86">
        <f>(+SUMIFS(манзилли!$Q:$Q,манзилли!$J:$J,'свод (соҳа)'!$B25,манзилли!$AA:$AA,"&lt;01.02.2021",манзилли!$AB:$AB,""))</f>
        <v>0</v>
      </c>
      <c r="AV25" s="86">
        <f>(+SUMIFS(манзилли!$S:$S,манзилли!$J:$J,'свод (соҳа)'!$B25,манзилли!$AA:$AA,"&lt;01.02.2021",манзилли!$AB:$AB,""))</f>
        <v>0</v>
      </c>
      <c r="AW25" s="86">
        <f>(+SUMIFS(манзилли!$U:$U,манзилли!$J:$J,'свод (соҳа)'!$B25,манзилли!$AA:$AA,"&lt;01.02.2021",манзилли!$AB:$AB,""))</f>
        <v>0</v>
      </c>
      <c r="AX25" s="30">
        <f>+SUMIFS(манзилли!$Y:$Y,манзилли!$J:$J,'свод (соҳа)'!$B25,манзилли!$AA:$AA,"&lt;01.02.2021",манзилли!$AB:$AB,"")</f>
        <v>0</v>
      </c>
      <c r="AY25" s="28">
        <f>+COUNTIFS(манзилли!$J:$J,'свод (соҳа)'!$B25,манзилли!$AA:$AA,"&lt;01.01.2022",манзилли!$AB:$AB,"")</f>
        <v>19</v>
      </c>
      <c r="AZ25" s="86">
        <f>(+SUMIFS(манзилли!$K:$K,манзилли!$J:$J,'свод (соҳа)'!$B25,манзилли!$AA:$AA,"&lt;01.01.2022",манзилли!$AB:$AB,""))</f>
        <v>30035</v>
      </c>
      <c r="BA25" s="86">
        <f>(+SUMIFS(манзилли!$M:$M,манзилли!$J:$J,'свод (соҳа)'!$B25,манзилли!$AA:$AA,"&lt;01.01.2022",манзилли!$AB:$AB,""))</f>
        <v>11835</v>
      </c>
      <c r="BB25" s="86">
        <f>(+SUMIFS(манзилли!$Q:$Q,манзилли!$J:$J,'свод (соҳа)'!$B25,манзилли!$AA:$AA,"&lt;01.01.2022",манзилли!$AB:$AB,""))</f>
        <v>18200</v>
      </c>
      <c r="BC25" s="86">
        <f>(+SUMIFS(манзилли!$S:$S,манзилли!$J:$J,'свод (соҳа)'!$B25,манзилли!$AA:$AA,"&lt;01.01.2022",манзилли!$AB:$AB,""))</f>
        <v>0</v>
      </c>
      <c r="BD25" s="86">
        <f>(+SUMIFS(манзилли!$U:$U,манзилли!$J:$J,'свод (соҳа)'!$B25,манзилли!$AA:$AA,"&lt;01.01.2022",манзилли!$AB:$AB,""))</f>
        <v>0</v>
      </c>
      <c r="BE25" s="30">
        <f>+SUMIFS(манзилли!$Y:$Y,манзилли!$J:$J,'свод (соҳа)'!$B25,манзилли!$AA:$AA,"&lt;01.01.2022",манзилли!$AB:$AB,"")</f>
        <v>86</v>
      </c>
      <c r="BF25" s="28">
        <f>+COUNTIFS(манзилли!$J:$J,'свод (соҳа)'!$B25,манзилли!$AA:$AA,"&lt;01.01.2023",манзилли!$AA:$AA,"&gt;=01.01.2022")</f>
        <v>1</v>
      </c>
      <c r="BG25" s="86">
        <f>(+SUMIFS(манзилли!$K:$K,манзилли!$J:$J,'свод (соҳа)'!$B25,манзилли!$AA:$AA,"&lt;01.01.2023",манзилли!$AA:$AA,"&gt;=01.01.2022"))</f>
        <v>1500</v>
      </c>
      <c r="BH25" s="86">
        <f>(+SUMIFS(манзилли!$M:$M,манзилли!$J:$J,'свод (соҳа)'!$B25,манзилли!$AA:$AA,"&lt;01.01.2023",манзилли!$AA:$AA,"&gt;=01.01.2022"))</f>
        <v>500</v>
      </c>
      <c r="BI25" s="86">
        <f>(+SUMIFS(манзилли!$Q:$Q,манзилли!$J:$J,'свод (соҳа)'!$B25,манзилли!$AA:$AA,"&lt;01.01.2023",манзилли!$AA:$AA,"&gt;=01.01.2022"))</f>
        <v>1000</v>
      </c>
      <c r="BJ25" s="86">
        <f>(+SUMIFS(манзилли!$S:$S,манзилли!$J:$J,'свод (соҳа)'!$B25,манзилли!$AA:$AA,"&lt;01.01.2023",манзилли!$AA:$AA,"&gt;=01.01.2022"))</f>
        <v>0</v>
      </c>
      <c r="BK25" s="86">
        <f>(+SUMIFS(манзилли!$U:$U,манзилли!$J:$J,'свод (соҳа)'!$B25,манзилли!$AA:$AA,"&lt;01.01.2023",манзилли!$AA:$AA,"&gt;=01.01.2022"))</f>
        <v>0</v>
      </c>
      <c r="BL25" s="30">
        <f>+SUMIFS(манзилли!$Y:$Y,манзилли!$J:$J,'свод (соҳа)'!$B25,манзилли!$AA:$AA,"&lt;01.01.2023",манзилли!$AA:$AA,"&gt;=01.01.2022")</f>
        <v>10</v>
      </c>
    </row>
    <row r="26" spans="1:64" s="3" customFormat="1" ht="35.25" customHeight="1" outlineLevel="1">
      <c r="A26" s="26">
        <f t="shared" si="16"/>
        <v>3</v>
      </c>
      <c r="B26" s="88" t="s">
        <v>38</v>
      </c>
      <c r="C26" s="28">
        <f>+COUNTIFS(манзилли!$J:$J,'свод (соҳа)'!$B26)</f>
        <v>25</v>
      </c>
      <c r="D26" s="86">
        <f>(+SUMIFS(манзилли!$K:$K,манзилли!$J:$J,'свод (соҳа)'!$B26))</f>
        <v>45500</v>
      </c>
      <c r="E26" s="86">
        <f>(+SUMIFS(манзилли!$M:$M,манзилли!$J:$J,'свод (соҳа)'!$B26))</f>
        <v>23630</v>
      </c>
      <c r="F26" s="86">
        <f>(+SUMIFS(манзилли!$Q:$Q,манзилли!$J:$J,'свод (соҳа)'!$B26))</f>
        <v>19810</v>
      </c>
      <c r="G26" s="86">
        <f>(+SUMIFS(манзилли!$S:$S,манзилли!$J:$J,'свод (соҳа)'!$B26))</f>
        <v>200</v>
      </c>
      <c r="H26" s="86">
        <f>(+SUMIFS(манзилли!$U:$U,манзилли!$J:$J,'свод (соҳа)'!$B26))</f>
        <v>0</v>
      </c>
      <c r="I26" s="30">
        <f>+SUMIFS(манзилли!$Y:$Y,манзилли!$J:$J,'свод (соҳа)'!$B26)</f>
        <v>199</v>
      </c>
      <c r="J26" s="28">
        <f>+(COUNTIFS(манзилли!$L:$L,"&gt;0",манзилли!$J:$J,'свод (соҳа)'!$B26)+COUNTIFS('Қўшимча ишга тушган'!$T:$T,"&gt;0",'Қўшимча ишга тушган'!$J:$J,'свод (соҳа)'!$B26))</f>
        <v>14</v>
      </c>
      <c r="K26" s="86">
        <f>(+SUMIFS(манзилли!$L:$L,манзилли!$J:$J,'свод (соҳа)'!$B26)+SUMIFS('Қўшимча ишга тушган'!$T:$T,'Қўшимча ишга тушган'!$J:$J,'свод (соҳа)'!$B26))</f>
        <v>8772</v>
      </c>
      <c r="L26" s="86">
        <f>+(SUMIFS(манзилли!$N:$N,манзилли!$J:$J,'свод (соҳа)'!$B26)+SUMIFS('Қўшимча ишга тушган'!$V:$V,'Қўшимча ишга тушган'!$J:$J,'свод (соҳа)'!$B26))</f>
        <v>3350</v>
      </c>
      <c r="M26" s="86">
        <f>(+SUMIFS(манзилли!$R:$R,манзилли!$J:$J,'свод (соҳа)'!$B26)+SUMIFS('Қўшимча ишга тушган'!$Z:$Z,'Қўшимча ишга тушган'!$J:$J,'свод (соҳа)'!$B26))</f>
        <v>5422</v>
      </c>
      <c r="N26" s="86">
        <f>(+SUMIFS(манзилли!$T:$T,манзилли!$J:$J,'свод (соҳа)'!$B26)+SUMIFS('Қўшимча ишга тушган'!$AB:$AB,'Қўшимча ишга тушган'!$J:$J,'свод (соҳа)'!$B26))</f>
        <v>0</v>
      </c>
      <c r="O26" s="30">
        <f>(+SUMIFS(манзилли!$V:$V,манзилли!$J:$J,'свод (соҳа)'!$B26)+SUMIFS('Қўшимча ишга тушган'!$AD:$AD,'Қўшимча ишга тушган'!$J:$J,'свод (соҳа)'!$B26))</f>
        <v>0</v>
      </c>
      <c r="P26" s="28">
        <f>+COUNTIFS(манзилли!$J:$J,'свод (соҳа)'!$B26,манзилли!$AA:$AA,"&gt;31.12.2020",манзилли!$AA:$AA,"&lt;01.01.2022")</f>
        <v>17</v>
      </c>
      <c r="Q26" s="86">
        <f>(+SUMIFS(манзилли!$K:$K,манзилли!$J:$J,'свод (соҳа)'!$B26,манзилли!$AA:$AA,"&gt;31.12.2020",манзилли!$AA:$AA,"&lt;01.01.2022"))</f>
        <v>24300</v>
      </c>
      <c r="R26" s="86">
        <f>(+SUMIFS(манзилли!$M:$M,манзилли!$J:$J,'свод (соҳа)'!$B26,манзилли!$AA:$AA,"&gt;31.12.2020",манзилли!$AA:$AA,"&lt;01.01.2022"))</f>
        <v>16580</v>
      </c>
      <c r="S26" s="86">
        <f>(+SUMIFS(манзилли!$Q:$Q,манзилли!$J:$J,'свод (соҳа)'!$B26,манзилли!$AA:$AA,"&gt;31.12.2020",манзилли!$AA:$AA,"&lt;01.01.2022"))</f>
        <v>5660</v>
      </c>
      <c r="T26" s="86">
        <f>(+SUMIFS(манзилли!$S:$S,манзилли!$J:$J,'свод (соҳа)'!$B26,манзилли!$AA:$AA,"&gt;31.12.2020",манзилли!$AA:$AA,"&lt;01.01.2022"))</f>
        <v>200</v>
      </c>
      <c r="U26" s="86">
        <f>(+SUMIFS(манзилли!$U:$U,манзилли!$J:$J,'свод (соҳа)'!$B26,манзилли!$AA:$AA,"&gt;31.12.2020",манзилли!$AA:$AA,"&lt;01.01.2022"))</f>
        <v>0</v>
      </c>
      <c r="V26" s="30">
        <f>+SUMIFS(манзилли!$Y:$Y,манзилли!$J:$J,'свод (соҳа)'!$B26,манзилли!$AA:$AA,"&gt;31.12.2020",манзилли!$AA:$AA,"&lt;01.01.2022")</f>
        <v>85</v>
      </c>
      <c r="W26" s="28">
        <f t="shared" si="13"/>
        <v>1</v>
      </c>
      <c r="X26" s="86">
        <f t="shared" si="7"/>
        <v>800</v>
      </c>
      <c r="Y26" s="86">
        <f t="shared" si="8"/>
        <v>300</v>
      </c>
      <c r="Z26" s="86">
        <f t="shared" si="9"/>
        <v>500</v>
      </c>
      <c r="AA26" s="86">
        <f t="shared" si="10"/>
        <v>0</v>
      </c>
      <c r="AB26" s="86">
        <f t="shared" si="11"/>
        <v>0</v>
      </c>
      <c r="AC26" s="30">
        <f t="shared" si="12"/>
        <v>10</v>
      </c>
      <c r="AD26" s="28">
        <f>+COUNTIFS(манзилли!$J:$J,'свод (соҳа)'!$B26,манзилли!$AB:$AB,"&gt;31.12.2020",манзилли!$AA:$AA,"&gt;31.12.2020",манзилли!$AA:$AA,"&lt;01.01.2022")</f>
        <v>1</v>
      </c>
      <c r="AE26" s="86">
        <f>(+SUMIFS(манзилли!$L:$L,манзилли!$J:$J,'свод (соҳа)'!$B26,манзилли!$AB:$AB,"&gt;31.12.2020",манзилли!$AA:$AA,"&gt;31.12.2020",манзилли!$AA:$AA,"&lt;01.01.2022"))</f>
        <v>800</v>
      </c>
      <c r="AF26" s="86">
        <f>(+SUMIFS(манзилли!$N:$N,манзилли!$J:$J,'свод (соҳа)'!$B26,манзилли!$AB:$AB,"&gt;31.12.2020",манзилли!$AA:$AA,"&gt;31.12.2020",манзилли!$AA:$AA,"&lt;01.01.2022"))</f>
        <v>300</v>
      </c>
      <c r="AG26" s="86">
        <f>(+SUMIFS(манзилли!$R:$R,манзилли!$J:$J,'свод (соҳа)'!$B26,манзилли!$AB:$AB,"&gt;31.12.2020",манзилли!$AA:$AA,"&gt;31.12.2020",манзилли!$AA:$AA,"&lt;01.01.2022"))</f>
        <v>500</v>
      </c>
      <c r="AH26" s="86">
        <f>(+SUMIFS(манзилли!$T:$T,манзилли!$J:$J,'свод (соҳа)'!$B26,манзилли!$AB:$AB,"&gt;31.12.2020",манзилли!$AA:$AA,"&gt;31.12.2020",манзилли!$AA:$AA,"&lt;01.01.2022"))</f>
        <v>0</v>
      </c>
      <c r="AI26" s="86">
        <f>(+SUMIFS(манзилли!$V:$V,манзилли!$J:$J,'свод (соҳа)'!$B26,манзилли!$AB:$AB,"&gt;31.12.2020",манзилли!$AA:$AA,"&gt;31.12.2020",манзилли!$AA:$AA,"&lt;01.01.2022"))</f>
        <v>0</v>
      </c>
      <c r="AJ26" s="30">
        <f>+SUMIFS(манзилли!$Z:$Z,манзилли!$J:$J,'свод (соҳа)'!$B26,манзилли!$AB:$AB,"&gt;31.12.2020",манзилли!$AA:$AA,"&gt;31.12.2020",манзилли!$AA:$AA,"&lt;01.01.2022")</f>
        <v>10</v>
      </c>
      <c r="AK26" s="28">
        <f>+COUNTIFS('Қўшимча ишга тушган'!$J:$J,'свод (соҳа)'!B26,'Қўшимча ишга тушган'!$AO:$AO,"&lt;01.10.2023")</f>
        <v>0</v>
      </c>
      <c r="AL26" s="86">
        <f>(+SUMIFS('Қўшимча ишга тушган'!$T:$T,'Қўшимча ишга тушган'!$J:$J,'свод (соҳа)'!$B26,'Қўшимча ишга тушган'!$AO:$AO,"&lt;01.10.2023"))</f>
        <v>0</v>
      </c>
      <c r="AM26" s="86">
        <f>(+SUMIFS('Қўшимча ишга тушган'!$V:$V,'Қўшимча ишга тушган'!$J:$J,'свод (соҳа)'!$B26,'Қўшимча ишга тушган'!$AO:$AO,"&lt;01.10.2023"))</f>
        <v>0</v>
      </c>
      <c r="AN26" s="86">
        <f>(+SUMIFS('Қўшимча ишга тушган'!$Z:$Z,'Қўшимча ишга тушган'!$J:$J,'свод (соҳа)'!$B26,'Қўшимча ишга тушган'!$AO:$AO,"&lt;01.10.2023"))</f>
        <v>0</v>
      </c>
      <c r="AO26" s="86">
        <f>(+SUMIFS('Қўшимча ишга тушган'!$AB:$AB,'Қўшимча ишга тушган'!$J:$J,'свод (соҳа)'!$B26,'Қўшимча ишга тушган'!$AO:$AO,"&lt;01.10.2023"))</f>
        <v>0</v>
      </c>
      <c r="AP26" s="86">
        <f>(+SUMIFS('Қўшимча ишга тушган'!$AD:$AD,'Қўшимча ишга тушган'!$J:$J,'свод (соҳа)'!$B26,'Қўшимча ишга тушган'!$AO:$AO,"&lt;01.10.2023"))</f>
        <v>0</v>
      </c>
      <c r="AQ26" s="30">
        <f>+SUMIFS('Қўшимча ишга тушган'!$AM:$AM,'Қўшимча ишга тушган'!$J:$J,'свод (соҳа)'!$B26,'Қўшимча ишга тушган'!$AO:$AO,"&lt;01.10.2023")</f>
        <v>0</v>
      </c>
      <c r="AR26" s="28">
        <f>+COUNTIFS(манзилли!$J:$J,'свод (соҳа)'!$B26,манзилли!$AA:$AA,"&lt;01.02.2021",манзилли!$AB:$AB,"")</f>
        <v>0</v>
      </c>
      <c r="AS26" s="86">
        <f>(+SUMIFS(манзилли!$K:$K,манзилли!$J:$J,'свод (соҳа)'!$B26,манзилли!$AA:$AA,"&lt;01.02.2021",манзилли!$AB:$AB,""))</f>
        <v>0</v>
      </c>
      <c r="AT26" s="86">
        <f>(+SUMIFS(манзилли!$M:$M,манзилли!$J:$J,'свод (соҳа)'!$B26,манзилли!$AA:$AA,"&lt;01.02.2021",манзилли!$AB:$AB,""))</f>
        <v>0</v>
      </c>
      <c r="AU26" s="86">
        <f>(+SUMIFS(манзилли!$Q:$Q,манзилли!$J:$J,'свод (соҳа)'!$B26,манзилли!$AA:$AA,"&lt;01.02.2021",манзилли!$AB:$AB,""))</f>
        <v>0</v>
      </c>
      <c r="AV26" s="86">
        <f>(+SUMIFS(манзилли!$S:$S,манзилли!$J:$J,'свод (соҳа)'!$B26,манзилли!$AA:$AA,"&lt;01.02.2021",манзилли!$AB:$AB,""))</f>
        <v>0</v>
      </c>
      <c r="AW26" s="86">
        <f>(+SUMIFS(манзилли!$U:$U,манзилли!$J:$J,'свод (соҳа)'!$B26,манзилли!$AA:$AA,"&lt;01.02.2021",манзилли!$AB:$AB,""))</f>
        <v>0</v>
      </c>
      <c r="AX26" s="30">
        <f>+SUMIFS(манзилли!$Y:$Y,манзилли!$J:$J,'свод (соҳа)'!$B26,манзилли!$AA:$AA,"&lt;01.02.2021",манзилли!$AB:$AB,"")</f>
        <v>0</v>
      </c>
      <c r="AY26" s="28">
        <f>+COUNTIFS(манзилли!$J:$J,'свод (соҳа)'!$B26,манзилли!$AA:$AA,"&lt;01.01.2022",манзилли!$AB:$AB,"")</f>
        <v>14</v>
      </c>
      <c r="AZ26" s="86">
        <f>(+SUMIFS(манзилли!$K:$K,манзилли!$J:$J,'свод (соҳа)'!$B26,манзилли!$AA:$AA,"&lt;01.01.2022",манзилли!$AB:$AB,""))</f>
        <v>20800</v>
      </c>
      <c r="BA26" s="86">
        <f>(+SUMIFS(манзилли!$M:$M,манзилли!$J:$J,'свод (соҳа)'!$B26,манзилли!$AA:$AA,"&lt;01.01.2022",манзилли!$AB:$AB,""))</f>
        <v>14780</v>
      </c>
      <c r="BB26" s="86">
        <f>(+SUMIFS(манзилли!$Q:$Q,манзилли!$J:$J,'свод (соҳа)'!$B26,манзилли!$AA:$AA,"&lt;01.01.2022",манзилли!$AB:$AB,""))</f>
        <v>3960</v>
      </c>
      <c r="BC26" s="86">
        <f>(+SUMIFS(манзилли!$S:$S,манзилли!$J:$J,'свод (соҳа)'!$B26,манзилли!$AA:$AA,"&lt;01.01.2022",манзилли!$AB:$AB,""))</f>
        <v>200</v>
      </c>
      <c r="BD26" s="86">
        <f>(+SUMIFS(манзилли!$U:$U,манзилли!$J:$J,'свод (соҳа)'!$B26,манзилли!$AA:$AA,"&lt;01.01.2022",манзилли!$AB:$AB,""))</f>
        <v>0</v>
      </c>
      <c r="BE26" s="30">
        <f>+SUMIFS(манзилли!$Y:$Y,манзилли!$J:$J,'свод (соҳа)'!$B26,манзилли!$AA:$AA,"&lt;01.01.2022",манзилли!$AB:$AB,"")</f>
        <v>62</v>
      </c>
      <c r="BF26" s="28">
        <f>+COUNTIFS(манзилли!$J:$J,'свод (соҳа)'!$B26,манзилли!$AA:$AA,"&lt;01.01.2023",манзилли!$AA:$AA,"&gt;=01.01.2022")</f>
        <v>6</v>
      </c>
      <c r="BG26" s="86">
        <f>(+SUMIFS(манзилли!$K:$K,манзилли!$J:$J,'свод (соҳа)'!$B26,манзилли!$AA:$AA,"&lt;01.01.2023",манзилли!$AA:$AA,"&gt;=01.01.2022"))</f>
        <v>20000</v>
      </c>
      <c r="BH26" s="86">
        <f>(+SUMIFS(манзилли!$M:$M,манзилли!$J:$J,'свод (соҳа)'!$B26,манзилли!$AA:$AA,"&lt;01.01.2023",манзилли!$AA:$AA,"&gt;=01.01.2022"))</f>
        <v>6500</v>
      </c>
      <c r="BI26" s="86">
        <f>(+SUMIFS(манзилли!$Q:$Q,манзилли!$J:$J,'свод (соҳа)'!$B26,манзилли!$AA:$AA,"&lt;01.01.2023",манзилли!$AA:$AA,"&gt;=01.01.2022"))</f>
        <v>13500</v>
      </c>
      <c r="BJ26" s="86">
        <f>(+SUMIFS(манзилли!$S:$S,манзилли!$J:$J,'свод (соҳа)'!$B26,манзилли!$AA:$AA,"&lt;01.01.2023",манзилли!$AA:$AA,"&gt;=01.01.2022"))</f>
        <v>0</v>
      </c>
      <c r="BK26" s="86">
        <f>(+SUMIFS(манзилли!$U:$U,манзилли!$J:$J,'свод (соҳа)'!$B26,манзилли!$AA:$AA,"&lt;01.01.2023",манзилли!$AA:$AA,"&gt;=01.01.2022"))</f>
        <v>0</v>
      </c>
      <c r="BL26" s="30">
        <f>+SUMIFS(манзилли!$Y:$Y,манзилли!$J:$J,'свод (соҳа)'!$B26,манзилли!$AA:$AA,"&lt;01.01.2023",манзилли!$AA:$AA,"&gt;=01.01.2022")</f>
        <v>107</v>
      </c>
    </row>
    <row r="27" spans="1:64" s="3" customFormat="1" ht="35.25" customHeight="1" outlineLevel="1">
      <c r="A27" s="26">
        <f t="shared" si="16"/>
        <v>4</v>
      </c>
      <c r="B27" s="88" t="s">
        <v>37</v>
      </c>
      <c r="C27" s="28">
        <f>+COUNTIFS(манзилли!$J:$J,'свод (соҳа)'!$B27)</f>
        <v>120</v>
      </c>
      <c r="D27" s="86">
        <f>(+SUMIFS(манзилли!$K:$K,манзилли!$J:$J,'свод (соҳа)'!$B27))</f>
        <v>629085.5</v>
      </c>
      <c r="E27" s="86">
        <f>(+SUMIFS(манзилли!$M:$M,манзилли!$J:$J,'свод (соҳа)'!$B27))</f>
        <v>238059</v>
      </c>
      <c r="F27" s="86">
        <f>(+SUMIFS(манзилли!$Q:$Q,манзилли!$J:$J,'свод (соҳа)'!$B27))</f>
        <v>265568</v>
      </c>
      <c r="G27" s="86">
        <f>(+SUMIFS(манзилли!$S:$S,манзилли!$J:$J,'свод (соҳа)'!$B27))</f>
        <v>9685</v>
      </c>
      <c r="H27" s="86">
        <f>(+SUMIFS(манзилли!$U:$U,манзилли!$J:$J,'свод (соҳа)'!$B27))</f>
        <v>1600</v>
      </c>
      <c r="I27" s="30">
        <f>+SUMIFS(манзилли!$Y:$Y,манзилли!$J:$J,'свод (соҳа)'!$B27)</f>
        <v>1578</v>
      </c>
      <c r="J27" s="28">
        <f>+(COUNTIFS(манзилли!$L:$L,"&gt;0",манзилли!$J:$J,'свод (соҳа)'!$B27)+COUNTIFS('Қўшимча ишга тушган'!$T:$T,"&gt;0",'Қўшимча ишга тушган'!$J:$J,'свод (соҳа)'!$B27))</f>
        <v>88</v>
      </c>
      <c r="K27" s="86">
        <f>(+SUMIFS(манзилли!$L:$L,манзилли!$J:$J,'свод (соҳа)'!$B27)+SUMIFS('Қўшимча ишга тушган'!$T:$T,'Қўшимча ишга тушган'!$J:$J,'свод (соҳа)'!$B27))</f>
        <v>155386</v>
      </c>
      <c r="L27" s="86">
        <f>+(SUMIFS(манзилли!$N:$N,манзилли!$J:$J,'свод (соҳа)'!$B27)+SUMIFS('Қўшимча ишга тушган'!$V:$V,'Қўшимча ишга тушган'!$J:$J,'свод (соҳа)'!$B27))</f>
        <v>6295</v>
      </c>
      <c r="M27" s="86">
        <f>(+SUMIFS(манзилли!$R:$R,манзилли!$J:$J,'свод (соҳа)'!$B27)+SUMIFS('Қўшимча ишга тушган'!$Z:$Z,'Қўшимча ишга тушган'!$J:$J,'свод (соҳа)'!$B27))</f>
        <v>114409</v>
      </c>
      <c r="N27" s="86">
        <f>(+SUMIFS(манзилли!$T:$T,манзилли!$J:$J,'свод (соҳа)'!$B27)+SUMIFS('Қўшимча ишга тушган'!$AB:$AB,'Қўшимча ишга тушган'!$J:$J,'свод (соҳа)'!$B27))</f>
        <v>3420</v>
      </c>
      <c r="O27" s="30">
        <f>(+SUMIFS(манзилли!$V:$V,манзилли!$J:$J,'свод (соҳа)'!$B27)+SUMIFS('Қўшимча ишга тушган'!$AD:$AD,'Қўшимча ишга тушган'!$J:$J,'свод (соҳа)'!$B27))</f>
        <v>0</v>
      </c>
      <c r="P27" s="28">
        <f>+COUNTIFS(манзилли!$J:$J,'свод (соҳа)'!$B27,манзилли!$AA:$AA,"&gt;31.12.2020",манзилли!$AA:$AA,"&lt;01.01.2022")</f>
        <v>101</v>
      </c>
      <c r="Q27" s="86">
        <f>(+SUMIFS(манзилли!$K:$K,манзилли!$J:$J,'свод (соҳа)'!$B27,манзилли!$AA:$AA,"&gt;31.12.2020",манзилли!$AA:$AA,"&lt;01.01.2022"))</f>
        <v>566910.5</v>
      </c>
      <c r="R27" s="86">
        <f>(+SUMIFS(манзилли!$M:$M,манзилли!$J:$J,'свод (соҳа)'!$B27,манзилли!$AA:$AA,"&gt;31.12.2020",манзилли!$AA:$AA,"&lt;01.01.2022"))</f>
        <v>216699</v>
      </c>
      <c r="S27" s="86">
        <f>(+SUMIFS(манзилли!$Q:$Q,манзилли!$J:$J,'свод (соҳа)'!$B27,манзилли!$AA:$AA,"&gt;31.12.2020",манзилли!$AA:$AA,"&lt;01.01.2022"))</f>
        <v>240718</v>
      </c>
      <c r="T27" s="86">
        <f>(+SUMIFS(манзилли!$S:$S,манзилли!$J:$J,'свод (соҳа)'!$B27,манзилли!$AA:$AA,"&gt;31.12.2020",манзилли!$AA:$AA,"&lt;01.01.2022"))</f>
        <v>9635</v>
      </c>
      <c r="U27" s="86">
        <f>(+SUMIFS(манзилли!$U:$U,манзилли!$J:$J,'свод (соҳа)'!$B27,манзилли!$AA:$AA,"&gt;31.12.2020",манзилли!$AA:$AA,"&lt;01.01.2022"))</f>
        <v>100</v>
      </c>
      <c r="V27" s="30">
        <f>+SUMIFS(манзилли!$Y:$Y,манзилли!$J:$J,'свод (соҳа)'!$B27,манзилли!$AA:$AA,"&gt;31.12.2020",манзилли!$AA:$AA,"&lt;01.01.2022")</f>
        <v>1402</v>
      </c>
      <c r="W27" s="28">
        <f t="shared" si="13"/>
        <v>1</v>
      </c>
      <c r="X27" s="86">
        <f t="shared" si="7"/>
        <v>500</v>
      </c>
      <c r="Y27" s="86">
        <f t="shared" si="8"/>
        <v>300</v>
      </c>
      <c r="Z27" s="86">
        <f t="shared" si="9"/>
        <v>200</v>
      </c>
      <c r="AA27" s="86">
        <f t="shared" si="10"/>
        <v>0</v>
      </c>
      <c r="AB27" s="86">
        <f t="shared" si="11"/>
        <v>0</v>
      </c>
      <c r="AC27" s="30">
        <f t="shared" si="12"/>
        <v>0</v>
      </c>
      <c r="AD27" s="28">
        <f>+COUNTIFS(манзилли!$J:$J,'свод (соҳа)'!$B27,манзилли!$AB:$AB,"&gt;31.12.2020",манзилли!$AA:$AA,"&gt;31.12.2020",манзилли!$AA:$AA,"&lt;01.01.2022")</f>
        <v>1</v>
      </c>
      <c r="AE27" s="86">
        <f>(+SUMIFS(манзилли!$L:$L,манзилли!$J:$J,'свод (соҳа)'!$B27,манзилли!$AB:$AB,"&gt;31.12.2020",манзилли!$AA:$AA,"&gt;31.12.2020",манзилли!$AA:$AA,"&lt;01.01.2022"))</f>
        <v>500</v>
      </c>
      <c r="AF27" s="86">
        <f>(+SUMIFS(манзилли!$N:$N,манзилли!$J:$J,'свод (соҳа)'!$B27,манзилли!$AB:$AB,"&gt;31.12.2020",манзилли!$AA:$AA,"&gt;31.12.2020",манзилли!$AA:$AA,"&lt;01.01.2022"))</f>
        <v>300</v>
      </c>
      <c r="AG27" s="86">
        <f>(+SUMIFS(манзилли!$R:$R,манзилли!$J:$J,'свод (соҳа)'!$B27,манзилли!$AB:$AB,"&gt;31.12.2020",манзилли!$AA:$AA,"&gt;31.12.2020",манзилли!$AA:$AA,"&lt;01.01.2022"))</f>
        <v>200</v>
      </c>
      <c r="AH27" s="86">
        <f>(+SUMIFS(манзилли!$T:$T,манзилли!$J:$J,'свод (соҳа)'!$B27,манзилли!$AB:$AB,"&gt;31.12.2020",манзилли!$AA:$AA,"&gt;31.12.2020",манзилли!$AA:$AA,"&lt;01.01.2022"))</f>
        <v>0</v>
      </c>
      <c r="AI27" s="86">
        <f>(+SUMIFS(манзилли!$V:$V,манзилли!$J:$J,'свод (соҳа)'!$B27,манзилли!$AB:$AB,"&gt;31.12.2020",манзилли!$AA:$AA,"&gt;31.12.2020",манзилли!$AA:$AA,"&lt;01.01.2022"))</f>
        <v>0</v>
      </c>
      <c r="AJ27" s="30">
        <f>+SUMIFS(манзилли!$Z:$Z,манзилли!$J:$J,'свод (соҳа)'!$B27,манзилли!$AB:$AB,"&gt;31.12.2020",манзилли!$AA:$AA,"&gt;31.12.2020",манзилли!$AA:$AA,"&lt;01.01.2022")</f>
        <v>0</v>
      </c>
      <c r="AK27" s="28">
        <f>+COUNTIFS('Қўшимча ишга тушган'!$J:$J,'свод (соҳа)'!B27,'Қўшимча ишга тушган'!$AO:$AO,"&lt;01.10.2023")</f>
        <v>0</v>
      </c>
      <c r="AL27" s="86">
        <f>(+SUMIFS('Қўшимча ишга тушган'!$T:$T,'Қўшимча ишга тушган'!$J:$J,'свод (соҳа)'!$B27,'Қўшимча ишга тушган'!$AO:$AO,"&lt;01.10.2023"))</f>
        <v>0</v>
      </c>
      <c r="AM27" s="86">
        <f>(+SUMIFS('Қўшимча ишга тушган'!$V:$V,'Қўшимча ишга тушган'!$J:$J,'свод (соҳа)'!$B27,'Қўшимча ишга тушган'!$AO:$AO,"&lt;01.10.2023"))</f>
        <v>0</v>
      </c>
      <c r="AN27" s="86">
        <f>(+SUMIFS('Қўшимча ишга тушган'!$Z:$Z,'Қўшимча ишга тушган'!$J:$J,'свод (соҳа)'!$B27,'Қўшимча ишга тушган'!$AO:$AO,"&lt;01.10.2023"))</f>
        <v>0</v>
      </c>
      <c r="AO27" s="86">
        <f>(+SUMIFS('Қўшимча ишга тушган'!$AB:$AB,'Қўшимча ишга тушган'!$J:$J,'свод (соҳа)'!$B27,'Қўшимча ишга тушган'!$AO:$AO,"&lt;01.10.2023"))</f>
        <v>0</v>
      </c>
      <c r="AP27" s="86">
        <f>(+SUMIFS('Қўшимча ишга тушган'!$AD:$AD,'Қўшимча ишга тушган'!$J:$J,'свод (соҳа)'!$B27,'Қўшимча ишга тушган'!$AO:$AO,"&lt;01.10.2023"))</f>
        <v>0</v>
      </c>
      <c r="AQ27" s="30">
        <f>+SUMIFS('Қўшимча ишга тушган'!$AM:$AM,'Қўшимча ишга тушган'!$J:$J,'свод (соҳа)'!$B27,'Қўшимча ишга тушган'!$AO:$AO,"&lt;01.10.2023")</f>
        <v>0</v>
      </c>
      <c r="AR27" s="28">
        <f>+COUNTIFS(манзилли!$J:$J,'свод (соҳа)'!$B27,манзилли!$AA:$AA,"&lt;01.02.2021",манзилли!$AB:$AB,"")</f>
        <v>0</v>
      </c>
      <c r="AS27" s="86">
        <f>(+SUMIFS(манзилли!$K:$K,манзилли!$J:$J,'свод (соҳа)'!$B27,манзилли!$AA:$AA,"&lt;01.02.2021",манзилли!$AB:$AB,""))</f>
        <v>0</v>
      </c>
      <c r="AT27" s="86">
        <f>(+SUMIFS(манзилли!$M:$M,манзилли!$J:$J,'свод (соҳа)'!$B27,манзилли!$AA:$AA,"&lt;01.02.2021",манзилли!$AB:$AB,""))</f>
        <v>0</v>
      </c>
      <c r="AU27" s="86">
        <f>(+SUMIFS(манзилли!$Q:$Q,манзилли!$J:$J,'свод (соҳа)'!$B27,манзилли!$AA:$AA,"&lt;01.02.2021",манзилли!$AB:$AB,""))</f>
        <v>0</v>
      </c>
      <c r="AV27" s="86">
        <f>(+SUMIFS(манзилли!$S:$S,манзилли!$J:$J,'свод (соҳа)'!$B27,манзилли!$AA:$AA,"&lt;01.02.2021",манзилли!$AB:$AB,""))</f>
        <v>0</v>
      </c>
      <c r="AW27" s="86">
        <f>(+SUMIFS(манзилли!$U:$U,манзилли!$J:$J,'свод (соҳа)'!$B27,манзилли!$AA:$AA,"&lt;01.02.2021",манзилли!$AB:$AB,""))</f>
        <v>0</v>
      </c>
      <c r="AX27" s="30">
        <f>+SUMIFS(манзилли!$Y:$Y,манзилли!$J:$J,'свод (соҳа)'!$B27,манзилли!$AA:$AA,"&lt;01.02.2021",манзилли!$AB:$AB,"")</f>
        <v>0</v>
      </c>
      <c r="AY27" s="28">
        <f>+COUNTIFS(манзилли!$J:$J,'свод (соҳа)'!$B27,манзилли!$AA:$AA,"&lt;01.01.2022",манзилли!$AB:$AB,"")</f>
        <v>97</v>
      </c>
      <c r="AZ27" s="86">
        <f>(+SUMIFS(манзилли!$K:$K,манзилли!$J:$J,'свод (соҳа)'!$B27,манзилли!$AA:$AA,"&lt;01.01.2022",манзилли!$AB:$AB,""))</f>
        <v>558603.5</v>
      </c>
      <c r="BA27" s="86">
        <f>(+SUMIFS(манзилли!$M:$M,манзилли!$J:$J,'свод (соҳа)'!$B27,манзилли!$AA:$AA,"&lt;01.01.2022",манзилли!$AB:$AB,""))</f>
        <v>215549</v>
      </c>
      <c r="BB27" s="86">
        <f>(+SUMIFS(манзилли!$Q:$Q,манзилли!$J:$J,'свод (соҳа)'!$B27,манзилли!$AA:$AA,"&lt;01.01.2022",манзилли!$AB:$AB,""))</f>
        <v>234488</v>
      </c>
      <c r="BC27" s="86">
        <f>(+SUMIFS(манзилли!$S:$S,манзилли!$J:$J,'свод (соҳа)'!$B27,манзилли!$AA:$AA,"&lt;01.01.2022",манзилли!$AB:$AB,""))</f>
        <v>9545</v>
      </c>
      <c r="BD27" s="86">
        <f>(+SUMIFS(манзилли!$U:$U,манзилли!$J:$J,'свод (соҳа)'!$B27,манзилли!$AA:$AA,"&lt;01.01.2022",манзилли!$AB:$AB,""))</f>
        <v>100</v>
      </c>
      <c r="BE27" s="30">
        <f>+SUMIFS(манзилли!$Y:$Y,манзилли!$J:$J,'свод (соҳа)'!$B27,манзилли!$AA:$AA,"&lt;01.01.2022",манзилли!$AB:$AB,"")</f>
        <v>1377</v>
      </c>
      <c r="BF27" s="28">
        <f>+COUNTIFS(манзилли!$J:$J,'свод (соҳа)'!$B27,манзилли!$AA:$AA,"&lt;01.01.2023",манзилли!$AA:$AA,"&gt;=01.01.2022")</f>
        <v>9</v>
      </c>
      <c r="BG27" s="86">
        <f>(+SUMIFS(манзилли!$K:$K,манзилли!$J:$J,'свод (соҳа)'!$B27,манзилли!$AA:$AA,"&lt;01.01.2023",манзилли!$AA:$AA,"&gt;=01.01.2022"))</f>
        <v>51250</v>
      </c>
      <c r="BH27" s="86">
        <f>(+SUMIFS(манзилли!$M:$M,манзилли!$J:$J,'свод (соҳа)'!$B27,манзилли!$AA:$AA,"&lt;01.01.2023",манзилли!$AA:$AA,"&gt;=01.01.2022"))</f>
        <v>18200</v>
      </c>
      <c r="BI27" s="86">
        <f>(+SUMIFS(манзилли!$Q:$Q,манзилли!$J:$J,'свод (соҳа)'!$B27,манзилли!$AA:$AA,"&lt;01.01.2023",манзилли!$AA:$AA,"&gt;=01.01.2022"))</f>
        <v>17600</v>
      </c>
      <c r="BJ27" s="86">
        <f>(+SUMIFS(манзилли!$S:$S,манзилли!$J:$J,'свод (соҳа)'!$B27,манзилли!$AA:$AA,"&lt;01.01.2023",манзилли!$AA:$AA,"&gt;=01.01.2022"))</f>
        <v>0</v>
      </c>
      <c r="BK27" s="86">
        <f>(+SUMIFS(манзилли!$U:$U,манзилли!$J:$J,'свод (соҳа)'!$B27,манзилли!$AA:$AA,"&lt;01.01.2023",манзилли!$AA:$AA,"&gt;=01.01.2022"))</f>
        <v>1500</v>
      </c>
      <c r="BL27" s="30">
        <f>+SUMIFS(манзилли!$Y:$Y,манзилли!$J:$J,'свод (соҳа)'!$B27,манзилли!$AA:$AA,"&lt;01.01.2023",манзилли!$AA:$AA,"&gt;=01.01.2022")</f>
        <v>116</v>
      </c>
    </row>
    <row r="28" spans="1:64" s="3" customFormat="1" ht="35.25" customHeight="1" outlineLevel="1">
      <c r="A28" s="26">
        <f t="shared" si="16"/>
        <v>5</v>
      </c>
      <c r="B28" s="88" t="s">
        <v>47</v>
      </c>
      <c r="C28" s="28">
        <f>+COUNTIFS(манзилли!$J:$J,'свод (соҳа)'!$B28)</f>
        <v>16</v>
      </c>
      <c r="D28" s="86">
        <f>(+SUMIFS(манзилли!$K:$K,манзилли!$J:$J,'свод (соҳа)'!$B28))</f>
        <v>68858</v>
      </c>
      <c r="E28" s="86">
        <f>(+SUMIFS(манзилли!$M:$M,манзилли!$J:$J,'свод (соҳа)'!$B28))</f>
        <v>35120</v>
      </c>
      <c r="F28" s="86">
        <f>(+SUMIFS(манзилли!$Q:$Q,манзилли!$J:$J,'свод (соҳа)'!$B28))</f>
        <v>17800</v>
      </c>
      <c r="G28" s="86">
        <f>(+SUMIFS(манзилли!$S:$S,манзилли!$J:$J,'свод (соҳа)'!$B28))</f>
        <v>1540</v>
      </c>
      <c r="H28" s="86">
        <f>(+SUMIFS(манзилли!$U:$U,манзилли!$J:$J,'свод (соҳа)'!$B28))</f>
        <v>0</v>
      </c>
      <c r="I28" s="30">
        <f>+SUMIFS(манзилли!$Y:$Y,манзилли!$J:$J,'свод (соҳа)'!$B28)</f>
        <v>206</v>
      </c>
      <c r="J28" s="28">
        <f>+(COUNTIFS(манзилли!$L:$L,"&gt;0",манзилли!$J:$J,'свод (соҳа)'!$B28)+COUNTIFS('Қўшимча ишга тушган'!$T:$T,"&gt;0",'Қўшимча ишга тушган'!$J:$J,'свод (соҳа)'!$B28))</f>
        <v>6</v>
      </c>
      <c r="K28" s="86">
        <f>(+SUMIFS(манзилли!$L:$L,манзилли!$J:$J,'свод (соҳа)'!$B28)+SUMIFS('Қўшимча ишга тушган'!$T:$T,'Қўшимча ишга тушган'!$J:$J,'свод (соҳа)'!$B28))</f>
        <v>5752</v>
      </c>
      <c r="L28" s="86">
        <f>+(SUMIFS(манзилли!$N:$N,манзилли!$J:$J,'свод (соҳа)'!$B28)+SUMIFS('Қўшимча ишга тушган'!$V:$V,'Қўшимча ишга тушган'!$J:$J,'свод (соҳа)'!$B28))</f>
        <v>100</v>
      </c>
      <c r="M28" s="86">
        <f>(+SUMIFS(манзилли!$R:$R,манзилли!$J:$J,'свод (соҳа)'!$B28)+SUMIFS('Қўшимча ишга тушган'!$Z:$Z,'Қўшимча ишга тушган'!$J:$J,'свод (соҳа)'!$B28))</f>
        <v>5652</v>
      </c>
      <c r="N28" s="86">
        <f>(+SUMIFS(манзилли!$T:$T,манзилли!$J:$J,'свод (соҳа)'!$B28)+SUMIFS('Қўшимча ишга тушган'!$AB:$AB,'Қўшимча ишга тушган'!$J:$J,'свод (соҳа)'!$B28))</f>
        <v>0</v>
      </c>
      <c r="O28" s="30">
        <f>(+SUMIFS(манзилли!$V:$V,манзилли!$J:$J,'свод (соҳа)'!$B28)+SUMIFS('Қўшимча ишга тушган'!$AD:$AD,'Қўшимча ишга тушган'!$J:$J,'свод (соҳа)'!$B28))</f>
        <v>0</v>
      </c>
      <c r="P28" s="28">
        <f>+COUNTIFS(манзилли!$J:$J,'свод (соҳа)'!$B28,манзилли!$AA:$AA,"&gt;31.12.2020",манзилли!$AA:$AA,"&lt;01.01.2022")</f>
        <v>12</v>
      </c>
      <c r="Q28" s="86">
        <f>(+SUMIFS(манзилли!$K:$K,манзилли!$J:$J,'свод (соҳа)'!$B28,манзилли!$AA:$AA,"&gt;31.12.2020",манзилли!$AA:$AA,"&lt;01.01.2022"))</f>
        <v>44632</v>
      </c>
      <c r="R28" s="86">
        <f>(+SUMIFS(манзилли!$M:$M,манзилли!$J:$J,'свод (соҳа)'!$B28,манзилли!$AA:$AA,"&gt;31.12.2020",манзилли!$AA:$AA,"&lt;01.01.2022"))</f>
        <v>27920</v>
      </c>
      <c r="S28" s="86">
        <f>(+SUMIFS(манзилли!$Q:$Q,манзилли!$J:$J,'свод (соҳа)'!$B28,манзилли!$AA:$AA,"&gt;31.12.2020",манзилли!$AA:$AA,"&lt;01.01.2022"))</f>
        <v>16300</v>
      </c>
      <c r="T28" s="86">
        <f>(+SUMIFS(манзилли!$S:$S,манзилли!$J:$J,'свод (соҳа)'!$B28,манзилли!$AA:$AA,"&gt;31.12.2020",манзилли!$AA:$AA,"&lt;01.01.2022"))</f>
        <v>40</v>
      </c>
      <c r="U28" s="86">
        <f>(+SUMIFS(манзилли!$U:$U,манзилли!$J:$J,'свод (соҳа)'!$B28,манзилли!$AA:$AA,"&gt;31.12.2020",манзилли!$AA:$AA,"&lt;01.01.2022"))</f>
        <v>0</v>
      </c>
      <c r="V28" s="30">
        <f>+SUMIFS(манзилли!$Y:$Y,манзилли!$J:$J,'свод (соҳа)'!$B28,манзилли!$AA:$AA,"&gt;31.12.2020",манзилли!$AA:$AA,"&lt;01.01.2022")</f>
        <v>161</v>
      </c>
      <c r="W28" s="28">
        <f t="shared" si="13"/>
        <v>0</v>
      </c>
      <c r="X28" s="86">
        <f t="shared" si="7"/>
        <v>0</v>
      </c>
      <c r="Y28" s="86">
        <f t="shared" si="8"/>
        <v>0</v>
      </c>
      <c r="Z28" s="86">
        <f t="shared" si="9"/>
        <v>0</v>
      </c>
      <c r="AA28" s="86">
        <f t="shared" si="10"/>
        <v>0</v>
      </c>
      <c r="AB28" s="86">
        <f t="shared" si="11"/>
        <v>0</v>
      </c>
      <c r="AC28" s="30">
        <f t="shared" si="12"/>
        <v>0</v>
      </c>
      <c r="AD28" s="28">
        <f>+COUNTIFS(манзилли!$J:$J,'свод (соҳа)'!$B28,манзилли!$AB:$AB,"&gt;31.12.2020",манзилли!$AA:$AA,"&gt;31.12.2020",манзилли!$AA:$AA,"&lt;01.01.2022")</f>
        <v>0</v>
      </c>
      <c r="AE28" s="86">
        <f>(+SUMIFS(манзилли!$L:$L,манзилли!$J:$J,'свод (соҳа)'!$B28,манзилли!$AB:$AB,"&gt;31.12.2020",манзилли!$AA:$AA,"&gt;31.12.2020",манзилли!$AA:$AA,"&lt;01.01.2022"))</f>
        <v>0</v>
      </c>
      <c r="AF28" s="86">
        <f>(+SUMIFS(манзилли!$N:$N,манзилли!$J:$J,'свод (соҳа)'!$B28,манзилли!$AB:$AB,"&gt;31.12.2020",манзилли!$AA:$AA,"&gt;31.12.2020",манзилли!$AA:$AA,"&lt;01.01.2022"))</f>
        <v>0</v>
      </c>
      <c r="AG28" s="86">
        <f>(+SUMIFS(манзилли!$R:$R,манзилли!$J:$J,'свод (соҳа)'!$B28,манзилли!$AB:$AB,"&gt;31.12.2020",манзилли!$AA:$AA,"&gt;31.12.2020",манзилли!$AA:$AA,"&lt;01.01.2022"))</f>
        <v>0</v>
      </c>
      <c r="AH28" s="86">
        <f>(+SUMIFS(манзилли!$T:$T,манзилли!$J:$J,'свод (соҳа)'!$B28,манзилли!$AB:$AB,"&gt;31.12.2020",манзилли!$AA:$AA,"&gt;31.12.2020",манзилли!$AA:$AA,"&lt;01.01.2022"))</f>
        <v>0</v>
      </c>
      <c r="AI28" s="86">
        <f>(+SUMIFS(манзилли!$V:$V,манзилли!$J:$J,'свод (соҳа)'!$B28,манзилли!$AB:$AB,"&gt;31.12.2020",манзилли!$AA:$AA,"&gt;31.12.2020",манзилли!$AA:$AA,"&lt;01.01.2022"))</f>
        <v>0</v>
      </c>
      <c r="AJ28" s="30">
        <f>+SUMIFS(манзилли!$Z:$Z,манзилли!$J:$J,'свод (соҳа)'!$B28,манзилли!$AB:$AB,"&gt;31.12.2020",манзилли!$AA:$AA,"&gt;31.12.2020",манзилли!$AA:$AA,"&lt;01.01.2022")</f>
        <v>0</v>
      </c>
      <c r="AK28" s="28">
        <f>+COUNTIFS('Қўшимча ишга тушган'!$J:$J,'свод (соҳа)'!B28,'Қўшимча ишга тушган'!$AO:$AO,"&lt;01.10.2023")</f>
        <v>0</v>
      </c>
      <c r="AL28" s="86">
        <f>(+SUMIFS('Қўшимча ишга тушган'!$T:$T,'Қўшимча ишга тушган'!$J:$J,'свод (соҳа)'!$B28,'Қўшимча ишга тушган'!$AO:$AO,"&lt;01.10.2023"))</f>
        <v>0</v>
      </c>
      <c r="AM28" s="86">
        <f>(+SUMIFS('Қўшимча ишга тушган'!$V:$V,'Қўшимча ишга тушган'!$J:$J,'свод (соҳа)'!$B28,'Қўшимча ишга тушган'!$AO:$AO,"&lt;01.10.2023"))</f>
        <v>0</v>
      </c>
      <c r="AN28" s="86">
        <f>(+SUMIFS('Қўшимча ишга тушган'!$Z:$Z,'Қўшимча ишга тушган'!$J:$J,'свод (соҳа)'!$B28,'Қўшимча ишга тушган'!$AO:$AO,"&lt;01.10.2023"))</f>
        <v>0</v>
      </c>
      <c r="AO28" s="86">
        <f>(+SUMIFS('Қўшимча ишга тушган'!$AB:$AB,'Қўшимча ишга тушган'!$J:$J,'свод (соҳа)'!$B28,'Қўшимча ишга тушган'!$AO:$AO,"&lt;01.10.2023"))</f>
        <v>0</v>
      </c>
      <c r="AP28" s="86">
        <f>(+SUMIFS('Қўшимча ишга тушган'!$AD:$AD,'Қўшимча ишга тушган'!$J:$J,'свод (соҳа)'!$B28,'Қўшимча ишга тушган'!$AO:$AO,"&lt;01.10.2023"))</f>
        <v>0</v>
      </c>
      <c r="AQ28" s="30">
        <f>+SUMIFS('Қўшимча ишга тушган'!$AM:$AM,'Қўшимча ишга тушган'!$J:$J,'свод (соҳа)'!$B28,'Қўшимча ишга тушган'!$AO:$AO,"&lt;01.10.2023")</f>
        <v>0</v>
      </c>
      <c r="AR28" s="28">
        <f>+COUNTIFS(манзилли!$J:$J,'свод (соҳа)'!$B28,манзилли!$AA:$AA,"&lt;01.02.2021",манзилли!$AB:$AB,"")</f>
        <v>0</v>
      </c>
      <c r="AS28" s="86">
        <f>(+SUMIFS(манзилли!$K:$K,манзилли!$J:$J,'свод (соҳа)'!$B28,манзилли!$AA:$AA,"&lt;01.02.2021",манзилли!$AB:$AB,""))</f>
        <v>0</v>
      </c>
      <c r="AT28" s="86">
        <f>(+SUMIFS(манзилли!$M:$M,манзилли!$J:$J,'свод (соҳа)'!$B28,манзилли!$AA:$AA,"&lt;01.02.2021",манзилли!$AB:$AB,""))</f>
        <v>0</v>
      </c>
      <c r="AU28" s="86">
        <f>(+SUMIFS(манзилли!$Q:$Q,манзилли!$J:$J,'свод (соҳа)'!$B28,манзилли!$AA:$AA,"&lt;01.02.2021",манзилли!$AB:$AB,""))</f>
        <v>0</v>
      </c>
      <c r="AV28" s="86">
        <f>(+SUMIFS(манзилли!$S:$S,манзилли!$J:$J,'свод (соҳа)'!$B28,манзилли!$AA:$AA,"&lt;01.02.2021",манзилли!$AB:$AB,""))</f>
        <v>0</v>
      </c>
      <c r="AW28" s="86">
        <f>(+SUMIFS(манзилли!$U:$U,манзилли!$J:$J,'свод (соҳа)'!$B28,манзилли!$AA:$AA,"&lt;01.02.2021",манзилли!$AB:$AB,""))</f>
        <v>0</v>
      </c>
      <c r="AX28" s="30">
        <f>+SUMIFS(манзилли!$Y:$Y,манзилли!$J:$J,'свод (соҳа)'!$B28,манзилли!$AA:$AA,"&lt;01.02.2021",манзилли!$AB:$AB,"")</f>
        <v>0</v>
      </c>
      <c r="AY28" s="28">
        <f>+COUNTIFS(манзилли!$J:$J,'свод (соҳа)'!$B28,манзилли!$AA:$AA,"&lt;01.01.2022",манзилли!$AB:$AB,"")</f>
        <v>11</v>
      </c>
      <c r="AZ28" s="86">
        <f>(+SUMIFS(манзилли!$K:$K,манзилли!$J:$J,'свод (соҳа)'!$B28,манзилли!$AA:$AA,"&lt;01.01.2022",манзилли!$AB:$AB,""))</f>
        <v>44032</v>
      </c>
      <c r="BA28" s="86">
        <f>(+SUMIFS(манзилли!$M:$M,манзилли!$J:$J,'свод (соҳа)'!$B28,манзилли!$AA:$AA,"&lt;01.01.2022",манзилли!$AB:$AB,""))</f>
        <v>27820</v>
      </c>
      <c r="BB28" s="86">
        <f>(+SUMIFS(манзилли!$Q:$Q,манзилли!$J:$J,'свод (соҳа)'!$B28,манзилли!$AA:$AA,"&lt;01.01.2022",манзилли!$AB:$AB,""))</f>
        <v>15800</v>
      </c>
      <c r="BC28" s="86">
        <f>(+SUMIFS(манзилли!$S:$S,манзилли!$J:$J,'свод (соҳа)'!$B28,манзилли!$AA:$AA,"&lt;01.01.2022",манзилли!$AB:$AB,""))</f>
        <v>40</v>
      </c>
      <c r="BD28" s="86">
        <f>(+SUMIFS(манзилли!$U:$U,манзилли!$J:$J,'свод (соҳа)'!$B28,манзилли!$AA:$AA,"&lt;01.01.2022",манзилли!$AB:$AB,""))</f>
        <v>0</v>
      </c>
      <c r="BE28" s="30">
        <f>+SUMIFS(манзилли!$Y:$Y,манзилли!$J:$J,'свод (соҳа)'!$B28,манзилли!$AA:$AA,"&lt;01.01.2022",манзилли!$AB:$AB,"")</f>
        <v>157</v>
      </c>
      <c r="BF28" s="28">
        <f>+COUNTIFS(манзилли!$J:$J,'свод (соҳа)'!$B28,манзилли!$AA:$AA,"&lt;01.01.2023",манзилли!$AA:$AA,"&gt;=01.01.2022")</f>
        <v>4</v>
      </c>
      <c r="BG28" s="86">
        <f>(+SUMIFS(манзилли!$K:$K,манзилли!$J:$J,'свод (соҳа)'!$B28,манзилли!$AA:$AA,"&lt;01.01.2023",манзилли!$AA:$AA,"&gt;=01.01.2022"))</f>
        <v>24226</v>
      </c>
      <c r="BH28" s="86">
        <f>(+SUMIFS(манзилли!$M:$M,манзилли!$J:$J,'свод (соҳа)'!$B28,манзилли!$AA:$AA,"&lt;01.01.2023",манзилли!$AA:$AA,"&gt;=01.01.2022"))</f>
        <v>7200</v>
      </c>
      <c r="BI28" s="86">
        <f>(+SUMIFS(манзилли!$Q:$Q,манзилли!$J:$J,'свод (соҳа)'!$B28,манзилли!$AA:$AA,"&lt;01.01.2023",манзилли!$AA:$AA,"&gt;=01.01.2022"))</f>
        <v>1500</v>
      </c>
      <c r="BJ28" s="86">
        <f>(+SUMIFS(манзилли!$S:$S,манзилли!$J:$J,'свод (соҳа)'!$B28,манзилли!$AA:$AA,"&lt;01.01.2023",манзилли!$AA:$AA,"&gt;=01.01.2022"))</f>
        <v>1500</v>
      </c>
      <c r="BK28" s="86">
        <f>(+SUMIFS(манзилли!$U:$U,манзилли!$J:$J,'свод (соҳа)'!$B28,манзилли!$AA:$AA,"&lt;01.01.2023",манзилли!$AA:$AA,"&gt;=01.01.2022"))</f>
        <v>0</v>
      </c>
      <c r="BL28" s="30">
        <f>+SUMIFS(манзилли!$Y:$Y,манзилли!$J:$J,'свод (соҳа)'!$B28,манзилли!$AA:$AA,"&lt;01.01.2023",манзилли!$AA:$AA,"&gt;=01.01.2022")</f>
        <v>45</v>
      </c>
    </row>
    <row r="29" spans="1:64" s="3" customFormat="1" ht="35.25" customHeight="1" outlineLevel="1">
      <c r="A29" s="26">
        <f t="shared" si="16"/>
        <v>6</v>
      </c>
      <c r="B29" s="88" t="s">
        <v>63</v>
      </c>
      <c r="C29" s="28">
        <f>+COUNTIFS(манзилли!$J:$J,'свод (соҳа)'!$B29)</f>
        <v>5</v>
      </c>
      <c r="D29" s="86">
        <f>(+SUMIFS(манзилли!$K:$K,манзилли!$J:$J,'свод (соҳа)'!$B29))</f>
        <v>26600</v>
      </c>
      <c r="E29" s="86">
        <f>(+SUMIFS(манзилли!$M:$M,манзилли!$J:$J,'свод (соҳа)'!$B29))</f>
        <v>7900</v>
      </c>
      <c r="F29" s="86">
        <f>(+SUMIFS(манзилли!$Q:$Q,манзилли!$J:$J,'свод (соҳа)'!$B29))</f>
        <v>18700</v>
      </c>
      <c r="G29" s="86">
        <f>(+SUMIFS(манзилли!$S:$S,манзилли!$J:$J,'свод (соҳа)'!$B29))</f>
        <v>0</v>
      </c>
      <c r="H29" s="86">
        <f>(+SUMIFS(манзилли!$U:$U,манзилли!$J:$J,'свод (соҳа)'!$B29))</f>
        <v>0</v>
      </c>
      <c r="I29" s="30">
        <f>+SUMIFS(манзилли!$Y:$Y,манзилли!$J:$J,'свод (соҳа)'!$B29)</f>
        <v>287</v>
      </c>
      <c r="J29" s="28">
        <f>+(COUNTIFS(манзилли!$L:$L,"&gt;0",манзилли!$J:$J,'свод (соҳа)'!$B29)+COUNTIFS('Қўшимча ишга тушган'!$T:$T,"&gt;0",'Қўшимча ишга тушган'!$J:$J,'свод (соҳа)'!$B29))</f>
        <v>4</v>
      </c>
      <c r="K29" s="86">
        <f>(+SUMIFS(манзилли!$L:$L,манзилли!$J:$J,'свод (соҳа)'!$B29)+SUMIFS('Қўшимча ишга тушган'!$T:$T,'Қўшимча ишга тушган'!$J:$J,'свод (соҳа)'!$B29))</f>
        <v>9500</v>
      </c>
      <c r="L29" s="86">
        <f>+(SUMIFS(манзилли!$N:$N,манзилли!$J:$J,'свод (соҳа)'!$B29)+SUMIFS('Қўшимча ишга тушган'!$V:$V,'Қўшимча ишга тушган'!$J:$J,'свод (соҳа)'!$B29))</f>
        <v>1000</v>
      </c>
      <c r="M29" s="86">
        <f>(+SUMIFS(манзилли!$R:$R,манзилли!$J:$J,'свод (соҳа)'!$B29)+SUMIFS('Қўшимча ишга тушган'!$Z:$Z,'Қўшимча ишга тушган'!$J:$J,'свод (соҳа)'!$B29))</f>
        <v>8500</v>
      </c>
      <c r="N29" s="86">
        <f>(+SUMIFS(манзилли!$T:$T,манзилли!$J:$J,'свод (соҳа)'!$B29)+SUMIFS('Қўшимча ишга тушган'!$AB:$AB,'Қўшимча ишга тушган'!$J:$J,'свод (соҳа)'!$B29))</f>
        <v>0</v>
      </c>
      <c r="O29" s="30">
        <f>(+SUMIFS(манзилли!$V:$V,манзилли!$J:$J,'свод (соҳа)'!$B29)+SUMIFS('Қўшимча ишга тушган'!$AD:$AD,'Қўшимча ишга тушган'!$J:$J,'свод (соҳа)'!$B29))</f>
        <v>0</v>
      </c>
      <c r="P29" s="32">
        <f>+COUNTIFS(манзилли!$J:$J,'свод (соҳа)'!$B29,манзилли!$AA:$AA,"&gt;31.12.2020",манзилли!$AA:$AA,"&lt;01.01.2022")</f>
        <v>3</v>
      </c>
      <c r="Q29" s="86">
        <f>(+SUMIFS(манзилли!$K:$K,манзилли!$J:$J,'свод (соҳа)'!$B29,манзилли!$AA:$AA,"&gt;31.12.2020",манзилли!$AA:$AA,"&lt;01.01.2022"))</f>
        <v>4600</v>
      </c>
      <c r="R29" s="90">
        <f>(+SUMIFS(манзилли!$M:$M,манзилли!$J:$J,'свод (соҳа)'!$B29,манзилли!$AA:$AA,"&gt;31.12.2020",манзилли!$AA:$AA,"&lt;01.01.2022"))</f>
        <v>1900</v>
      </c>
      <c r="S29" s="90">
        <f>(+SUMIFS(манзилли!$Q:$Q,манзилли!$J:$J,'свод (соҳа)'!$B29,манзилли!$AA:$AA,"&gt;31.12.2020",манзилли!$AA:$AA,"&lt;01.01.2022"))</f>
        <v>2700</v>
      </c>
      <c r="T29" s="90">
        <f>(+SUMIFS(манзилли!$S:$S,манзилли!$J:$J,'свод (соҳа)'!$B29,манзилли!$AA:$AA,"&gt;31.12.2020",манзилли!$AA:$AA,"&lt;01.01.2022"))</f>
        <v>0</v>
      </c>
      <c r="U29" s="90">
        <f>(+SUMIFS(манзилли!$U:$U,манзилли!$J:$J,'свод (соҳа)'!$B29,манзилли!$AA:$AA,"&gt;31.12.2020",манзилли!$AA:$AA,"&lt;01.01.2022"))</f>
        <v>0</v>
      </c>
      <c r="V29" s="34">
        <f>+SUMIFS(манзилли!$Y:$Y,манзилли!$J:$J,'свод (соҳа)'!$B29,манзилли!$AA:$AA,"&gt;31.12.2020",манзилли!$AA:$AA,"&lt;01.01.2022")</f>
        <v>35</v>
      </c>
      <c r="W29" s="28">
        <f t="shared" si="13"/>
        <v>0</v>
      </c>
      <c r="X29" s="86">
        <f t="shared" si="7"/>
        <v>0</v>
      </c>
      <c r="Y29" s="86">
        <f t="shared" si="8"/>
        <v>0</v>
      </c>
      <c r="Z29" s="86">
        <f t="shared" si="9"/>
        <v>0</v>
      </c>
      <c r="AA29" s="86">
        <f t="shared" si="10"/>
        <v>0</v>
      </c>
      <c r="AB29" s="86">
        <f t="shared" si="11"/>
        <v>0</v>
      </c>
      <c r="AC29" s="30">
        <f t="shared" si="12"/>
        <v>0</v>
      </c>
      <c r="AD29" s="28">
        <f>+COUNTIFS(манзилли!$J:$J,'свод (соҳа)'!$B29,манзилли!$AB:$AB,"&gt;31.12.2020",манзилли!$AA:$AA,"&gt;31.12.2020",манзилли!$AA:$AA,"&lt;01.01.2022")</f>
        <v>0</v>
      </c>
      <c r="AE29" s="86">
        <f>(+SUMIFS(манзилли!$L:$L,манзилли!$J:$J,'свод (соҳа)'!$B29,манзилли!$AB:$AB,"&gt;31.12.2020",манзилли!$AA:$AA,"&gt;31.12.2020",манзилли!$AA:$AA,"&lt;01.01.2022"))</f>
        <v>0</v>
      </c>
      <c r="AF29" s="86">
        <f>(+SUMIFS(манзилли!$N:$N,манзилли!$J:$J,'свод (соҳа)'!$B29,манзилли!$AB:$AB,"&gt;31.12.2020",манзилли!$AA:$AA,"&gt;31.12.2020",манзилли!$AA:$AA,"&lt;01.01.2022"))</f>
        <v>0</v>
      </c>
      <c r="AG29" s="86">
        <f>(+SUMIFS(манзилли!$R:$R,манзилли!$J:$J,'свод (соҳа)'!$B29,манзилли!$AB:$AB,"&gt;31.12.2020",манзилли!$AA:$AA,"&gt;31.12.2020",манзилли!$AA:$AA,"&lt;01.01.2022"))</f>
        <v>0</v>
      </c>
      <c r="AH29" s="86">
        <f>(+SUMIFS(манзилли!$T:$T,манзилли!$J:$J,'свод (соҳа)'!$B29,манзилли!$AB:$AB,"&gt;31.12.2020",манзилли!$AA:$AA,"&gt;31.12.2020",манзилли!$AA:$AA,"&lt;01.01.2022"))</f>
        <v>0</v>
      </c>
      <c r="AI29" s="86">
        <f>(+SUMIFS(манзилли!$V:$V,манзилли!$J:$J,'свод (соҳа)'!$B29,манзилли!$AB:$AB,"&gt;31.12.2020",манзилли!$AA:$AA,"&gt;31.12.2020",манзилли!$AA:$AA,"&lt;01.01.2022"))</f>
        <v>0</v>
      </c>
      <c r="AJ29" s="30">
        <f>+SUMIFS(манзилли!$Z:$Z,манзилли!$J:$J,'свод (соҳа)'!$B29,манзилли!$AB:$AB,"&gt;31.12.2020",манзилли!$AA:$AA,"&gt;31.12.2020",манзилли!$AA:$AA,"&lt;01.01.2022")</f>
        <v>0</v>
      </c>
      <c r="AK29" s="28">
        <f>+COUNTIFS('Қўшимча ишга тушган'!$J:$J,'свод (соҳа)'!B29,'Қўшимча ишга тушган'!$AO:$AO,"&lt;01.10.2023")</f>
        <v>0</v>
      </c>
      <c r="AL29" s="86">
        <f>(+SUMIFS('Қўшимча ишга тушган'!$T:$T,'Қўшимча ишга тушган'!$J:$J,'свод (соҳа)'!$B29,'Қўшимча ишга тушган'!$AO:$AO,"&lt;01.10.2023"))</f>
        <v>0</v>
      </c>
      <c r="AM29" s="86">
        <f>(+SUMIFS('Қўшимча ишга тушган'!$V:$V,'Қўшимча ишга тушган'!$J:$J,'свод (соҳа)'!$B29,'Қўшимча ишга тушган'!$AO:$AO,"&lt;01.10.2023"))</f>
        <v>0</v>
      </c>
      <c r="AN29" s="86">
        <f>(+SUMIFS('Қўшимча ишга тушган'!$Z:$Z,'Қўшимча ишга тушган'!$J:$J,'свод (соҳа)'!$B29,'Қўшимча ишга тушган'!$AO:$AO,"&lt;01.10.2023"))</f>
        <v>0</v>
      </c>
      <c r="AO29" s="86">
        <f>(+SUMIFS('Қўшимча ишга тушган'!$AB:$AB,'Қўшимча ишга тушган'!$J:$J,'свод (соҳа)'!$B29,'Қўшимча ишга тушган'!$AO:$AO,"&lt;01.10.2023"))</f>
        <v>0</v>
      </c>
      <c r="AP29" s="86">
        <f>(+SUMIFS('Қўшимча ишга тушган'!$AD:$AD,'Қўшимча ишга тушган'!$J:$J,'свод (соҳа)'!$B29,'Қўшимча ишга тушган'!$AO:$AO,"&lt;01.10.2023"))</f>
        <v>0</v>
      </c>
      <c r="AQ29" s="30">
        <f>+SUMIFS('Қўшимча ишга тушган'!$AM:$AM,'Қўшимча ишга тушган'!$J:$J,'свод (соҳа)'!$B29,'Қўшимча ишга тушган'!$AO:$AO,"&lt;01.10.2023")</f>
        <v>0</v>
      </c>
      <c r="AR29" s="28">
        <f>+COUNTIFS(манзилли!$J:$J,'свод (соҳа)'!$B29,манзилли!$AA:$AA,"&lt;01.02.2021",манзилли!$AB:$AB,"")</f>
        <v>0</v>
      </c>
      <c r="AS29" s="86">
        <f>(+SUMIFS(манзилли!$K:$K,манзилли!$J:$J,'свод (соҳа)'!$B29,манзилли!$AA:$AA,"&lt;01.02.2021",манзилли!$AB:$AB,""))</f>
        <v>0</v>
      </c>
      <c r="AT29" s="86">
        <f>(+SUMIFS(манзилли!$M:$M,манзилли!$J:$J,'свод (соҳа)'!$B29,манзилли!$AA:$AA,"&lt;01.02.2021",манзилли!$AB:$AB,""))</f>
        <v>0</v>
      </c>
      <c r="AU29" s="86">
        <f>(+SUMIFS(манзилли!$Q:$Q,манзилли!$J:$J,'свод (соҳа)'!$B29,манзилли!$AA:$AA,"&lt;01.02.2021",манзилли!$AB:$AB,""))</f>
        <v>0</v>
      </c>
      <c r="AV29" s="86">
        <f>(+SUMIFS(манзилли!$S:$S,манзилли!$J:$J,'свод (соҳа)'!$B29,манзилли!$AA:$AA,"&lt;01.02.2021",манзилли!$AB:$AB,""))</f>
        <v>0</v>
      </c>
      <c r="AW29" s="86">
        <f>(+SUMIFS(манзилли!$U:$U,манзилли!$J:$J,'свод (соҳа)'!$B29,манзилли!$AA:$AA,"&lt;01.02.2021",манзилли!$AB:$AB,""))</f>
        <v>0</v>
      </c>
      <c r="AX29" s="30">
        <f>+SUMIFS(манзилли!$Y:$Y,манзилли!$J:$J,'свод (соҳа)'!$B29,манзилли!$AA:$AA,"&lt;01.02.2021",манзилли!$AB:$AB,"")</f>
        <v>0</v>
      </c>
      <c r="AY29" s="28">
        <f>+COUNTIFS(манзилли!$J:$J,'свод (соҳа)'!$B29,манзилли!$AA:$AA,"&lt;01.01.2022",манзилли!$AB:$AB,"")</f>
        <v>3</v>
      </c>
      <c r="AZ29" s="86">
        <f>(+SUMIFS(манзилли!$K:$K,манзилли!$J:$J,'свод (соҳа)'!$B29,манзилли!$AA:$AA,"&lt;01.01.2022",манзилли!$AB:$AB,""))</f>
        <v>4600</v>
      </c>
      <c r="BA29" s="86">
        <f>(+SUMIFS(манзилли!$M:$M,манзилли!$J:$J,'свод (соҳа)'!$B29,манзилли!$AA:$AA,"&lt;01.01.2022",манзилли!$AB:$AB,""))</f>
        <v>1900</v>
      </c>
      <c r="BB29" s="86">
        <f>(+SUMIFS(манзилли!$Q:$Q,манзилли!$J:$J,'свод (соҳа)'!$B29,манзилли!$AA:$AA,"&lt;01.01.2022",манзилли!$AB:$AB,""))</f>
        <v>2700</v>
      </c>
      <c r="BC29" s="86">
        <f>(+SUMIFS(манзилли!$S:$S,манзилли!$J:$J,'свод (соҳа)'!$B29,манзилли!$AA:$AA,"&lt;01.01.2022",манзилли!$AB:$AB,""))</f>
        <v>0</v>
      </c>
      <c r="BD29" s="86">
        <f>(+SUMIFS(манзилли!$U:$U,манзилли!$J:$J,'свод (соҳа)'!$B29,манзилли!$AA:$AA,"&lt;01.01.2022",манзилли!$AB:$AB,""))</f>
        <v>0</v>
      </c>
      <c r="BE29" s="30">
        <f>+SUMIFS(манзилли!$Y:$Y,манзилли!$J:$J,'свод (соҳа)'!$B29,манзилли!$AA:$AA,"&lt;01.01.2022",манзилли!$AB:$AB,"")</f>
        <v>35</v>
      </c>
      <c r="BF29" s="32">
        <f>+COUNTIFS(манзилли!$J:$J,'свод (соҳа)'!$B29,манзилли!$AA:$AA,"&lt;01.01.2023",манзилли!$AA:$AA,"&gt;=01.01.2022")</f>
        <v>1</v>
      </c>
      <c r="BG29" s="86">
        <f>(+SUMIFS(манзилли!$K:$K,манзилли!$J:$J,'свод (соҳа)'!$B29,манзилли!$AA:$AA,"&lt;01.01.2023",манзилли!$AA:$AA,"&gt;=01.01.2022"))</f>
        <v>15000</v>
      </c>
      <c r="BH29" s="90">
        <f>(+SUMIFS(манзилли!$M:$M,манзилли!$J:$J,'свод (соҳа)'!$B29,манзилли!$AA:$AA,"&lt;01.01.2023",манзилли!$AA:$AA,"&gt;=01.01.2022"))</f>
        <v>5000</v>
      </c>
      <c r="BI29" s="90">
        <f>(+SUMIFS(манзилли!$Q:$Q,манзилли!$J:$J,'свод (соҳа)'!$B29,манзилли!$AA:$AA,"&lt;01.01.2023",манзилли!$AA:$AA,"&gt;=01.01.2022"))</f>
        <v>10000</v>
      </c>
      <c r="BJ29" s="90">
        <f>(+SUMIFS(манзилли!$S:$S,манзилли!$J:$J,'свод (соҳа)'!$B29,манзилли!$AA:$AA,"&lt;01.01.2023",манзилли!$AA:$AA,"&gt;=01.01.2022"))</f>
        <v>0</v>
      </c>
      <c r="BK29" s="90">
        <f>(+SUMIFS(манзилли!$U:$U,манзилли!$J:$J,'свод (соҳа)'!$B29,манзилли!$AA:$AA,"&lt;01.01.2023",манзилли!$AA:$AA,"&gt;=01.01.2022"))</f>
        <v>0</v>
      </c>
      <c r="BL29" s="34">
        <f>+SUMIFS(манзилли!$Y:$Y,манзилли!$J:$J,'свод (соҳа)'!$B29,манзилли!$AA:$AA,"&lt;01.01.2023",манзилли!$AA:$AA,"&gt;=01.01.2022")</f>
        <v>250</v>
      </c>
    </row>
    <row r="30" spans="1:64" s="3" customFormat="1" ht="35.25" customHeight="1" outlineLevel="1">
      <c r="A30" s="26">
        <f t="shared" si="16"/>
        <v>7</v>
      </c>
      <c r="B30" s="88" t="s">
        <v>64</v>
      </c>
      <c r="C30" s="28">
        <f>+COUNTIFS(манзилли!$J:$J,'свод (соҳа)'!$B30)</f>
        <v>3</v>
      </c>
      <c r="D30" s="86">
        <f>(+SUMIFS(манзилли!$K:$K,манзилли!$J:$J,'свод (соҳа)'!$B30))</f>
        <v>116750</v>
      </c>
      <c r="E30" s="86">
        <f>(+SUMIFS(манзилли!$M:$M,манзилли!$J:$J,'свод (соҳа)'!$B30))</f>
        <v>106600</v>
      </c>
      <c r="F30" s="86">
        <f>(+SUMIFS(манзилли!$Q:$Q,манзилли!$J:$J,'свод (соҳа)'!$B30))</f>
        <v>5000</v>
      </c>
      <c r="G30" s="86">
        <f>(+SUMIFS(манзилли!$S:$S,манзилли!$J:$J,'свод (соҳа)'!$B30))</f>
        <v>0</v>
      </c>
      <c r="H30" s="86">
        <f>(+SUMIFS(манзилли!$U:$U,манзилли!$J:$J,'свод (соҳа)'!$B30))</f>
        <v>500</v>
      </c>
      <c r="I30" s="30">
        <f>+SUMIFS(манзилли!$Y:$Y,манзилли!$J:$J,'свод (соҳа)'!$B30)</f>
        <v>447</v>
      </c>
      <c r="J30" s="28">
        <f>+(COUNTIFS(манзилли!$L:$L,"&gt;0",манзилли!$J:$J,'свод (соҳа)'!$B30)+COUNTIFS('Қўшимча ишга тушган'!$T:$T,"&gt;0",'Қўшимча ишга тушган'!$J:$J,'свод (соҳа)'!$B30))</f>
        <v>1</v>
      </c>
      <c r="K30" s="86">
        <f>(+SUMIFS(манзилли!$L:$L,манзилли!$J:$J,'свод (соҳа)'!$B30)+SUMIFS('Қўшимча ишга тушган'!$T:$T,'Қўшимча ишга тушган'!$J:$J,'свод (соҳа)'!$B30))</f>
        <v>2000</v>
      </c>
      <c r="L30" s="86">
        <f>+(SUMIFS(манзилли!$N:$N,манзилли!$J:$J,'свод (соҳа)'!$B30)+SUMIFS('Қўшимча ишга тушган'!$V:$V,'Қўшимча ишга тушган'!$J:$J,'свод (соҳа)'!$B30))</f>
        <v>0</v>
      </c>
      <c r="M30" s="86">
        <f>(+SUMIFS(манзилли!$R:$R,манзилли!$J:$J,'свод (соҳа)'!$B30)+SUMIFS('Қўшимча ишга тушган'!$Z:$Z,'Қўшимча ишга тушган'!$J:$J,'свод (соҳа)'!$B30))</f>
        <v>2000</v>
      </c>
      <c r="N30" s="86">
        <f>(+SUMIFS(манзилли!$T:$T,манзилли!$J:$J,'свод (соҳа)'!$B30)+SUMIFS('Қўшимча ишга тушган'!$AB:$AB,'Қўшимча ишга тушган'!$J:$J,'свод (соҳа)'!$B30))</f>
        <v>0</v>
      </c>
      <c r="O30" s="30">
        <f>(+SUMIFS(манзилли!$V:$V,манзилли!$J:$J,'свод (соҳа)'!$B30)+SUMIFS('Қўшимча ишга тушган'!$AD:$AD,'Қўшимча ишга тушган'!$J:$J,'свод (соҳа)'!$B30))</f>
        <v>0</v>
      </c>
      <c r="P30" s="28">
        <f>+COUNTIFS(манзилли!$J:$J,'свод (соҳа)'!$B30,манзилли!$AA:$AA,"&gt;31.12.2020",манзилли!$AA:$AA,"&lt;01.01.2022")</f>
        <v>3</v>
      </c>
      <c r="Q30" s="86">
        <f>(+SUMIFS(манзилли!$K:$K,манзилли!$J:$J,'свод (соҳа)'!$B30,манзилли!$AA:$AA,"&gt;31.12.2020",манзилли!$AA:$AA,"&lt;01.01.2022"))</f>
        <v>116750</v>
      </c>
      <c r="R30" s="86">
        <f>(+SUMIFS(манзилли!$M:$M,манзилли!$J:$J,'свод (соҳа)'!$B30,манзилли!$AA:$AA,"&gt;31.12.2020",манзилли!$AA:$AA,"&lt;01.01.2022"))</f>
        <v>106600</v>
      </c>
      <c r="S30" s="86">
        <f>(+SUMIFS(манзилли!$Q:$Q,манзилли!$J:$J,'свод (соҳа)'!$B30,манзилли!$AA:$AA,"&gt;31.12.2020",манзилли!$AA:$AA,"&lt;01.01.2022"))</f>
        <v>5000</v>
      </c>
      <c r="T30" s="86">
        <f>(+SUMIFS(манзилли!$S:$S,манзилли!$J:$J,'свод (соҳа)'!$B30,манзилли!$AA:$AA,"&gt;31.12.2020",манзилли!$AA:$AA,"&lt;01.01.2022"))</f>
        <v>0</v>
      </c>
      <c r="U30" s="86">
        <f>(+SUMIFS(манзилли!$U:$U,манзилли!$J:$J,'свод (соҳа)'!$B30,манзилли!$AA:$AA,"&gt;31.12.2020",манзилли!$AA:$AA,"&lt;01.01.2022"))</f>
        <v>500</v>
      </c>
      <c r="V30" s="30">
        <f>+SUMIFS(манзилли!$Y:$Y,манзилли!$J:$J,'свод (соҳа)'!$B30,манзилли!$AA:$AA,"&gt;31.12.2020",манзилли!$AA:$AA,"&lt;01.01.2022")</f>
        <v>447</v>
      </c>
      <c r="W30" s="28">
        <f t="shared" si="13"/>
        <v>0</v>
      </c>
      <c r="X30" s="86">
        <f t="shared" si="7"/>
        <v>0</v>
      </c>
      <c r="Y30" s="86">
        <f t="shared" si="8"/>
        <v>0</v>
      </c>
      <c r="Z30" s="86">
        <f t="shared" si="9"/>
        <v>0</v>
      </c>
      <c r="AA30" s="86">
        <f t="shared" si="10"/>
        <v>0</v>
      </c>
      <c r="AB30" s="86">
        <f t="shared" si="11"/>
        <v>0</v>
      </c>
      <c r="AC30" s="30">
        <f t="shared" si="12"/>
        <v>0</v>
      </c>
      <c r="AD30" s="28">
        <f>+COUNTIFS(манзилли!$J:$J,'свод (соҳа)'!$B30,манзилли!$AB:$AB,"&gt;31.12.2020",манзилли!$AA:$AA,"&gt;31.12.2020",манзилли!$AA:$AA,"&lt;01.01.2022")</f>
        <v>0</v>
      </c>
      <c r="AE30" s="86">
        <f>(+SUMIFS(манзилли!$L:$L,манзилли!$J:$J,'свод (соҳа)'!$B30,манзилли!$AB:$AB,"&gt;31.12.2020",манзилли!$AA:$AA,"&gt;31.12.2020",манзилли!$AA:$AA,"&lt;01.01.2022"))</f>
        <v>0</v>
      </c>
      <c r="AF30" s="86">
        <f>(+SUMIFS(манзилли!$N:$N,манзилли!$J:$J,'свод (соҳа)'!$B30,манзилли!$AB:$AB,"&gt;31.12.2020",манзилли!$AA:$AA,"&gt;31.12.2020",манзилли!$AA:$AA,"&lt;01.01.2022"))</f>
        <v>0</v>
      </c>
      <c r="AG30" s="86">
        <f>(+SUMIFS(манзилли!$R:$R,манзилли!$J:$J,'свод (соҳа)'!$B30,манзилли!$AB:$AB,"&gt;31.12.2020",манзилли!$AA:$AA,"&gt;31.12.2020",манзилли!$AA:$AA,"&lt;01.01.2022"))</f>
        <v>0</v>
      </c>
      <c r="AH30" s="86">
        <f>(+SUMIFS(манзилли!$T:$T,манзилли!$J:$J,'свод (соҳа)'!$B30,манзилли!$AB:$AB,"&gt;31.12.2020",манзилли!$AA:$AA,"&gt;31.12.2020",манзилли!$AA:$AA,"&lt;01.01.2022"))</f>
        <v>0</v>
      </c>
      <c r="AI30" s="86">
        <f>(+SUMIFS(манзилли!$V:$V,манзилли!$J:$J,'свод (соҳа)'!$B30,манзилли!$AB:$AB,"&gt;31.12.2020",манзилли!$AA:$AA,"&gt;31.12.2020",манзилли!$AA:$AA,"&lt;01.01.2022"))</f>
        <v>0</v>
      </c>
      <c r="AJ30" s="30">
        <f>+SUMIFS(манзилли!$Z:$Z,манзилли!$J:$J,'свод (соҳа)'!$B30,манзилли!$AB:$AB,"&gt;31.12.2020",манзилли!$AA:$AA,"&gt;31.12.2020",манзилли!$AA:$AA,"&lt;01.01.2022")</f>
        <v>0</v>
      </c>
      <c r="AK30" s="28">
        <f>+COUNTIFS('Қўшимча ишга тушган'!$J:$J,'свод (соҳа)'!B30,'Қўшимча ишга тушган'!$AO:$AO,"&lt;01.10.2023")</f>
        <v>0</v>
      </c>
      <c r="AL30" s="86">
        <f>(+SUMIFS('Қўшимча ишга тушган'!$T:$T,'Қўшимча ишга тушган'!$J:$J,'свод (соҳа)'!$B30,'Қўшимча ишга тушган'!$AO:$AO,"&lt;01.10.2023"))</f>
        <v>0</v>
      </c>
      <c r="AM30" s="86">
        <f>(+SUMIFS('Қўшимча ишга тушган'!$V:$V,'Қўшимча ишга тушган'!$J:$J,'свод (соҳа)'!$B30,'Қўшимча ишга тушган'!$AO:$AO,"&lt;01.10.2023"))</f>
        <v>0</v>
      </c>
      <c r="AN30" s="86">
        <f>(+SUMIFS('Қўшимча ишга тушган'!$Z:$Z,'Қўшимча ишга тушган'!$J:$J,'свод (соҳа)'!$B30,'Қўшимча ишга тушган'!$AO:$AO,"&lt;01.10.2023"))</f>
        <v>0</v>
      </c>
      <c r="AO30" s="86">
        <f>(+SUMIFS('Қўшимча ишга тушган'!$AB:$AB,'Қўшимча ишга тушган'!$J:$J,'свод (соҳа)'!$B30,'Қўшимча ишга тушган'!$AO:$AO,"&lt;01.10.2023"))</f>
        <v>0</v>
      </c>
      <c r="AP30" s="86">
        <f>(+SUMIFS('Қўшимча ишга тушган'!$AD:$AD,'Қўшимча ишга тушган'!$J:$J,'свод (соҳа)'!$B30,'Қўшимча ишга тушган'!$AO:$AO,"&lt;01.10.2023"))</f>
        <v>0</v>
      </c>
      <c r="AQ30" s="30">
        <f>+SUMIFS('Қўшимча ишга тушган'!$AM:$AM,'Қўшимча ишга тушган'!$J:$J,'свод (соҳа)'!$B30,'Қўшимча ишга тушган'!$AO:$AO,"&lt;01.10.2023")</f>
        <v>0</v>
      </c>
      <c r="AR30" s="28">
        <f>+COUNTIFS(манзилли!$J:$J,'свод (соҳа)'!$B30,манзилли!$AA:$AA,"&lt;01.02.2021",манзилли!$AB:$AB,"")</f>
        <v>0</v>
      </c>
      <c r="AS30" s="86">
        <f>(+SUMIFS(манзилли!$K:$K,манзилли!$J:$J,'свод (соҳа)'!$B30,манзилли!$AA:$AA,"&lt;01.02.2021",манзилли!$AB:$AB,""))</f>
        <v>0</v>
      </c>
      <c r="AT30" s="86">
        <f>(+SUMIFS(манзилли!$M:$M,манзилли!$J:$J,'свод (соҳа)'!$B30,манзилли!$AA:$AA,"&lt;01.02.2021",манзилли!$AB:$AB,""))</f>
        <v>0</v>
      </c>
      <c r="AU30" s="86">
        <f>(+SUMIFS(манзилли!$Q:$Q,манзилли!$J:$J,'свод (соҳа)'!$B30,манзилли!$AA:$AA,"&lt;01.02.2021",манзилли!$AB:$AB,""))</f>
        <v>0</v>
      </c>
      <c r="AV30" s="86">
        <f>(+SUMIFS(манзилли!$S:$S,манзилли!$J:$J,'свод (соҳа)'!$B30,манзилли!$AA:$AA,"&lt;01.02.2021",манзилли!$AB:$AB,""))</f>
        <v>0</v>
      </c>
      <c r="AW30" s="86">
        <f>(+SUMIFS(манзилли!$U:$U,манзилли!$J:$J,'свод (соҳа)'!$B30,манзилли!$AA:$AA,"&lt;01.02.2021",манзилли!$AB:$AB,""))</f>
        <v>0</v>
      </c>
      <c r="AX30" s="30">
        <f>+SUMIFS(манзилли!$Y:$Y,манзилли!$J:$J,'свод (соҳа)'!$B30,манзилли!$AA:$AA,"&lt;01.02.2021",манзилли!$AB:$AB,"")</f>
        <v>0</v>
      </c>
      <c r="AY30" s="28">
        <f>+COUNTIFS(манзилли!$J:$J,'свод (соҳа)'!$B30,манзилли!$AA:$AA,"&lt;01.01.2022",манзилли!$AB:$AB,"")</f>
        <v>3</v>
      </c>
      <c r="AZ30" s="86">
        <f>(+SUMIFS(манзилли!$K:$K,манзилли!$J:$J,'свод (соҳа)'!$B30,манзилли!$AA:$AA,"&lt;01.01.2022",манзилли!$AB:$AB,""))</f>
        <v>116750</v>
      </c>
      <c r="BA30" s="86">
        <f>(+SUMIFS(манзилли!$M:$M,манзилли!$J:$J,'свод (соҳа)'!$B30,манзилли!$AA:$AA,"&lt;01.01.2022",манзилли!$AB:$AB,""))</f>
        <v>106600</v>
      </c>
      <c r="BB30" s="86">
        <f>(+SUMIFS(манзилли!$Q:$Q,манзилли!$J:$J,'свод (соҳа)'!$B30,манзилли!$AA:$AA,"&lt;01.01.2022",манзилли!$AB:$AB,""))</f>
        <v>5000</v>
      </c>
      <c r="BC30" s="86">
        <f>(+SUMIFS(манзилли!$S:$S,манзилли!$J:$J,'свод (соҳа)'!$B30,манзилли!$AA:$AA,"&lt;01.01.2022",манзилли!$AB:$AB,""))</f>
        <v>0</v>
      </c>
      <c r="BD30" s="86">
        <f>(+SUMIFS(манзилли!$U:$U,манзилли!$J:$J,'свод (соҳа)'!$B30,манзилли!$AA:$AA,"&lt;01.01.2022",манзилли!$AB:$AB,""))</f>
        <v>500</v>
      </c>
      <c r="BE30" s="30">
        <f>+SUMIFS(манзилли!$Y:$Y,манзилли!$J:$J,'свод (соҳа)'!$B30,манзилли!$AA:$AA,"&lt;01.01.2022",манзилли!$AB:$AB,"")</f>
        <v>447</v>
      </c>
      <c r="BF30" s="28">
        <f>+COUNTIFS(манзилли!$J:$J,'свод (соҳа)'!$B30,манзилли!$AA:$AA,"&lt;01.01.2023",манзилли!$AA:$AA,"&gt;=01.01.2022")</f>
        <v>0</v>
      </c>
      <c r="BG30" s="86">
        <f>(+SUMIFS(манзилли!$K:$K,манзилли!$J:$J,'свод (соҳа)'!$B30,манзилли!$AA:$AA,"&lt;01.01.2023",манзилли!$AA:$AA,"&gt;=01.01.2022"))</f>
        <v>0</v>
      </c>
      <c r="BH30" s="86">
        <f>(+SUMIFS(манзилли!$M:$M,манзилли!$J:$J,'свод (соҳа)'!$B30,манзилли!$AA:$AA,"&lt;01.01.2023",манзилли!$AA:$AA,"&gt;=01.01.2022"))</f>
        <v>0</v>
      </c>
      <c r="BI30" s="86">
        <f>(+SUMIFS(манзилли!$Q:$Q,манзилли!$J:$J,'свод (соҳа)'!$B30,манзилли!$AA:$AA,"&lt;01.01.2023",манзилли!$AA:$AA,"&gt;=01.01.2022"))</f>
        <v>0</v>
      </c>
      <c r="BJ30" s="86">
        <f>(+SUMIFS(манзилли!$S:$S,манзилли!$J:$J,'свод (соҳа)'!$B30,манзилли!$AA:$AA,"&lt;01.01.2023",манзилли!$AA:$AA,"&gt;=01.01.2022"))</f>
        <v>0</v>
      </c>
      <c r="BK30" s="86">
        <f>(+SUMIFS(манзилли!$U:$U,манзилли!$J:$J,'свод (соҳа)'!$B30,манзилли!$AA:$AA,"&lt;01.01.2023",манзилли!$AA:$AA,"&gt;=01.01.2022"))</f>
        <v>0</v>
      </c>
      <c r="BL30" s="30">
        <f>+SUMIFS(манзилли!$Y:$Y,манзилли!$J:$J,'свод (соҳа)'!$B30,манзилли!$AA:$AA,"&lt;01.01.2023",манзилли!$AA:$AA,"&gt;=01.01.2022")</f>
        <v>0</v>
      </c>
    </row>
    <row r="31" spans="1:64" s="3" customFormat="1" ht="35.25" customHeight="1" outlineLevel="1">
      <c r="A31" s="26">
        <f t="shared" si="16"/>
        <v>8</v>
      </c>
      <c r="B31" s="88" t="s">
        <v>41</v>
      </c>
      <c r="C31" s="28">
        <f>+COUNTIFS(манзилли!$J:$J,'свод (соҳа)'!$B31)</f>
        <v>15</v>
      </c>
      <c r="D31" s="86">
        <f>(+SUMIFS(манзилли!$K:$K,манзилли!$J:$J,'свод (соҳа)'!$B31))</f>
        <v>61225</v>
      </c>
      <c r="E31" s="86">
        <f>(+SUMIFS(манзилли!$M:$M,манзилли!$J:$J,'свод (соҳа)'!$B31))</f>
        <v>14535</v>
      </c>
      <c r="F31" s="86">
        <f>(+SUMIFS(манзилли!$Q:$Q,манзилли!$J:$J,'свод (соҳа)'!$B31))</f>
        <v>17850</v>
      </c>
      <c r="G31" s="86">
        <f>(+SUMIFS(манзилли!$S:$S,манзилли!$J:$J,'свод (соҳа)'!$B31))</f>
        <v>2500</v>
      </c>
      <c r="H31" s="86">
        <f>(+SUMIFS(манзилли!$U:$U,манзилли!$J:$J,'свод (соҳа)'!$B31))</f>
        <v>300</v>
      </c>
      <c r="I31" s="30">
        <f>+SUMIFS(манзилли!$Y:$Y,манзилли!$J:$J,'свод (соҳа)'!$B31)</f>
        <v>105</v>
      </c>
      <c r="J31" s="28">
        <f>+(COUNTIFS(манзилли!$L:$L,"&gt;0",манзилли!$J:$J,'свод (соҳа)'!$B31)+COUNTIFS('Қўшимча ишга тушган'!$T:$T,"&gt;0",'Қўшимча ишга тушган'!$J:$J,'свод (соҳа)'!$B31))</f>
        <v>7</v>
      </c>
      <c r="K31" s="86">
        <f>(+SUMIFS(манзилли!$L:$L,манзилли!$J:$J,'свод (соҳа)'!$B31)+SUMIFS('Қўшимча ишга тушган'!$T:$T,'Қўшимча ишга тушган'!$J:$J,'свод (соҳа)'!$B31))</f>
        <v>24420</v>
      </c>
      <c r="L31" s="86">
        <f>+(SUMIFS(манзилли!$N:$N,манзилли!$J:$J,'свод (соҳа)'!$B31)+SUMIFS('Қўшимча ишга тушган'!$V:$V,'Қўшимча ишга тушган'!$J:$J,'свод (соҳа)'!$B31))</f>
        <v>50</v>
      </c>
      <c r="M31" s="86">
        <f>(+SUMIFS(манзилли!$R:$R,манзилли!$J:$J,'свод (соҳа)'!$B31)+SUMIFS('Қўшимча ишга тушган'!$Z:$Z,'Қўшимча ишга тушган'!$J:$J,'свод (соҳа)'!$B31))</f>
        <v>13150</v>
      </c>
      <c r="N31" s="86">
        <f>(+SUMIFS(манзилли!$T:$T,манзилли!$J:$J,'свод (соҳа)'!$B31)+SUMIFS('Қўшимча ишга тушган'!$AB:$AB,'Қўшимча ишга тушган'!$J:$J,'свод (соҳа)'!$B31))</f>
        <v>1100</v>
      </c>
      <c r="O31" s="30">
        <f>(+SUMIFS(манзилли!$V:$V,манзилли!$J:$J,'свод (соҳа)'!$B31)+SUMIFS('Қўшимча ишга тушган'!$AD:$AD,'Қўшимча ишга тушган'!$J:$J,'свод (соҳа)'!$B31))</f>
        <v>0</v>
      </c>
      <c r="P31" s="28">
        <f>+COUNTIFS(манзилли!$J:$J,'свод (соҳа)'!$B31,манзилли!$AA:$AA,"&gt;31.12.2020",манзилли!$AA:$AA,"&lt;01.01.2022")</f>
        <v>15</v>
      </c>
      <c r="Q31" s="86">
        <f>(+SUMIFS(манзилли!$K:$K,манзилли!$J:$J,'свод (соҳа)'!$B31,манзилли!$AA:$AA,"&gt;31.12.2020",манзилли!$AA:$AA,"&lt;01.01.2022"))</f>
        <v>61225</v>
      </c>
      <c r="R31" s="86">
        <f>(+SUMIFS(манзилли!$M:$M,манзилли!$J:$J,'свод (соҳа)'!$B31,манзилли!$AA:$AA,"&gt;31.12.2020",манзилли!$AA:$AA,"&lt;01.01.2022"))</f>
        <v>14535</v>
      </c>
      <c r="S31" s="86">
        <f>(+SUMIFS(манзилли!$Q:$Q,манзилли!$J:$J,'свод (соҳа)'!$B31,манзилли!$AA:$AA,"&gt;31.12.2020",манзилли!$AA:$AA,"&lt;01.01.2022"))</f>
        <v>17850</v>
      </c>
      <c r="T31" s="86">
        <f>(+SUMIFS(манзилли!$S:$S,манзилли!$J:$J,'свод (соҳа)'!$B31,манзилли!$AA:$AA,"&gt;31.12.2020",манзилли!$AA:$AA,"&lt;01.01.2022"))</f>
        <v>2500</v>
      </c>
      <c r="U31" s="86">
        <f>(+SUMIFS(манзилли!$U:$U,манзилли!$J:$J,'свод (соҳа)'!$B31,манзилли!$AA:$AA,"&gt;31.12.2020",манзилли!$AA:$AA,"&lt;01.01.2022"))</f>
        <v>300</v>
      </c>
      <c r="V31" s="30">
        <f>+SUMIFS(манзилли!$Y:$Y,манзилли!$J:$J,'свод (соҳа)'!$B31,манзилли!$AA:$AA,"&gt;31.12.2020",манзилли!$AA:$AA,"&lt;01.01.2022")</f>
        <v>105</v>
      </c>
      <c r="W31" s="28">
        <f>+AD31+AK31</f>
        <v>1</v>
      </c>
      <c r="X31" s="86">
        <f t="shared" ref="X31:X45" si="17">+AE31+AL31</f>
        <v>1070</v>
      </c>
      <c r="Y31" s="86">
        <f t="shared" ref="Y31:Y45" si="18">+AF31+AM31</f>
        <v>50</v>
      </c>
      <c r="Z31" s="86">
        <f t="shared" ref="Z31:Z45" si="19">+AG31+AN31</f>
        <v>0</v>
      </c>
      <c r="AA31" s="86">
        <f t="shared" ref="AA31:AA45" si="20">+AH31+AO31</f>
        <v>100</v>
      </c>
      <c r="AB31" s="86">
        <f t="shared" ref="AB31:AB45" si="21">+AI31+AP31</f>
        <v>0</v>
      </c>
      <c r="AC31" s="30">
        <f t="shared" ref="AC31:AC45" si="22">+AJ31+AQ31</f>
        <v>3</v>
      </c>
      <c r="AD31" s="28">
        <f>+COUNTIFS(манзилли!$J:$J,'свод (соҳа)'!$B31,манзилли!$AB:$AB,"&gt;31.12.2020",манзилли!$AA:$AA,"&gt;31.12.2020",манзилли!$AA:$AA,"&lt;01.01.2022")</f>
        <v>1</v>
      </c>
      <c r="AE31" s="86">
        <f>(+SUMIFS(манзилли!$L:$L,манзилли!$J:$J,'свод (соҳа)'!$B31,манзилли!$AB:$AB,"&gt;31.12.2020",манзилли!$AA:$AA,"&gt;31.12.2020",манзилли!$AA:$AA,"&lt;01.01.2022"))</f>
        <v>1070</v>
      </c>
      <c r="AF31" s="86">
        <f>(+SUMIFS(манзилли!$N:$N,манзилли!$J:$J,'свод (соҳа)'!$B31,манзилли!$AB:$AB,"&gt;31.12.2020",манзилли!$AA:$AA,"&gt;31.12.2020",манзилли!$AA:$AA,"&lt;01.01.2022"))</f>
        <v>50</v>
      </c>
      <c r="AG31" s="86">
        <f>(+SUMIFS(манзилли!$R:$R,манзилли!$J:$J,'свод (соҳа)'!$B31,манзилли!$AB:$AB,"&gt;31.12.2020",манзилли!$AA:$AA,"&gt;31.12.2020",манзилли!$AA:$AA,"&lt;01.01.2022"))</f>
        <v>0</v>
      </c>
      <c r="AH31" s="86">
        <f>(+SUMIFS(манзилли!$T:$T,манзилли!$J:$J,'свод (соҳа)'!$B31,манзилли!$AB:$AB,"&gt;31.12.2020",манзилли!$AA:$AA,"&gt;31.12.2020",манзилли!$AA:$AA,"&lt;01.01.2022"))</f>
        <v>100</v>
      </c>
      <c r="AI31" s="86">
        <f>(+SUMIFS(манзилли!$V:$V,манзилли!$J:$J,'свод (соҳа)'!$B31,манзилли!$AB:$AB,"&gt;31.12.2020",манзилли!$AA:$AA,"&gt;31.12.2020",манзилли!$AA:$AA,"&lt;01.01.2022"))</f>
        <v>0</v>
      </c>
      <c r="AJ31" s="30">
        <f>+SUMIFS(манзилли!$Z:$Z,манзилли!$J:$J,'свод (соҳа)'!$B31,манзилли!$AB:$AB,"&gt;31.12.2020",манзилли!$AA:$AA,"&gt;31.12.2020",манзилли!$AA:$AA,"&lt;01.01.2022")</f>
        <v>3</v>
      </c>
      <c r="AK31" s="28">
        <f>+COUNTIFS('Қўшимча ишга тушган'!$J:$J,'свод (соҳа)'!B31,'Қўшимча ишга тушган'!$AO:$AO,"&lt;01.10.2023")</f>
        <v>0</v>
      </c>
      <c r="AL31" s="86">
        <f>(+SUMIFS('Қўшимча ишга тушган'!$T:$T,'Қўшимча ишга тушган'!$J:$J,'свод (соҳа)'!$B31,'Қўшимча ишга тушган'!$AO:$AO,"&lt;01.10.2023"))</f>
        <v>0</v>
      </c>
      <c r="AM31" s="86">
        <f>(+SUMIFS('Қўшимча ишга тушган'!$V:$V,'Қўшимча ишга тушган'!$J:$J,'свод (соҳа)'!$B31,'Қўшимча ишга тушган'!$AO:$AO,"&lt;01.10.2023"))</f>
        <v>0</v>
      </c>
      <c r="AN31" s="86">
        <f>(+SUMIFS('Қўшимча ишга тушган'!$Z:$Z,'Қўшимча ишга тушган'!$J:$J,'свод (соҳа)'!$B31,'Қўшимча ишга тушган'!$AO:$AO,"&lt;01.10.2023"))</f>
        <v>0</v>
      </c>
      <c r="AO31" s="86">
        <f>(+SUMIFS('Қўшимча ишга тушган'!$AB:$AB,'Қўшимча ишга тушган'!$J:$J,'свод (соҳа)'!$B31,'Қўшимча ишга тушган'!$AO:$AO,"&lt;01.10.2023"))</f>
        <v>0</v>
      </c>
      <c r="AP31" s="86">
        <f>(+SUMIFS('Қўшимча ишга тушган'!$AD:$AD,'Қўшимча ишга тушган'!$J:$J,'свод (соҳа)'!$B31,'Қўшимча ишга тушган'!$AO:$AO,"&lt;01.10.2023"))</f>
        <v>0</v>
      </c>
      <c r="AQ31" s="30">
        <f>+SUMIFS('Қўшимча ишга тушган'!$AM:$AM,'Қўшимча ишга тушган'!$J:$J,'свод (соҳа)'!$B31,'Қўшимча ишга тушган'!$AO:$AO,"&lt;01.10.2023")</f>
        <v>0</v>
      </c>
      <c r="AR31" s="28">
        <f>+COUNTIFS(манзилли!$J:$J,'свод (соҳа)'!$B31,манзилли!$AA:$AA,"&lt;01.02.2021",манзилли!$AB:$AB,"")</f>
        <v>0</v>
      </c>
      <c r="AS31" s="86">
        <f>(+SUMIFS(манзилли!$K:$K,манзилли!$J:$J,'свод (соҳа)'!$B31,манзилли!$AA:$AA,"&lt;01.02.2021",манзилли!$AB:$AB,""))</f>
        <v>0</v>
      </c>
      <c r="AT31" s="86">
        <f>(+SUMIFS(манзилли!$M:$M,манзилли!$J:$J,'свод (соҳа)'!$B31,манзилли!$AA:$AA,"&lt;01.02.2021",манзилли!$AB:$AB,""))</f>
        <v>0</v>
      </c>
      <c r="AU31" s="86">
        <f>(+SUMIFS(манзилли!$Q:$Q,манзилли!$J:$J,'свод (соҳа)'!$B31,манзилли!$AA:$AA,"&lt;01.02.2021",манзилли!$AB:$AB,""))</f>
        <v>0</v>
      </c>
      <c r="AV31" s="86">
        <f>(+SUMIFS(манзилли!$S:$S,манзилли!$J:$J,'свод (соҳа)'!$B31,манзилли!$AA:$AA,"&lt;01.02.2021",манзилли!$AB:$AB,""))</f>
        <v>0</v>
      </c>
      <c r="AW31" s="86">
        <f>(+SUMIFS(манзилли!$U:$U,манзилли!$J:$J,'свод (соҳа)'!$B31,манзилли!$AA:$AA,"&lt;01.02.2021",манзилли!$AB:$AB,""))</f>
        <v>0</v>
      </c>
      <c r="AX31" s="30">
        <f>+SUMIFS(манзилли!$Y:$Y,манзилли!$J:$J,'свод (соҳа)'!$B31,манзилли!$AA:$AA,"&lt;01.02.2021",манзилли!$AB:$AB,"")</f>
        <v>0</v>
      </c>
      <c r="AY31" s="28">
        <f>+COUNTIFS(манзилли!$J:$J,'свод (соҳа)'!$B31,манзилли!$AA:$AA,"&lt;01.01.2022",манзилли!$AB:$AB,"")</f>
        <v>14</v>
      </c>
      <c r="AZ31" s="86">
        <f>(+SUMIFS(манзилли!$K:$K,манзилли!$J:$J,'свод (соҳа)'!$B31,манзилли!$AA:$AA,"&lt;01.01.2022",манзилли!$AB:$AB,""))</f>
        <v>60045</v>
      </c>
      <c r="BA31" s="86">
        <f>(+SUMIFS(манзилли!$M:$M,манзилли!$J:$J,'свод (соҳа)'!$B31,манзилли!$AA:$AA,"&lt;01.01.2022",манзилли!$AB:$AB,""))</f>
        <v>14485</v>
      </c>
      <c r="BB31" s="86">
        <f>(+SUMIFS(манзилли!$Q:$Q,манзилли!$J:$J,'свод (соҳа)'!$B31,манзилли!$AA:$AA,"&lt;01.01.2022",манзилли!$AB:$AB,""))</f>
        <v>17750</v>
      </c>
      <c r="BC31" s="86">
        <f>(+SUMIFS(манзилли!$S:$S,манзилли!$J:$J,'свод (соҳа)'!$B31,манзилли!$AA:$AA,"&lt;01.01.2022",манзилли!$AB:$AB,""))</f>
        <v>2400</v>
      </c>
      <c r="BD31" s="86">
        <f>(+SUMIFS(манзилли!$U:$U,манзилли!$J:$J,'свод (соҳа)'!$B31,манзилли!$AA:$AA,"&lt;01.01.2022",манзилли!$AB:$AB,""))</f>
        <v>300</v>
      </c>
      <c r="BE31" s="30">
        <f>+SUMIFS(манзилли!$Y:$Y,манзилли!$J:$J,'свод (соҳа)'!$B31,манзилли!$AA:$AA,"&lt;01.01.2022",манзилли!$AB:$AB,"")</f>
        <v>100</v>
      </c>
      <c r="BF31" s="28">
        <f>+COUNTIFS(манзилли!$J:$J,'свод (соҳа)'!$B31,манзилли!$AA:$AA,"&lt;01.01.2023",манзилли!$AA:$AA,"&gt;=01.01.2022")</f>
        <v>0</v>
      </c>
      <c r="BG31" s="86">
        <f>(+SUMIFS(манзилли!$K:$K,манзилли!$J:$J,'свод (соҳа)'!$B31,манзилли!$AA:$AA,"&lt;01.01.2023",манзилли!$AA:$AA,"&gt;=01.01.2022"))</f>
        <v>0</v>
      </c>
      <c r="BH31" s="86">
        <f>(+SUMIFS(манзилли!$M:$M,манзилли!$J:$J,'свод (соҳа)'!$B31,манзилли!$AA:$AA,"&lt;01.01.2023",манзилли!$AA:$AA,"&gt;=01.01.2022"))</f>
        <v>0</v>
      </c>
      <c r="BI31" s="86">
        <f>(+SUMIFS(манзилли!$Q:$Q,манзилли!$J:$J,'свод (соҳа)'!$B31,манзилли!$AA:$AA,"&lt;01.01.2023",манзилли!$AA:$AA,"&gt;=01.01.2022"))</f>
        <v>0</v>
      </c>
      <c r="BJ31" s="86">
        <f>(+SUMIFS(манзилли!$S:$S,манзилли!$J:$J,'свод (соҳа)'!$B31,манзилли!$AA:$AA,"&lt;01.01.2023",манзилли!$AA:$AA,"&gt;=01.01.2022"))</f>
        <v>0</v>
      </c>
      <c r="BK31" s="86">
        <f>(+SUMIFS(манзилли!$U:$U,манзилли!$J:$J,'свод (соҳа)'!$B31,манзилли!$AA:$AA,"&lt;01.01.2023",манзилли!$AA:$AA,"&gt;=01.01.2022"))</f>
        <v>0</v>
      </c>
      <c r="BL31" s="30">
        <f>+SUMIFS(манзилли!$Y:$Y,манзилли!$J:$J,'свод (соҳа)'!$B31,манзилли!$AA:$AA,"&lt;01.01.2023",манзилли!$AA:$AA,"&gt;=01.01.2022")</f>
        <v>0</v>
      </c>
    </row>
    <row r="32" spans="1:64" s="3" customFormat="1" ht="35.25" customHeight="1" outlineLevel="1">
      <c r="A32" s="26">
        <f t="shared" si="16"/>
        <v>9</v>
      </c>
      <c r="B32" s="88" t="s">
        <v>39</v>
      </c>
      <c r="C32" s="28">
        <f>+COUNTIFS(манзилли!$J:$J,'свод (соҳа)'!$B32)</f>
        <v>12</v>
      </c>
      <c r="D32" s="86">
        <f>(+SUMIFS(манзилли!$K:$K,манзилли!$J:$J,'свод (соҳа)'!$B32))</f>
        <v>74960</v>
      </c>
      <c r="E32" s="86">
        <f>(+SUMIFS(манзилли!$M:$M,манзилли!$J:$J,'свод (соҳа)'!$B32))</f>
        <v>22300</v>
      </c>
      <c r="F32" s="86">
        <f>(+SUMIFS(манзилли!$Q:$Q,манзилли!$J:$J,'свод (соҳа)'!$B32))</f>
        <v>24000</v>
      </c>
      <c r="G32" s="86">
        <f>(+SUMIFS(манзилли!$S:$S,манзилли!$J:$J,'свод (соҳа)'!$B32))</f>
        <v>0</v>
      </c>
      <c r="H32" s="86">
        <f>(+SUMIFS(манзилли!$U:$U,манзилли!$J:$J,'свод (соҳа)'!$B32))</f>
        <v>2700</v>
      </c>
      <c r="I32" s="30">
        <f>+SUMIFS(манзилли!$Y:$Y,манзилли!$J:$J,'свод (соҳа)'!$B32)</f>
        <v>229</v>
      </c>
      <c r="J32" s="28">
        <f>+(COUNTIFS(манзилли!$L:$L,"&gt;0",манзилли!$J:$J,'свод (соҳа)'!$B32)+COUNTIFS('Қўшимча ишга тушган'!$T:$T,"&gt;0",'Қўшимча ишга тушган'!$J:$J,'свод (соҳа)'!$B32))</f>
        <v>6</v>
      </c>
      <c r="K32" s="86">
        <f>(+SUMIFS(манзилли!$L:$L,манзилли!$J:$J,'свод (соҳа)'!$B32)+SUMIFS('Қўшимча ишга тушган'!$T:$T,'Қўшимча ишга тушган'!$J:$J,'свод (соҳа)'!$B32))</f>
        <v>11145</v>
      </c>
      <c r="L32" s="86">
        <f>+(SUMIFS(манзилли!$N:$N,манзилли!$J:$J,'свод (соҳа)'!$B32)+SUMIFS('Қўшимча ишга тушган'!$V:$V,'Қўшимча ишга тушган'!$J:$J,'свод (соҳа)'!$B32))</f>
        <v>4300</v>
      </c>
      <c r="M32" s="86">
        <f>(+SUMIFS(манзилли!$R:$R,манзилли!$J:$J,'свод (соҳа)'!$B32)+SUMIFS('Қўшимча ишга тушган'!$Z:$Z,'Қўшимча ишга тушган'!$J:$J,'свод (соҳа)'!$B32))</f>
        <v>5978</v>
      </c>
      <c r="N32" s="86">
        <f>(+SUMIFS(манзилли!$T:$T,манзилли!$J:$J,'свод (соҳа)'!$B32)+SUMIFS('Қўшимча ишга тушган'!$AB:$AB,'Қўшимча ишга тушган'!$J:$J,'свод (соҳа)'!$B32))</f>
        <v>85</v>
      </c>
      <c r="O32" s="30">
        <f>(+SUMIFS(манзилли!$V:$V,манзилли!$J:$J,'свод (соҳа)'!$B32)+SUMIFS('Қўшимча ишга тушган'!$AD:$AD,'Қўшимча ишга тушган'!$J:$J,'свод (соҳа)'!$B32))</f>
        <v>0</v>
      </c>
      <c r="P32" s="28">
        <f>+COUNTIFS(манзилли!$J:$J,'свод (соҳа)'!$B32,манзилли!$AA:$AA,"&gt;31.12.2020",манзилли!$AA:$AA,"&lt;01.01.2022")</f>
        <v>11</v>
      </c>
      <c r="Q32" s="86">
        <f>(+SUMIFS(манзилли!$K:$K,манзилли!$J:$J,'свод (соҳа)'!$B32,манзилли!$AA:$AA,"&gt;31.12.2020",манзилли!$AA:$AA,"&lt;01.01.2022"))</f>
        <v>63960</v>
      </c>
      <c r="R32" s="86">
        <f>(+SUMIFS(манзилли!$M:$M,манзилли!$J:$J,'свод (соҳа)'!$B32,манзилли!$AA:$AA,"&gt;31.12.2020",манзилли!$AA:$AA,"&lt;01.01.2022"))</f>
        <v>19300</v>
      </c>
      <c r="S32" s="86">
        <f>(+SUMIFS(манзилли!$Q:$Q,манзилли!$J:$J,'свод (соҳа)'!$B32,манзилли!$AA:$AA,"&gt;31.12.2020",манзилли!$AA:$AA,"&lt;01.01.2022"))</f>
        <v>16000</v>
      </c>
      <c r="T32" s="86">
        <f>(+SUMIFS(манзилли!$S:$S,манзилли!$J:$J,'свод (соҳа)'!$B32,манзилли!$AA:$AA,"&gt;31.12.2020",манзилли!$AA:$AA,"&lt;01.01.2022"))</f>
        <v>0</v>
      </c>
      <c r="U32" s="86">
        <f>(+SUMIFS(манзилли!$U:$U,манзилли!$J:$J,'свод (соҳа)'!$B32,манзилли!$AA:$AA,"&gt;31.12.2020",манзилли!$AA:$AA,"&lt;01.01.2022"))</f>
        <v>2700</v>
      </c>
      <c r="V32" s="30">
        <f>+SUMIFS(манзилли!$Y:$Y,манзилли!$J:$J,'свод (соҳа)'!$B32,манзилли!$AA:$AA,"&gt;31.12.2020",манзилли!$AA:$AA,"&lt;01.01.2022")</f>
        <v>219</v>
      </c>
      <c r="W32" s="28">
        <f t="shared" ref="W32:W45" si="23">+AD32+AK32</f>
        <v>3</v>
      </c>
      <c r="X32" s="86">
        <f t="shared" si="17"/>
        <v>5950</v>
      </c>
      <c r="Y32" s="86">
        <f t="shared" si="18"/>
        <v>4300</v>
      </c>
      <c r="Z32" s="86">
        <f t="shared" si="19"/>
        <v>1650</v>
      </c>
      <c r="AA32" s="86">
        <f t="shared" si="20"/>
        <v>0</v>
      </c>
      <c r="AB32" s="86">
        <f t="shared" si="21"/>
        <v>0</v>
      </c>
      <c r="AC32" s="30">
        <f t="shared" si="22"/>
        <v>23</v>
      </c>
      <c r="AD32" s="28">
        <f>+COUNTIFS(манзилли!$J:$J,'свод (соҳа)'!$B32,манзилли!$AB:$AB,"&gt;31.12.2020",манзилли!$AA:$AA,"&gt;31.12.2020",манзилли!$AA:$AA,"&lt;01.01.2022")</f>
        <v>3</v>
      </c>
      <c r="AE32" s="86">
        <f>(+SUMIFS(манзилли!$L:$L,манзилли!$J:$J,'свод (соҳа)'!$B32,манзилли!$AB:$AB,"&gt;31.12.2020",манзилли!$AA:$AA,"&gt;31.12.2020",манзилли!$AA:$AA,"&lt;01.01.2022"))</f>
        <v>5950</v>
      </c>
      <c r="AF32" s="86">
        <f>(+SUMIFS(манзилли!$N:$N,манзилли!$J:$J,'свод (соҳа)'!$B32,манзилли!$AB:$AB,"&gt;31.12.2020",манзилли!$AA:$AA,"&gt;31.12.2020",манзилли!$AA:$AA,"&lt;01.01.2022"))</f>
        <v>4300</v>
      </c>
      <c r="AG32" s="86">
        <f>(+SUMIFS(манзилли!$R:$R,манзилли!$J:$J,'свод (соҳа)'!$B32,манзилли!$AB:$AB,"&gt;31.12.2020",манзилли!$AA:$AA,"&gt;31.12.2020",манзилли!$AA:$AA,"&lt;01.01.2022"))</f>
        <v>1650</v>
      </c>
      <c r="AH32" s="86">
        <f>(+SUMIFS(манзилли!$T:$T,манзилли!$J:$J,'свод (соҳа)'!$B32,манзилли!$AB:$AB,"&gt;31.12.2020",манзилли!$AA:$AA,"&gt;31.12.2020",манзилли!$AA:$AA,"&lt;01.01.2022"))</f>
        <v>0</v>
      </c>
      <c r="AI32" s="86">
        <f>(+SUMIFS(манзилли!$V:$V,манзилли!$J:$J,'свод (соҳа)'!$B32,манзилли!$AB:$AB,"&gt;31.12.2020",манзилли!$AA:$AA,"&gt;31.12.2020",манзилли!$AA:$AA,"&lt;01.01.2022"))</f>
        <v>0</v>
      </c>
      <c r="AJ32" s="30">
        <f>+SUMIFS(манзилли!$Z:$Z,манзилли!$J:$J,'свод (соҳа)'!$B32,манзилли!$AB:$AB,"&gt;31.12.2020",манзилли!$AA:$AA,"&gt;31.12.2020",манзилли!$AA:$AA,"&lt;01.01.2022")</f>
        <v>23</v>
      </c>
      <c r="AK32" s="28">
        <f>+COUNTIFS('Қўшимча ишга тушган'!$J:$J,'свод (соҳа)'!B32,'Қўшимча ишга тушган'!$AO:$AO,"&lt;01.10.2023")</f>
        <v>0</v>
      </c>
      <c r="AL32" s="86">
        <f>(+SUMIFS('Қўшимча ишга тушган'!$T:$T,'Қўшимча ишга тушган'!$J:$J,'свод (соҳа)'!$B32,'Қўшимча ишга тушган'!$AO:$AO,"&lt;01.10.2023"))</f>
        <v>0</v>
      </c>
      <c r="AM32" s="86">
        <f>(+SUMIFS('Қўшимча ишга тушган'!$V:$V,'Қўшимча ишга тушган'!$J:$J,'свод (соҳа)'!$B32,'Қўшимча ишга тушган'!$AO:$AO,"&lt;01.10.2023"))</f>
        <v>0</v>
      </c>
      <c r="AN32" s="86">
        <f>(+SUMIFS('Қўшимча ишга тушган'!$Z:$Z,'Қўшимча ишга тушган'!$J:$J,'свод (соҳа)'!$B32,'Қўшимча ишга тушган'!$AO:$AO,"&lt;01.10.2023"))</f>
        <v>0</v>
      </c>
      <c r="AO32" s="86">
        <f>(+SUMIFS('Қўшимча ишга тушган'!$AB:$AB,'Қўшимча ишга тушган'!$J:$J,'свод (соҳа)'!$B32,'Қўшимча ишга тушган'!$AO:$AO,"&lt;01.10.2023"))</f>
        <v>0</v>
      </c>
      <c r="AP32" s="86">
        <f>(+SUMIFS('Қўшимча ишга тушган'!$AD:$AD,'Қўшимча ишга тушган'!$J:$J,'свод (соҳа)'!$B32,'Қўшимча ишга тушган'!$AO:$AO,"&lt;01.10.2023"))</f>
        <v>0</v>
      </c>
      <c r="AQ32" s="30">
        <f>+SUMIFS('Қўшимча ишга тушган'!$AM:$AM,'Қўшимча ишга тушган'!$J:$J,'свод (соҳа)'!$B32,'Қўшимча ишга тушган'!$AO:$AO,"&lt;01.10.2023")</f>
        <v>0</v>
      </c>
      <c r="AR32" s="28">
        <f>+COUNTIFS(манзилли!$J:$J,'свод (соҳа)'!$B32,манзилли!$AA:$AA,"&lt;01.02.2021",манзилли!$AB:$AB,"")</f>
        <v>0</v>
      </c>
      <c r="AS32" s="86">
        <f>(+SUMIFS(манзилли!$K:$K,манзилли!$J:$J,'свод (соҳа)'!$B32,манзилли!$AA:$AA,"&lt;01.02.2021",манзилли!$AB:$AB,""))</f>
        <v>0</v>
      </c>
      <c r="AT32" s="86">
        <f>(+SUMIFS(манзилли!$M:$M,манзилли!$J:$J,'свод (соҳа)'!$B32,манзилли!$AA:$AA,"&lt;01.02.2021",манзилли!$AB:$AB,""))</f>
        <v>0</v>
      </c>
      <c r="AU32" s="86">
        <f>(+SUMIFS(манзилли!$Q:$Q,манзилли!$J:$J,'свод (соҳа)'!$B32,манзилли!$AA:$AA,"&lt;01.02.2021",манзилли!$AB:$AB,""))</f>
        <v>0</v>
      </c>
      <c r="AV32" s="86">
        <f>(+SUMIFS(манзилли!$S:$S,манзилли!$J:$J,'свод (соҳа)'!$B32,манзилли!$AA:$AA,"&lt;01.02.2021",манзилли!$AB:$AB,""))</f>
        <v>0</v>
      </c>
      <c r="AW32" s="86">
        <f>(+SUMIFS(манзилли!$U:$U,манзилли!$J:$J,'свод (соҳа)'!$B32,манзилли!$AA:$AA,"&lt;01.02.2021",манзилли!$AB:$AB,""))</f>
        <v>0</v>
      </c>
      <c r="AX32" s="30">
        <f>+SUMIFS(манзилли!$Y:$Y,манзилли!$J:$J,'свод (соҳа)'!$B32,манзилли!$AA:$AA,"&lt;01.02.2021",манзилли!$AB:$AB,"")</f>
        <v>0</v>
      </c>
      <c r="AY32" s="28">
        <f>+COUNTIFS(манзилли!$J:$J,'свод (соҳа)'!$B32,манзилли!$AA:$AA,"&lt;01.01.2022",манзилли!$AB:$AB,"")</f>
        <v>8</v>
      </c>
      <c r="AZ32" s="86">
        <f>(+SUMIFS(манзилли!$K:$K,манзилли!$J:$J,'свод (соҳа)'!$B32,манзилли!$AA:$AA,"&lt;01.01.2022",манзилли!$AB:$AB,""))</f>
        <v>57410</v>
      </c>
      <c r="BA32" s="86">
        <f>(+SUMIFS(манзилли!$M:$M,манзилли!$J:$J,'свод (соҳа)'!$B32,манзилли!$AA:$AA,"&lt;01.01.2022",манзилли!$AB:$AB,""))</f>
        <v>15500</v>
      </c>
      <c r="BB32" s="86">
        <f>(+SUMIFS(манзилли!$Q:$Q,манзилли!$J:$J,'свод (соҳа)'!$B32,манзилли!$AA:$AA,"&lt;01.01.2022",манзилли!$AB:$AB,""))</f>
        <v>14100</v>
      </c>
      <c r="BC32" s="86">
        <f>(+SUMIFS(манзилли!$S:$S,манзилли!$J:$J,'свод (соҳа)'!$B32,манзилли!$AA:$AA,"&lt;01.01.2022",манзилли!$AB:$AB,""))</f>
        <v>0</v>
      </c>
      <c r="BD32" s="86">
        <f>(+SUMIFS(манзилли!$U:$U,манзилли!$J:$J,'свод (соҳа)'!$B32,манзилли!$AA:$AA,"&lt;01.01.2022",манзилли!$AB:$AB,""))</f>
        <v>2700</v>
      </c>
      <c r="BE32" s="30">
        <f>+SUMIFS(манзилли!$Y:$Y,манзилли!$J:$J,'свод (соҳа)'!$B32,манзилли!$AA:$AA,"&lt;01.01.2022",манзилли!$AB:$AB,"")</f>
        <v>195</v>
      </c>
      <c r="BF32" s="28">
        <f>+COUNTIFS(манзилли!$J:$J,'свод (соҳа)'!$B32,манзилли!$AA:$AA,"&lt;01.01.2023",манзилли!$AA:$AA,"&gt;=01.01.2022")</f>
        <v>1</v>
      </c>
      <c r="BG32" s="86">
        <f>(+SUMIFS(манзилли!$K:$K,манзилли!$J:$J,'свод (соҳа)'!$B32,манзилли!$AA:$AA,"&lt;01.01.2023",манзилли!$AA:$AA,"&gt;=01.01.2022"))</f>
        <v>11000</v>
      </c>
      <c r="BH32" s="86">
        <f>(+SUMIFS(манзилли!$M:$M,манзилли!$J:$J,'свод (соҳа)'!$B32,манзилли!$AA:$AA,"&lt;01.01.2023",манзилли!$AA:$AA,"&gt;=01.01.2022"))</f>
        <v>3000</v>
      </c>
      <c r="BI32" s="86">
        <f>(+SUMIFS(манзилли!$Q:$Q,манзилли!$J:$J,'свод (соҳа)'!$B32,манзилли!$AA:$AA,"&lt;01.01.2023",манзилли!$AA:$AA,"&gt;=01.01.2022"))</f>
        <v>8000</v>
      </c>
      <c r="BJ32" s="86">
        <f>(+SUMIFS(манзилли!$S:$S,манзилли!$J:$J,'свод (соҳа)'!$B32,манзилли!$AA:$AA,"&lt;01.01.2023",манзилли!$AA:$AA,"&gt;=01.01.2022"))</f>
        <v>0</v>
      </c>
      <c r="BK32" s="86">
        <f>(+SUMIFS(манзилли!$U:$U,манзилли!$J:$J,'свод (соҳа)'!$B32,манзилли!$AA:$AA,"&lt;01.01.2023",манзилли!$AA:$AA,"&gt;=01.01.2022"))</f>
        <v>0</v>
      </c>
      <c r="BL32" s="30">
        <f>+SUMIFS(манзилли!$Y:$Y,манзилли!$J:$J,'свод (соҳа)'!$B32,манзилли!$AA:$AA,"&lt;01.01.2023",манзилли!$AA:$AA,"&gt;=01.01.2022")</f>
        <v>10</v>
      </c>
    </row>
    <row r="33" spans="1:64" s="3" customFormat="1" ht="35.25" customHeight="1" outlineLevel="1">
      <c r="A33" s="26">
        <f t="shared" si="16"/>
        <v>10</v>
      </c>
      <c r="B33" s="88" t="s">
        <v>36</v>
      </c>
      <c r="C33" s="28">
        <f>+COUNTIFS(манзилли!$J:$J,'свод (соҳа)'!$B33)</f>
        <v>89</v>
      </c>
      <c r="D33" s="86">
        <f>(+SUMIFS(манзилли!$K:$K,манзилли!$J:$J,'свод (соҳа)'!$B33))</f>
        <v>591489.4</v>
      </c>
      <c r="E33" s="86">
        <f>(+SUMIFS(манзилли!$M:$M,манзилли!$J:$J,'свод (соҳа)'!$B33))</f>
        <v>144169</v>
      </c>
      <c r="F33" s="86">
        <f>(+SUMIFS(манзилли!$Q:$Q,манзилли!$J:$J,'свод (соҳа)'!$B33))</f>
        <v>188176</v>
      </c>
      <c r="G33" s="86">
        <f>(+SUMIFS(манзилли!$S:$S,манзилли!$J:$J,'свод (соҳа)'!$B33))</f>
        <v>15863</v>
      </c>
      <c r="H33" s="86">
        <f>(+SUMIFS(манзилли!$U:$U,манзилли!$J:$J,'свод (соҳа)'!$B33))</f>
        <v>9285</v>
      </c>
      <c r="I33" s="30">
        <f>+SUMIFS(манзилли!$Y:$Y,манзилли!$J:$J,'свод (соҳа)'!$B33)</f>
        <v>917</v>
      </c>
      <c r="J33" s="28">
        <f>+(COUNTIFS(манзилли!$L:$L,"&gt;0",манзилли!$J:$J,'свод (соҳа)'!$B33)+COUNTIFS('Қўшимча ишга тушган'!$T:$T,"&gt;0",'Қўшимча ишга тушган'!$J:$J,'свод (соҳа)'!$B33))</f>
        <v>49</v>
      </c>
      <c r="K33" s="86">
        <f>(+SUMIFS(манзилли!$L:$L,манзилли!$J:$J,'свод (соҳа)'!$B33)+SUMIFS('Қўшимча ишга тушган'!$T:$T,'Қўшимча ишга тушган'!$J:$J,'свод (соҳа)'!$B33))</f>
        <v>58529</v>
      </c>
      <c r="L33" s="86">
        <f>+(SUMIFS(манзилли!$N:$N,манзилли!$J:$J,'свод (соҳа)'!$B33)+SUMIFS('Қўшимча ишга тушган'!$V:$V,'Қўшимча ишга тушган'!$J:$J,'свод (соҳа)'!$B33))</f>
        <v>7284.3</v>
      </c>
      <c r="M33" s="86">
        <f>(+SUMIFS(манзилли!$R:$R,манзилли!$J:$J,'свод (соҳа)'!$B33)+SUMIFS('Қўшимча ишга тушган'!$Z:$Z,'Қўшимча ишга тушган'!$J:$J,'свод (соҳа)'!$B33))</f>
        <v>46858.7</v>
      </c>
      <c r="N33" s="86">
        <f>(+SUMIFS(манзилли!$T:$T,манзилли!$J:$J,'свод (соҳа)'!$B33)+SUMIFS('Қўшимча ишга тушган'!$AB:$AB,'Қўшимча ишга тушган'!$J:$J,'свод (соҳа)'!$B33))</f>
        <v>430</v>
      </c>
      <c r="O33" s="30">
        <f>(+SUMIFS(манзилли!$V:$V,манзилли!$J:$J,'свод (соҳа)'!$B33)+SUMIFS('Қўшимча ишга тушган'!$AD:$AD,'Қўшимча ишга тушган'!$J:$J,'свод (соҳа)'!$B33))</f>
        <v>0</v>
      </c>
      <c r="P33" s="28">
        <f>+COUNTIFS(манзилли!$J:$J,'свод (соҳа)'!$B33,манзилли!$AA:$AA,"&gt;31.12.2020",манзилли!$AA:$AA,"&lt;01.01.2022")</f>
        <v>57</v>
      </c>
      <c r="Q33" s="86">
        <f>(+SUMIFS(манзилли!$K:$K,манзилли!$J:$J,'свод (соҳа)'!$B33,манзилли!$AA:$AA,"&gt;31.12.2020",манзилли!$AA:$AA,"&lt;01.01.2022"))</f>
        <v>439231.6</v>
      </c>
      <c r="R33" s="86">
        <f>(+SUMIFS(манзилли!$M:$M,манзилли!$J:$J,'свод (соҳа)'!$B33,манзилли!$AA:$AA,"&gt;31.12.2020",манзилли!$AA:$AA,"&lt;01.01.2022"))</f>
        <v>99764</v>
      </c>
      <c r="S33" s="86">
        <f>(+SUMIFS(манзилли!$Q:$Q,манзилли!$J:$J,'свод (соҳа)'!$B33,манзилли!$AA:$AA,"&gt;31.12.2020",манзилли!$AA:$AA,"&lt;01.01.2022"))</f>
        <v>105934</v>
      </c>
      <c r="T33" s="86">
        <f>(+SUMIFS(манзилли!$S:$S,манзилли!$J:$J,'свод (соҳа)'!$B33,манзилли!$AA:$AA,"&gt;31.12.2020",манзилли!$AA:$AA,"&lt;01.01.2022"))</f>
        <v>13427</v>
      </c>
      <c r="U33" s="86">
        <f>(+SUMIFS(манзилли!$U:$U,манзилли!$J:$J,'свод (соҳа)'!$B33,манзилли!$AA:$AA,"&gt;31.12.2020",манзилли!$AA:$AA,"&lt;01.01.2022"))</f>
        <v>9285</v>
      </c>
      <c r="V33" s="30">
        <f>+SUMIFS(манзилли!$Y:$Y,манзилли!$J:$J,'свод (соҳа)'!$B33,манзилли!$AA:$AA,"&gt;31.12.2020",манзилли!$AA:$AA,"&lt;01.01.2022")</f>
        <v>641</v>
      </c>
      <c r="W33" s="28">
        <f t="shared" si="23"/>
        <v>2</v>
      </c>
      <c r="X33" s="86">
        <f t="shared" si="17"/>
        <v>1800</v>
      </c>
      <c r="Y33" s="86">
        <f t="shared" si="18"/>
        <v>300</v>
      </c>
      <c r="Z33" s="86">
        <f t="shared" si="19"/>
        <v>1500</v>
      </c>
      <c r="AA33" s="86">
        <f t="shared" si="20"/>
        <v>0</v>
      </c>
      <c r="AB33" s="86">
        <f t="shared" si="21"/>
        <v>0</v>
      </c>
      <c r="AC33" s="30">
        <f t="shared" si="22"/>
        <v>7</v>
      </c>
      <c r="AD33" s="28">
        <f>+COUNTIFS(манзилли!$J:$J,'свод (соҳа)'!$B33,манзилли!$AB:$AB,"&gt;31.12.2020",манзилли!$AA:$AA,"&gt;31.12.2020",манзилли!$AA:$AA,"&lt;01.01.2022")</f>
        <v>2</v>
      </c>
      <c r="AE33" s="86">
        <f>(+SUMIFS(манзилли!$L:$L,манзилли!$J:$J,'свод (соҳа)'!$B33,манзилли!$AB:$AB,"&gt;31.12.2020",манзилли!$AA:$AA,"&gt;31.12.2020",манзилли!$AA:$AA,"&lt;01.01.2022"))</f>
        <v>1800</v>
      </c>
      <c r="AF33" s="86">
        <f>(+SUMIFS(манзилли!$N:$N,манзилли!$J:$J,'свод (соҳа)'!$B33,манзилли!$AB:$AB,"&gt;31.12.2020",манзилли!$AA:$AA,"&gt;31.12.2020",манзилли!$AA:$AA,"&lt;01.01.2022"))</f>
        <v>300</v>
      </c>
      <c r="AG33" s="86">
        <f>(+SUMIFS(манзилли!$R:$R,манзилли!$J:$J,'свод (соҳа)'!$B33,манзилли!$AB:$AB,"&gt;31.12.2020",манзилли!$AA:$AA,"&gt;31.12.2020",манзилли!$AA:$AA,"&lt;01.01.2022"))</f>
        <v>1500</v>
      </c>
      <c r="AH33" s="86">
        <f>(+SUMIFS(манзилли!$T:$T,манзилли!$J:$J,'свод (соҳа)'!$B33,манзилли!$AB:$AB,"&gt;31.12.2020",манзилли!$AA:$AA,"&gt;31.12.2020",манзилли!$AA:$AA,"&lt;01.01.2022"))</f>
        <v>0</v>
      </c>
      <c r="AI33" s="86">
        <f>(+SUMIFS(манзилли!$V:$V,манзилли!$J:$J,'свод (соҳа)'!$B33,манзилли!$AB:$AB,"&gt;31.12.2020",манзилли!$AA:$AA,"&gt;31.12.2020",манзилли!$AA:$AA,"&lt;01.01.2022"))</f>
        <v>0</v>
      </c>
      <c r="AJ33" s="30">
        <f>+SUMIFS(манзилли!$Z:$Z,манзилли!$J:$J,'свод (соҳа)'!$B33,манзилли!$AB:$AB,"&gt;31.12.2020",манзилли!$AA:$AA,"&gt;31.12.2020",манзилли!$AA:$AA,"&lt;01.01.2022")</f>
        <v>7</v>
      </c>
      <c r="AK33" s="28">
        <f>+COUNTIFS('Қўшимча ишга тушган'!$J:$J,'свод (соҳа)'!B33,'Қўшимча ишга тушган'!$AO:$AO,"&lt;01.10.2023")</f>
        <v>0</v>
      </c>
      <c r="AL33" s="86">
        <f>(+SUMIFS('Қўшимча ишга тушган'!$T:$T,'Қўшимча ишга тушган'!$J:$J,'свод (соҳа)'!$B33,'Қўшимча ишга тушган'!$AO:$AO,"&lt;01.10.2023"))</f>
        <v>0</v>
      </c>
      <c r="AM33" s="86">
        <f>(+SUMIFS('Қўшимча ишга тушган'!$V:$V,'Қўшимча ишга тушган'!$J:$J,'свод (соҳа)'!$B33,'Қўшимча ишга тушган'!$AO:$AO,"&lt;01.10.2023"))</f>
        <v>0</v>
      </c>
      <c r="AN33" s="86">
        <f>(+SUMIFS('Қўшимча ишга тушган'!$Z:$Z,'Қўшимча ишга тушган'!$J:$J,'свод (соҳа)'!$B33,'Қўшимча ишга тушган'!$AO:$AO,"&lt;01.10.2023"))</f>
        <v>0</v>
      </c>
      <c r="AO33" s="86">
        <f>(+SUMIFS('Қўшимча ишга тушган'!$AB:$AB,'Қўшимча ишга тушган'!$J:$J,'свод (соҳа)'!$B33,'Қўшимча ишга тушган'!$AO:$AO,"&lt;01.10.2023"))</f>
        <v>0</v>
      </c>
      <c r="AP33" s="86">
        <f>(+SUMIFS('Қўшимча ишга тушган'!$AD:$AD,'Қўшимча ишга тушган'!$J:$J,'свод (соҳа)'!$B33,'Қўшимча ишга тушган'!$AO:$AO,"&lt;01.10.2023"))</f>
        <v>0</v>
      </c>
      <c r="AQ33" s="30">
        <f>+SUMIFS('Қўшимча ишга тушган'!$AM:$AM,'Қўшимча ишга тушган'!$J:$J,'свод (соҳа)'!$B33,'Қўшимча ишга тушган'!$AO:$AO,"&lt;01.10.2023")</f>
        <v>0</v>
      </c>
      <c r="AR33" s="28">
        <f>+COUNTIFS(манзилли!$J:$J,'свод (соҳа)'!$B33,манзилли!$AA:$AA,"&lt;01.02.2021",манзилли!$AB:$AB,"")</f>
        <v>0</v>
      </c>
      <c r="AS33" s="86">
        <f>(+SUMIFS(манзилли!$K:$K,манзилли!$J:$J,'свод (соҳа)'!$B33,манзилли!$AA:$AA,"&lt;01.02.2021",манзилли!$AB:$AB,""))</f>
        <v>0</v>
      </c>
      <c r="AT33" s="86">
        <f>(+SUMIFS(манзилли!$M:$M,манзилли!$J:$J,'свод (соҳа)'!$B33,манзилли!$AA:$AA,"&lt;01.02.2021",манзилли!$AB:$AB,""))</f>
        <v>0</v>
      </c>
      <c r="AU33" s="86">
        <f>(+SUMIFS(манзилли!$Q:$Q,манзилли!$J:$J,'свод (соҳа)'!$B33,манзилли!$AA:$AA,"&lt;01.02.2021",манзилли!$AB:$AB,""))</f>
        <v>0</v>
      </c>
      <c r="AV33" s="86">
        <f>(+SUMIFS(манзилли!$S:$S,манзилли!$J:$J,'свод (соҳа)'!$B33,манзилли!$AA:$AA,"&lt;01.02.2021",манзилли!$AB:$AB,""))</f>
        <v>0</v>
      </c>
      <c r="AW33" s="86">
        <f>(+SUMIFS(манзилли!$U:$U,манзилли!$J:$J,'свод (соҳа)'!$B33,манзилли!$AA:$AA,"&lt;01.02.2021",манзилли!$AB:$AB,""))</f>
        <v>0</v>
      </c>
      <c r="AX33" s="30">
        <f>+SUMIFS(манзилли!$Y:$Y,манзилли!$J:$J,'свод (соҳа)'!$B33,манзилли!$AA:$AA,"&lt;01.02.2021",манзилли!$AB:$AB,"")</f>
        <v>0</v>
      </c>
      <c r="AY33" s="28">
        <f>+COUNTIFS(манзилли!$J:$J,'свод (соҳа)'!$B33,манзилли!$AA:$AA,"&lt;01.01.2022",манзилли!$AB:$AB,"")</f>
        <v>52</v>
      </c>
      <c r="AZ33" s="86">
        <f>(+SUMIFS(манзилли!$K:$K,манзилли!$J:$J,'свод (соҳа)'!$B33,манзилли!$AA:$AA,"&lt;01.01.2022",манзилли!$AB:$AB,""))</f>
        <v>433145.59999999998</v>
      </c>
      <c r="BA33" s="86">
        <f>(+SUMIFS(манзилли!$M:$M,манзилли!$J:$J,'свод (соҳа)'!$B33,манзилли!$AA:$AA,"&lt;01.01.2022",манзилли!$AB:$AB,""))</f>
        <v>98314</v>
      </c>
      <c r="BB33" s="86">
        <f>(+SUMIFS(манзилли!$Q:$Q,манзилли!$J:$J,'свод (соҳа)'!$B33,манзилли!$AA:$AA,"&lt;01.01.2022",манзилли!$AB:$AB,""))</f>
        <v>101298</v>
      </c>
      <c r="BC33" s="86">
        <f>(+SUMIFS(манзилли!$S:$S,манзилли!$J:$J,'свод (соҳа)'!$B33,манзилли!$AA:$AA,"&lt;01.01.2022",манзилли!$AB:$AB,""))</f>
        <v>13427</v>
      </c>
      <c r="BD33" s="86">
        <f>(+SUMIFS(манзилли!$U:$U,манзилли!$J:$J,'свод (соҳа)'!$B33,манзилли!$AA:$AA,"&lt;01.01.2022",манзилли!$AB:$AB,""))</f>
        <v>9285</v>
      </c>
      <c r="BE33" s="30">
        <f>+SUMIFS(манзилли!$Y:$Y,манзилли!$J:$J,'свод (соҳа)'!$B33,манзилли!$AA:$AA,"&lt;01.01.2022",манзилли!$AB:$AB,"")</f>
        <v>622</v>
      </c>
      <c r="BF33" s="28">
        <f>+COUNTIFS(манзилли!$J:$J,'свод (соҳа)'!$B33,манзилли!$AA:$AA,"&lt;01.01.2023",манзилли!$AA:$AA,"&gt;=01.01.2022")</f>
        <v>14</v>
      </c>
      <c r="BG33" s="86">
        <f>(+SUMIFS(манзилли!$K:$K,манзилли!$J:$J,'свод (соҳа)'!$B33,манзилли!$AA:$AA,"&lt;01.01.2023",манзилли!$AA:$AA,"&gt;=01.01.2022"))</f>
        <v>137826.79999999999</v>
      </c>
      <c r="BH33" s="86">
        <f>(+SUMIFS(манзилли!$M:$M,манзилли!$J:$J,'свод (соҳа)'!$B33,манзилли!$AA:$AA,"&lt;01.01.2023",манзилли!$AA:$AA,"&gt;=01.01.2022"))</f>
        <v>41010</v>
      </c>
      <c r="BI33" s="86">
        <f>(+SUMIFS(манзилли!$Q:$Q,манзилли!$J:$J,'свод (соҳа)'!$B33,манзилли!$AA:$AA,"&lt;01.01.2023",манзилли!$AA:$AA,"&gt;=01.01.2022"))</f>
        <v>72550</v>
      </c>
      <c r="BJ33" s="86">
        <f>(+SUMIFS(манзилли!$S:$S,манзилли!$J:$J,'свод (соҳа)'!$B33,манзилли!$AA:$AA,"&lt;01.01.2023",манзилли!$AA:$AA,"&gt;=01.01.2022"))</f>
        <v>2356</v>
      </c>
      <c r="BK33" s="86">
        <f>(+SUMIFS(манзилли!$U:$U,манзилли!$J:$J,'свод (соҳа)'!$B33,манзилли!$AA:$AA,"&lt;01.01.2023",манзилли!$AA:$AA,"&gt;=01.01.2022"))</f>
        <v>0</v>
      </c>
      <c r="BL33" s="30">
        <f>+SUMIFS(манзилли!$Y:$Y,манзилли!$J:$J,'свод (соҳа)'!$B33,манзилли!$AA:$AA,"&lt;01.01.2023",манзилли!$AA:$AA,"&gt;=01.01.2022")</f>
        <v>212</v>
      </c>
    </row>
    <row r="34" spans="1:64" s="3" customFormat="1" ht="35.25" customHeight="1" outlineLevel="1" thickBot="1">
      <c r="A34" s="35">
        <f t="shared" si="16"/>
        <v>11</v>
      </c>
      <c r="B34" s="89" t="s">
        <v>1777</v>
      </c>
      <c r="C34" s="58">
        <f>+COUNTIFS(манзилли!$J:$J,'свод (соҳа)'!$B34)</f>
        <v>9</v>
      </c>
      <c r="D34" s="59">
        <f>(+SUMIFS(манзилли!$K:$K,манзилли!$J:$J,'свод (соҳа)'!$B34))</f>
        <v>11150</v>
      </c>
      <c r="E34" s="59">
        <f>(+SUMIFS(манзилли!$M:$M,манзилли!$J:$J,'свод (соҳа)'!$B34))</f>
        <v>4750</v>
      </c>
      <c r="F34" s="59">
        <f>(+SUMIFS(манзилли!$Q:$Q,манзилли!$J:$J,'свод (соҳа)'!$B34))</f>
        <v>6400</v>
      </c>
      <c r="G34" s="59">
        <f>(+SUMIFS(манзилли!$S:$S,манзилли!$J:$J,'свод (соҳа)'!$B34))</f>
        <v>0</v>
      </c>
      <c r="H34" s="59">
        <f>(+SUMIFS(манзилли!$U:$U,манзилли!$J:$J,'свод (соҳа)'!$B34))</f>
        <v>0</v>
      </c>
      <c r="I34" s="63">
        <f>+SUMIFS(манзилли!$Y:$Y,манзилли!$J:$J,'свод (соҳа)'!$B34)</f>
        <v>79</v>
      </c>
      <c r="J34" s="58">
        <f>+(COUNTIFS(манзилли!$L:$L,"&gt;0",манзилли!$J:$J,'свод (соҳа)'!$B34)+COUNTIFS('Қўшимча ишга тушган'!$T:$T,"&gt;0",'Қўшимча ишга тушган'!$J:$J,'свод (соҳа)'!$B34))</f>
        <v>7</v>
      </c>
      <c r="K34" s="59">
        <f>(+SUMIFS(манзилли!$L:$L,манзилли!$J:$J,'свод (соҳа)'!$B34)+SUMIFS('Қўшимча ишга тушган'!$T:$T,'Қўшимча ишга тушган'!$J:$J,'свод (соҳа)'!$B34))</f>
        <v>6400</v>
      </c>
      <c r="L34" s="59">
        <f>+(SUMIFS(манзилли!$N:$N,манзилли!$J:$J,'свод (соҳа)'!$B34)+SUMIFS('Қўшимча ишга тушган'!$V:$V,'Қўшимча ишга тушган'!$J:$J,'свод (соҳа)'!$B34))</f>
        <v>3370</v>
      </c>
      <c r="M34" s="59">
        <f>(+SUMIFS(манзилли!$R:$R,манзилли!$J:$J,'свод (соҳа)'!$B34)+SUMIFS('Қўшимча ишга тушган'!$Z:$Z,'Қўшимча ишга тушган'!$J:$J,'свод (соҳа)'!$B34))</f>
        <v>3030</v>
      </c>
      <c r="N34" s="59">
        <f>(+SUMIFS(манзилли!$T:$T,манзилли!$J:$J,'свод (соҳа)'!$B34)+SUMIFS('Қўшимча ишга тушган'!$AB:$AB,'Қўшимча ишга тушган'!$J:$J,'свод (соҳа)'!$B34))</f>
        <v>0</v>
      </c>
      <c r="O34" s="63">
        <f>(+SUMIFS(манзилли!$V:$V,манзилли!$J:$J,'свод (соҳа)'!$B34)+SUMIFS('Қўшимча ишга тушган'!$AD:$AD,'Қўшимча ишга тушган'!$J:$J,'свод (соҳа)'!$B34))</f>
        <v>0</v>
      </c>
      <c r="P34" s="58">
        <f>+COUNTIFS(манзилли!$J:$J,'свод (соҳа)'!$B34,манзилли!$AA:$AA,"&gt;31.12.2020",манзилли!$AA:$AA,"&lt;01.01.2022")</f>
        <v>6</v>
      </c>
      <c r="Q34" s="59">
        <f>(+SUMIFS(манзилли!$K:$K,манзилли!$J:$J,'свод (соҳа)'!$B34,манзилли!$AA:$AA,"&gt;31.12.2020",манзилли!$AA:$AA,"&lt;01.01.2022"))</f>
        <v>8300</v>
      </c>
      <c r="R34" s="59">
        <f>(+SUMIFS(манзилли!$M:$M,манзилли!$J:$J,'свод (соҳа)'!$B34,манзилли!$AA:$AA,"&gt;31.12.2020",манзилли!$AA:$AA,"&lt;01.01.2022"))</f>
        <v>3300</v>
      </c>
      <c r="S34" s="59">
        <f>(+SUMIFS(манзилли!$Q:$Q,манзилли!$J:$J,'свод (соҳа)'!$B34,манзилли!$AA:$AA,"&gt;31.12.2020",манзилли!$AA:$AA,"&lt;01.01.2022"))</f>
        <v>5000</v>
      </c>
      <c r="T34" s="59">
        <f>(+SUMIFS(манзилли!$S:$S,манзилли!$J:$J,'свод (соҳа)'!$B34,манзилли!$AA:$AA,"&gt;31.12.2020",манзилли!$AA:$AA,"&lt;01.01.2022"))</f>
        <v>0</v>
      </c>
      <c r="U34" s="59">
        <f>(+SUMIFS(манзилли!$U:$U,манзилли!$J:$J,'свод (соҳа)'!$B34,манзилли!$AA:$AA,"&gt;31.12.2020",манзилли!$AA:$AA,"&lt;01.01.2022"))</f>
        <v>0</v>
      </c>
      <c r="V34" s="63">
        <f>+SUMIFS(манзилли!$Y:$Y,манзилли!$J:$J,'свод (соҳа)'!$B34,манзилли!$AA:$AA,"&gt;31.12.2020",манзилли!$AA:$AA,"&lt;01.01.2022")</f>
        <v>67</v>
      </c>
      <c r="W34" s="58">
        <f t="shared" si="23"/>
        <v>2</v>
      </c>
      <c r="X34" s="59">
        <f t="shared" si="17"/>
        <v>650</v>
      </c>
      <c r="Y34" s="59">
        <f t="shared" si="18"/>
        <v>170</v>
      </c>
      <c r="Z34" s="59">
        <f t="shared" si="19"/>
        <v>480</v>
      </c>
      <c r="AA34" s="59">
        <f t="shared" si="20"/>
        <v>0</v>
      </c>
      <c r="AB34" s="59">
        <f t="shared" si="21"/>
        <v>0</v>
      </c>
      <c r="AC34" s="63">
        <f t="shared" si="22"/>
        <v>5</v>
      </c>
      <c r="AD34" s="58">
        <f>+COUNTIFS(манзилли!$J:$J,'свод (соҳа)'!$B34,манзилли!$AB:$AB,"&gt;31.12.2020",манзилли!$AA:$AA,"&gt;31.12.2020",манзилли!$AA:$AA,"&lt;01.01.2022")</f>
        <v>2</v>
      </c>
      <c r="AE34" s="59">
        <f>(+SUMIFS(манзилли!$L:$L,манзилли!$J:$J,'свод (соҳа)'!$B34,манзилли!$AB:$AB,"&gt;31.12.2020",манзилли!$AA:$AA,"&gt;31.12.2020",манзилли!$AA:$AA,"&lt;01.01.2022"))</f>
        <v>650</v>
      </c>
      <c r="AF34" s="59">
        <f>(+SUMIFS(манзилли!$N:$N,манзилли!$J:$J,'свод (соҳа)'!$B34,манзилли!$AB:$AB,"&gt;31.12.2020",манзилли!$AA:$AA,"&gt;31.12.2020",манзилли!$AA:$AA,"&lt;01.01.2022"))</f>
        <v>170</v>
      </c>
      <c r="AG34" s="59">
        <f>(+SUMIFS(манзилли!$R:$R,манзилли!$J:$J,'свод (соҳа)'!$B34,манзилли!$AB:$AB,"&gt;31.12.2020",манзилли!$AA:$AA,"&gt;31.12.2020",манзилли!$AA:$AA,"&lt;01.01.2022"))</f>
        <v>480</v>
      </c>
      <c r="AH34" s="59">
        <f>(+SUMIFS(манзилли!$T:$T,манзилли!$J:$J,'свод (соҳа)'!$B34,манзилли!$AB:$AB,"&gt;31.12.2020",манзилли!$AA:$AA,"&gt;31.12.2020",манзилли!$AA:$AA,"&lt;01.01.2022"))</f>
        <v>0</v>
      </c>
      <c r="AI34" s="59">
        <f>(+SUMIFS(манзилли!$V:$V,манзилли!$J:$J,'свод (соҳа)'!$B34,манзилли!$AB:$AB,"&gt;31.12.2020",манзилли!$AA:$AA,"&gt;31.12.2020",манзилли!$AA:$AA,"&lt;01.01.2022"))</f>
        <v>0</v>
      </c>
      <c r="AJ34" s="63">
        <f>+SUMIFS(манзилли!$Z:$Z,манзилли!$J:$J,'свод (соҳа)'!$B34,манзилли!$AB:$AB,"&gt;31.12.2020",манзилли!$AA:$AA,"&gt;31.12.2020",манзилли!$AA:$AA,"&lt;01.01.2022")</f>
        <v>5</v>
      </c>
      <c r="AK34" s="58">
        <f>+COUNTIFS('Қўшимча ишга тушган'!$J:$J,'свод (соҳа)'!B34,'Қўшимча ишга тушган'!$AO:$AO,"&lt;01.10.2023")</f>
        <v>0</v>
      </c>
      <c r="AL34" s="59">
        <f>(+SUMIFS('Қўшимча ишга тушган'!$T:$T,'Қўшимча ишга тушган'!$J:$J,'свод (соҳа)'!$B34,'Қўшимча ишга тушган'!$AO:$AO,"&lt;01.10.2023"))</f>
        <v>0</v>
      </c>
      <c r="AM34" s="59">
        <f>(+SUMIFS('Қўшимча ишга тушган'!$V:$V,'Қўшимча ишга тушган'!$J:$J,'свод (соҳа)'!$B34,'Қўшимча ишга тушган'!$AO:$AO,"&lt;01.10.2023"))</f>
        <v>0</v>
      </c>
      <c r="AN34" s="59">
        <f>(+SUMIFS('Қўшимча ишга тушган'!$Z:$Z,'Қўшимча ишга тушган'!$J:$J,'свод (соҳа)'!$B34,'Қўшимча ишга тушган'!$AO:$AO,"&lt;01.10.2023"))</f>
        <v>0</v>
      </c>
      <c r="AO34" s="59">
        <f>(+SUMIFS('Қўшимча ишга тушган'!$AB:$AB,'Қўшимча ишга тушган'!$J:$J,'свод (соҳа)'!$B34,'Қўшимча ишга тушган'!$AO:$AO,"&lt;01.10.2023"))</f>
        <v>0</v>
      </c>
      <c r="AP34" s="59">
        <f>(+SUMIFS('Қўшимча ишга тушган'!$AD:$AD,'Қўшимча ишга тушган'!$J:$J,'свод (соҳа)'!$B34,'Қўшимча ишга тушган'!$AO:$AO,"&lt;01.10.2023"))</f>
        <v>0</v>
      </c>
      <c r="AQ34" s="63">
        <f>+SUMIFS('Қўшимча ишга тушган'!$AM:$AM,'Қўшимча ишга тушган'!$J:$J,'свод (соҳа)'!$B34,'Қўшимча ишга тушган'!$AO:$AO,"&lt;01.10.2023")</f>
        <v>0</v>
      </c>
      <c r="AR34" s="58">
        <f>+COUNTIFS(манзилли!$J:$J,'свод (соҳа)'!$B34,манзилли!$AA:$AA,"&lt;01.02.2021",манзилли!$AB:$AB,"")</f>
        <v>0</v>
      </c>
      <c r="AS34" s="59">
        <f>(+SUMIFS(манзилли!$K:$K,манзилли!$J:$J,'свод (соҳа)'!$B34,манзилли!$AA:$AA,"&lt;01.02.2021",манзилли!$AB:$AB,""))</f>
        <v>0</v>
      </c>
      <c r="AT34" s="59">
        <f>(+SUMIFS(манзилли!$M:$M,манзилли!$J:$J,'свод (соҳа)'!$B34,манзилли!$AA:$AA,"&lt;01.02.2021",манзилли!$AB:$AB,""))</f>
        <v>0</v>
      </c>
      <c r="AU34" s="59">
        <f>(+SUMIFS(манзилли!$Q:$Q,манзилли!$J:$J,'свод (соҳа)'!$B34,манзилли!$AA:$AA,"&lt;01.02.2021",манзилли!$AB:$AB,""))</f>
        <v>0</v>
      </c>
      <c r="AV34" s="59">
        <f>(+SUMIFS(манзилли!$S:$S,манзилли!$J:$J,'свод (соҳа)'!$B34,манзилли!$AA:$AA,"&lt;01.02.2021",манзилли!$AB:$AB,""))</f>
        <v>0</v>
      </c>
      <c r="AW34" s="59">
        <f>(+SUMIFS(манзилли!$U:$U,манзилли!$J:$J,'свод (соҳа)'!$B34,манзилли!$AA:$AA,"&lt;01.02.2021",манзилли!$AB:$AB,""))</f>
        <v>0</v>
      </c>
      <c r="AX34" s="63">
        <f>+SUMIFS(манзилли!$Y:$Y,манзилли!$J:$J,'свод (соҳа)'!$B34,манзилли!$AA:$AA,"&lt;01.02.2021",манзилли!$AB:$AB,"")</f>
        <v>0</v>
      </c>
      <c r="AY34" s="58">
        <f>+COUNTIFS(манзилли!$J:$J,'свод (соҳа)'!$B34,манзилли!$AA:$AA,"&lt;01.01.2022",манзилли!$AB:$AB,"")</f>
        <v>2</v>
      </c>
      <c r="AZ34" s="59">
        <f>(+SUMIFS(манзилли!$K:$K,манзилли!$J:$J,'свод (соҳа)'!$B34,манзилли!$AA:$AA,"&lt;01.01.2022",манзилли!$AB:$AB,""))</f>
        <v>3000</v>
      </c>
      <c r="BA34" s="59">
        <f>(+SUMIFS(манзилли!$M:$M,манзилли!$J:$J,'свод (соҳа)'!$B34,манзилли!$AA:$AA,"&lt;01.01.2022",манзилли!$AB:$AB,""))</f>
        <v>2000</v>
      </c>
      <c r="BB34" s="59">
        <f>(+SUMIFS(манзилли!$Q:$Q,манзилли!$J:$J,'свод (соҳа)'!$B34,манзилли!$AA:$AA,"&lt;01.01.2022",манзилли!$AB:$AB,""))</f>
        <v>1000</v>
      </c>
      <c r="BC34" s="59">
        <f>(+SUMIFS(манзилли!$S:$S,манзилли!$J:$J,'свод (соҳа)'!$B34,манзилли!$AA:$AA,"&lt;01.01.2022",манзилли!$AB:$AB,""))</f>
        <v>0</v>
      </c>
      <c r="BD34" s="59">
        <f>(+SUMIFS(манзилли!$U:$U,манзилли!$J:$J,'свод (соҳа)'!$B34,манзилли!$AA:$AA,"&lt;01.01.2022",манзилли!$AB:$AB,""))</f>
        <v>0</v>
      </c>
      <c r="BE34" s="63">
        <f>+SUMIFS(манзилли!$Y:$Y,манзилли!$J:$J,'свод (соҳа)'!$B34,манзилли!$AA:$AA,"&lt;01.01.2022",манзилли!$AB:$AB,"")</f>
        <v>32</v>
      </c>
      <c r="BF34" s="58">
        <f>+COUNTIFS(манзилли!$J:$J,'свод (соҳа)'!$B34,манзилли!$AA:$AA,"&lt;01.01.2023",манзилли!$AA:$AA,"&gt;=01.01.2022")</f>
        <v>0</v>
      </c>
      <c r="BG34" s="59">
        <f>(+SUMIFS(манзилли!$K:$K,манзилли!$J:$J,'свод (соҳа)'!$B34,манзилли!$AA:$AA,"&lt;01.01.2023",манзилли!$AA:$AA,"&gt;=01.01.2022"))</f>
        <v>0</v>
      </c>
      <c r="BH34" s="59">
        <f>(+SUMIFS(манзилли!$M:$M,манзилли!$J:$J,'свод (соҳа)'!$B34,манзилли!$AA:$AA,"&lt;01.01.2023",манзилли!$AA:$AA,"&gt;=01.01.2022"))</f>
        <v>0</v>
      </c>
      <c r="BI34" s="59">
        <f>(+SUMIFS(манзилли!$Q:$Q,манзилли!$J:$J,'свод (соҳа)'!$B34,манзилли!$AA:$AA,"&lt;01.01.2023",манзилли!$AA:$AA,"&gt;=01.01.2022"))</f>
        <v>0</v>
      </c>
      <c r="BJ34" s="59">
        <f>(+SUMIFS(манзилли!$S:$S,манзилли!$J:$J,'свод (соҳа)'!$B34,манзилли!$AA:$AA,"&lt;01.01.2023",манзилли!$AA:$AA,"&gt;=01.01.2022"))</f>
        <v>0</v>
      </c>
      <c r="BK34" s="59">
        <f>(+SUMIFS(манзилли!$U:$U,манзилли!$J:$J,'свод (соҳа)'!$B34,манзилли!$AA:$AA,"&lt;01.01.2023",манзилли!$AA:$AA,"&gt;=01.01.2022"))</f>
        <v>0</v>
      </c>
      <c r="BL34" s="63">
        <f>+SUMIFS(манзилли!$Y:$Y,манзилли!$J:$J,'свод (соҳа)'!$B34,манзилли!$AA:$AA,"&lt;01.01.2023",манзилли!$AA:$AA,"&gt;=01.01.2022")</f>
        <v>0</v>
      </c>
    </row>
    <row r="35" spans="1:64" s="3" customFormat="1" ht="35.25" customHeight="1" thickBot="1">
      <c r="A35" s="135" t="s">
        <v>10</v>
      </c>
      <c r="B35" s="145" t="s">
        <v>10</v>
      </c>
      <c r="C35" s="43">
        <f>+SUM(C36:C47)</f>
        <v>365</v>
      </c>
      <c r="D35" s="42">
        <f t="shared" ref="D35:BI35" si="24">+SUM(D36:D47)</f>
        <v>1977424.0938000001</v>
      </c>
      <c r="E35" s="42">
        <f t="shared" si="24"/>
        <v>946169.78113999998</v>
      </c>
      <c r="F35" s="42">
        <f t="shared" si="24"/>
        <v>662828.51266000001</v>
      </c>
      <c r="G35" s="42">
        <f t="shared" si="24"/>
        <v>11766</v>
      </c>
      <c r="H35" s="42">
        <f t="shared" si="24"/>
        <v>23300</v>
      </c>
      <c r="I35" s="42">
        <f t="shared" si="24"/>
        <v>4157</v>
      </c>
      <c r="J35" s="43">
        <f t="shared" si="24"/>
        <v>230</v>
      </c>
      <c r="K35" s="42">
        <f t="shared" si="24"/>
        <v>526154.76</v>
      </c>
      <c r="L35" s="42">
        <f t="shared" si="24"/>
        <v>237292.79999999999</v>
      </c>
      <c r="M35" s="42">
        <f t="shared" si="24"/>
        <v>230959.8</v>
      </c>
      <c r="N35" s="42">
        <f t="shared" si="24"/>
        <v>5670.7999999999993</v>
      </c>
      <c r="O35" s="42">
        <f t="shared" si="24"/>
        <v>0</v>
      </c>
      <c r="P35" s="43">
        <f t="shared" si="24"/>
        <v>260</v>
      </c>
      <c r="Q35" s="42">
        <f t="shared" si="24"/>
        <v>1227667.0937999999</v>
      </c>
      <c r="R35" s="42">
        <f t="shared" si="24"/>
        <v>687529.78113999998</v>
      </c>
      <c r="S35" s="42">
        <f t="shared" si="24"/>
        <v>373424.51266000001</v>
      </c>
      <c r="T35" s="42">
        <f t="shared" si="24"/>
        <v>5376</v>
      </c>
      <c r="U35" s="42">
        <f t="shared" si="24"/>
        <v>9800</v>
      </c>
      <c r="V35" s="42">
        <f t="shared" si="24"/>
        <v>3007</v>
      </c>
      <c r="W35" s="43">
        <f t="shared" si="24"/>
        <v>24</v>
      </c>
      <c r="X35" s="42">
        <f t="shared" si="24"/>
        <v>58284.5</v>
      </c>
      <c r="Y35" s="42">
        <f t="shared" si="24"/>
        <v>35991</v>
      </c>
      <c r="Z35" s="42">
        <f t="shared" si="24"/>
        <v>21779</v>
      </c>
      <c r="AA35" s="42">
        <f t="shared" si="24"/>
        <v>49</v>
      </c>
      <c r="AB35" s="42">
        <f t="shared" si="24"/>
        <v>0</v>
      </c>
      <c r="AC35" s="42">
        <f t="shared" si="24"/>
        <v>193</v>
      </c>
      <c r="AD35" s="43">
        <f t="shared" si="24"/>
        <v>24</v>
      </c>
      <c r="AE35" s="42">
        <f t="shared" si="24"/>
        <v>58284.5</v>
      </c>
      <c r="AF35" s="42">
        <f t="shared" si="24"/>
        <v>35991</v>
      </c>
      <c r="AG35" s="42">
        <f t="shared" si="24"/>
        <v>21779</v>
      </c>
      <c r="AH35" s="42">
        <f t="shared" si="24"/>
        <v>49</v>
      </c>
      <c r="AI35" s="42">
        <f t="shared" si="24"/>
        <v>0</v>
      </c>
      <c r="AJ35" s="42">
        <f t="shared" si="24"/>
        <v>193</v>
      </c>
      <c r="AK35" s="43">
        <f t="shared" si="24"/>
        <v>0</v>
      </c>
      <c r="AL35" s="42">
        <f t="shared" si="24"/>
        <v>0</v>
      </c>
      <c r="AM35" s="42">
        <f t="shared" si="24"/>
        <v>0</v>
      </c>
      <c r="AN35" s="42">
        <f t="shared" si="24"/>
        <v>0</v>
      </c>
      <c r="AO35" s="42">
        <f t="shared" si="24"/>
        <v>0</v>
      </c>
      <c r="AP35" s="42">
        <f t="shared" si="24"/>
        <v>0</v>
      </c>
      <c r="AQ35" s="42">
        <f t="shared" si="24"/>
        <v>0</v>
      </c>
      <c r="AR35" s="43">
        <f t="shared" si="24"/>
        <v>0</v>
      </c>
      <c r="AS35" s="42">
        <f t="shared" si="24"/>
        <v>0</v>
      </c>
      <c r="AT35" s="42">
        <f t="shared" si="24"/>
        <v>0</v>
      </c>
      <c r="AU35" s="42">
        <f t="shared" si="24"/>
        <v>0</v>
      </c>
      <c r="AV35" s="42">
        <f t="shared" si="24"/>
        <v>0</v>
      </c>
      <c r="AW35" s="42">
        <f t="shared" si="24"/>
        <v>0</v>
      </c>
      <c r="AX35" s="42">
        <f t="shared" si="24"/>
        <v>0</v>
      </c>
      <c r="AY35" s="43">
        <f t="shared" si="24"/>
        <v>212</v>
      </c>
      <c r="AZ35" s="42">
        <f t="shared" si="24"/>
        <v>1001285.1037999999</v>
      </c>
      <c r="BA35" s="42">
        <f t="shared" si="24"/>
        <v>525713.49114000006</v>
      </c>
      <c r="BB35" s="42">
        <f t="shared" si="24"/>
        <v>309373.81266</v>
      </c>
      <c r="BC35" s="42">
        <f t="shared" si="24"/>
        <v>5326</v>
      </c>
      <c r="BD35" s="42">
        <f t="shared" si="24"/>
        <v>9800</v>
      </c>
      <c r="BE35" s="42">
        <f t="shared" si="24"/>
        <v>2464</v>
      </c>
      <c r="BF35" s="43">
        <f t="shared" si="24"/>
        <v>41</v>
      </c>
      <c r="BG35" s="42">
        <f t="shared" si="24"/>
        <v>643046</v>
      </c>
      <c r="BH35" s="42">
        <f t="shared" si="24"/>
        <v>196600</v>
      </c>
      <c r="BI35" s="42">
        <f t="shared" si="24"/>
        <v>248160</v>
      </c>
      <c r="BJ35" s="42">
        <f t="shared" ref="BJ35:BL35" si="25">+SUM(BJ36:BJ47)</f>
        <v>6200</v>
      </c>
      <c r="BK35" s="42">
        <f t="shared" si="25"/>
        <v>13500</v>
      </c>
      <c r="BL35" s="42">
        <f t="shared" si="25"/>
        <v>811</v>
      </c>
    </row>
    <row r="36" spans="1:64" s="3" customFormat="1" ht="35.25" customHeight="1" outlineLevel="1">
      <c r="A36" s="92">
        <v>1</v>
      </c>
      <c r="B36" s="93" t="s">
        <v>60</v>
      </c>
      <c r="C36" s="46">
        <f>+COUNTIFS(манзилли!$J:$J,'свод (соҳа)'!$B36)</f>
        <v>26</v>
      </c>
      <c r="D36" s="47">
        <f>(+SUMIFS(манзилли!$K:$K,манзилли!$J:$J,'свод (соҳа)'!$B36))</f>
        <v>199619</v>
      </c>
      <c r="E36" s="47">
        <f>(+SUMIFS(манзилли!$M:$M,манзилли!$J:$J,'свод (соҳа)'!$B36))</f>
        <v>53118</v>
      </c>
      <c r="F36" s="47">
        <f>(+SUMIFS(манзилли!$Q:$Q,манзилли!$J:$J,'свод (соҳа)'!$B36))</f>
        <v>29200</v>
      </c>
      <c r="G36" s="47">
        <f>(+SUMIFS(манзилли!$S:$S,манзилли!$J:$J,'свод (соҳа)'!$B36))</f>
        <v>5170</v>
      </c>
      <c r="H36" s="47">
        <f>(+SUMIFS(манзилли!$U:$U,манзилли!$J:$J,'свод (соҳа)'!$B36))</f>
        <v>6500</v>
      </c>
      <c r="I36" s="48">
        <f>+SUMIFS(манзилли!$Y:$Y,манзилли!$J:$J,'свод (соҳа)'!$B36)</f>
        <v>446</v>
      </c>
      <c r="J36" s="46">
        <f>+(COUNTIFS(манзилли!$L:$L,"&gt;0",манзилли!$J:$J,'свод (соҳа)'!$B36)+COUNTIFS('Қўшимча ишга тушган'!$T:$T,"&gt;0",'Қўшимча ишга тушган'!$J:$J,'свод (соҳа)'!$B36))</f>
        <v>14</v>
      </c>
      <c r="K36" s="47">
        <f>(+SUMIFS(манзилли!$L:$L,манзилли!$J:$J,'свод (соҳа)'!$B36)+SUMIFS('Қўшимча ишга тушган'!$T:$T,'Қўшимча ишга тушган'!$J:$J,'свод (соҳа)'!$B36))</f>
        <v>8844.7000000000007</v>
      </c>
      <c r="L36" s="47">
        <f>+(SUMIFS(манзилли!$N:$N,манзилли!$J:$J,'свод (соҳа)'!$B36)+SUMIFS('Қўшимча ишга тушган'!$V:$V,'Қўшимча ишга тушган'!$J:$J,'свод (соҳа)'!$B36))</f>
        <v>1150</v>
      </c>
      <c r="M36" s="47">
        <f>(+SUMIFS(манзилли!$R:$R,манзилли!$J:$J,'свод (соҳа)'!$B36)+SUMIFS('Қўшимча ишга тушган'!$Z:$Z,'Қўшимча ишга тушган'!$J:$J,'свод (соҳа)'!$B36))</f>
        <v>6333</v>
      </c>
      <c r="N36" s="47">
        <f>(+SUMIFS(манзилли!$T:$T,манзилли!$J:$J,'свод (соҳа)'!$B36)+SUMIFS('Қўшимча ишга тушган'!$AB:$AB,'Қўшимча ишга тушган'!$J:$J,'свод (соҳа)'!$B36))</f>
        <v>133.5</v>
      </c>
      <c r="O36" s="48">
        <f>(+SUMIFS(манзилли!$V:$V,манзилли!$J:$J,'свод (соҳа)'!$B36)+SUMIFS('Қўшимча ишга тушган'!$AD:$AD,'Қўшимча ишга тушган'!$J:$J,'свод (соҳа)'!$B36))</f>
        <v>0</v>
      </c>
      <c r="P36" s="46">
        <f>+COUNTIFS(манзилли!$J:$J,'свод (соҳа)'!$B36,манзилли!$AA:$AA,"&gt;31.12.2020",манзилли!$AA:$AA,"&lt;01.01.2022")</f>
        <v>17</v>
      </c>
      <c r="Q36" s="47">
        <f>(+SUMIFS(манзилли!$K:$K,манзилли!$J:$J,'свод (соҳа)'!$B36,манзилли!$AA:$AA,"&gt;31.12.2020",манзилли!$AA:$AA,"&lt;01.01.2022"))</f>
        <v>58769</v>
      </c>
      <c r="R36" s="47">
        <f>(+SUMIFS(манзилли!$M:$M,манзилли!$J:$J,'свод (соҳа)'!$B36,манзилли!$AA:$AA,"&gt;31.12.2020",манзилли!$AA:$AA,"&lt;01.01.2022"))</f>
        <v>33518</v>
      </c>
      <c r="S36" s="47">
        <f>(+SUMIFS(манзилли!$Q:$Q,манзилли!$J:$J,'свод (соҳа)'!$B36,манзилли!$AA:$AA,"&gt;31.12.2020",манзилли!$AA:$AA,"&lt;01.01.2022"))</f>
        <v>23500</v>
      </c>
      <c r="T36" s="47">
        <f>(+SUMIFS(манзилли!$S:$S,манзилли!$J:$J,'свод (соҳа)'!$B36,манзилли!$AA:$AA,"&gt;31.12.2020",манзилли!$AA:$AA,"&lt;01.01.2022"))</f>
        <v>170</v>
      </c>
      <c r="U36" s="47">
        <f>(+SUMIFS(манзилли!$U:$U,манзилли!$J:$J,'свод (соҳа)'!$B36,манзилли!$AA:$AA,"&gt;31.12.2020",манзилли!$AA:$AA,"&lt;01.01.2022"))</f>
        <v>0</v>
      </c>
      <c r="V36" s="48">
        <f>+SUMIFS(манзилли!$Y:$Y,манзилли!$J:$J,'свод (соҳа)'!$B36,манзилли!$AA:$AA,"&gt;31.12.2020",манзилли!$AA:$AA,"&lt;01.01.2022")</f>
        <v>179</v>
      </c>
      <c r="W36" s="46">
        <f t="shared" si="23"/>
        <v>1</v>
      </c>
      <c r="X36" s="47">
        <f t="shared" si="17"/>
        <v>700</v>
      </c>
      <c r="Y36" s="47">
        <f t="shared" si="18"/>
        <v>200</v>
      </c>
      <c r="Z36" s="47">
        <f t="shared" si="19"/>
        <v>500</v>
      </c>
      <c r="AA36" s="47">
        <f t="shared" si="20"/>
        <v>0</v>
      </c>
      <c r="AB36" s="47">
        <f t="shared" si="21"/>
        <v>0</v>
      </c>
      <c r="AC36" s="48">
        <f t="shared" si="22"/>
        <v>8</v>
      </c>
      <c r="AD36" s="46">
        <f>+COUNTIFS(манзилли!$J:$J,'свод (соҳа)'!$B36,манзилли!$AB:$AB,"&gt;31.12.2020",манзилли!$AA:$AA,"&gt;31.12.2020",манзилли!$AA:$AA,"&lt;01.01.2022")</f>
        <v>1</v>
      </c>
      <c r="AE36" s="47">
        <f>(+SUMIFS(манзилли!$L:$L,манзилли!$J:$J,'свод (соҳа)'!$B36,манзилли!$AB:$AB,"&gt;31.12.2020",манзилли!$AA:$AA,"&gt;31.12.2020",манзилли!$AA:$AA,"&lt;01.01.2022"))</f>
        <v>700</v>
      </c>
      <c r="AF36" s="47">
        <f>(+SUMIFS(манзилли!$N:$N,манзилли!$J:$J,'свод (соҳа)'!$B36,манзилли!$AB:$AB,"&gt;31.12.2020",манзилли!$AA:$AA,"&gt;31.12.2020",манзилли!$AA:$AA,"&lt;01.01.2022"))</f>
        <v>200</v>
      </c>
      <c r="AG36" s="47">
        <f>(+SUMIFS(манзилли!$R:$R,манзилли!$J:$J,'свод (соҳа)'!$B36,манзилли!$AB:$AB,"&gt;31.12.2020",манзилли!$AA:$AA,"&gt;31.12.2020",манзилли!$AA:$AA,"&lt;01.01.2022"))</f>
        <v>500</v>
      </c>
      <c r="AH36" s="47">
        <f>(+SUMIFS(манзилли!$T:$T,манзилли!$J:$J,'свод (соҳа)'!$B36,манзилли!$AB:$AB,"&gt;31.12.2020",манзилли!$AA:$AA,"&gt;31.12.2020",манзилли!$AA:$AA,"&lt;01.01.2022"))</f>
        <v>0</v>
      </c>
      <c r="AI36" s="47">
        <f>(+SUMIFS(манзилли!$V:$V,манзилли!$J:$J,'свод (соҳа)'!$B36,манзилли!$AB:$AB,"&gt;31.12.2020",манзилли!$AA:$AA,"&gt;31.12.2020",манзилли!$AA:$AA,"&lt;01.01.2022"))</f>
        <v>0</v>
      </c>
      <c r="AJ36" s="48">
        <f>+SUMIFS(манзилли!$Z:$Z,манзилли!$J:$J,'свод (соҳа)'!$B36,манзилли!$AB:$AB,"&gt;31.12.2020",манзилли!$AA:$AA,"&gt;31.12.2020",манзилли!$AA:$AA,"&lt;01.01.2022")</f>
        <v>8</v>
      </c>
      <c r="AK36" s="46">
        <f>+COUNTIFS('Қўшимча ишга тушган'!$J:$J,'свод (соҳа)'!B36,'Қўшимча ишга тушган'!$AO:$AO,"&lt;01.10.2023")</f>
        <v>0</v>
      </c>
      <c r="AL36" s="47">
        <f>(+SUMIFS('Қўшимча ишга тушган'!$T:$T,'Қўшимча ишга тушган'!$J:$J,'свод (соҳа)'!$B36,'Қўшимча ишга тушган'!$AO:$AO,"&lt;01.10.2023"))</f>
        <v>0</v>
      </c>
      <c r="AM36" s="47">
        <f>(+SUMIFS('Қўшимча ишга тушган'!$V:$V,'Қўшимча ишга тушган'!$J:$J,'свод (соҳа)'!$B36,'Қўшимча ишга тушган'!$AO:$AO,"&lt;01.10.2023"))</f>
        <v>0</v>
      </c>
      <c r="AN36" s="47">
        <f>(+SUMIFS('Қўшимча ишга тушган'!$Z:$Z,'Қўшимча ишга тушган'!$J:$J,'свод (соҳа)'!$B36,'Қўшимча ишга тушган'!$AO:$AO,"&lt;01.10.2023"))</f>
        <v>0</v>
      </c>
      <c r="AO36" s="47">
        <f>(+SUMIFS('Қўшимча ишга тушган'!$AB:$AB,'Қўшимча ишга тушган'!$J:$J,'свод (соҳа)'!$B36,'Қўшимча ишга тушган'!$AO:$AO,"&lt;01.10.2023"))</f>
        <v>0</v>
      </c>
      <c r="AP36" s="47">
        <f>(+SUMIFS('Қўшимча ишга тушган'!$AD:$AD,'Қўшимча ишга тушган'!$J:$J,'свод (соҳа)'!$B36,'Қўшимча ишга тушган'!$AO:$AO,"&lt;01.10.2023"))</f>
        <v>0</v>
      </c>
      <c r="AQ36" s="48">
        <f>+SUMIFS('Қўшимча ишга тушган'!$AM:$AM,'Қўшимча ишга тушган'!$J:$J,'свод (соҳа)'!$B36,'Қўшимча ишга тушган'!$AO:$AO,"&lt;01.10.2023")</f>
        <v>0</v>
      </c>
      <c r="AR36" s="46">
        <f>+COUNTIFS(манзилли!$J:$J,'свод (соҳа)'!$B36,манзилли!$AA:$AA,"&lt;01.02.2021",манзилли!$AB:$AB,"")</f>
        <v>0</v>
      </c>
      <c r="AS36" s="47">
        <f>(+SUMIFS(манзилли!$K:$K,манзилли!$J:$J,'свод (соҳа)'!$B36,манзилли!$AA:$AA,"&lt;01.02.2021",манзилли!$AB:$AB,""))</f>
        <v>0</v>
      </c>
      <c r="AT36" s="47">
        <f>(+SUMIFS(манзилли!$M:$M,манзилли!$J:$J,'свод (соҳа)'!$B36,манзилли!$AA:$AA,"&lt;01.02.2021",манзилли!$AB:$AB,""))</f>
        <v>0</v>
      </c>
      <c r="AU36" s="47">
        <f>(+SUMIFS(манзилли!$Q:$Q,манзилли!$J:$J,'свод (соҳа)'!$B36,манзилли!$AA:$AA,"&lt;01.02.2021",манзилли!$AB:$AB,""))</f>
        <v>0</v>
      </c>
      <c r="AV36" s="47">
        <f>(+SUMIFS(манзилли!$S:$S,манзилли!$J:$J,'свод (соҳа)'!$B36,манзилли!$AA:$AA,"&lt;01.02.2021",манзилли!$AB:$AB,""))</f>
        <v>0</v>
      </c>
      <c r="AW36" s="47">
        <f>(+SUMIFS(манзилли!$U:$U,манзилли!$J:$J,'свод (соҳа)'!$B36,манзилли!$AA:$AA,"&lt;01.02.2021",манзилли!$AB:$AB,""))</f>
        <v>0</v>
      </c>
      <c r="AX36" s="48">
        <f>+SUMIFS(манзилли!$Y:$Y,манзилли!$J:$J,'свод (соҳа)'!$B36,манзилли!$AA:$AA,"&lt;01.02.2021",манзилли!$AB:$AB,"")</f>
        <v>0</v>
      </c>
      <c r="AY36" s="46">
        <f>+COUNTIFS(манзилли!$J:$J,'свод (соҳа)'!$B36,манзилли!$AA:$AA,"&lt;01.01.2022",манзилли!$AB:$AB,"")</f>
        <v>16</v>
      </c>
      <c r="AZ36" s="47">
        <f>(+SUMIFS(манзилли!$K:$K,манзилли!$J:$J,'свод (соҳа)'!$B36,манзилли!$AA:$AA,"&lt;01.01.2022",манзилли!$AB:$AB,""))</f>
        <v>58069</v>
      </c>
      <c r="BA36" s="47">
        <f>(+SUMIFS(манзилли!$M:$M,манзилли!$J:$J,'свод (соҳа)'!$B36,манзилли!$AA:$AA,"&lt;01.01.2022",манзилли!$AB:$AB,""))</f>
        <v>33418</v>
      </c>
      <c r="BB36" s="47">
        <f>(+SUMIFS(манзилли!$Q:$Q,манзилли!$J:$J,'свод (соҳа)'!$B36,манзилли!$AA:$AA,"&lt;01.01.2022",манзилли!$AB:$AB,""))</f>
        <v>22900</v>
      </c>
      <c r="BC36" s="47">
        <f>(+SUMIFS(манзилли!$S:$S,манзилли!$J:$J,'свод (соҳа)'!$B36,манзилли!$AA:$AA,"&lt;01.01.2022",манзилли!$AB:$AB,""))</f>
        <v>170</v>
      </c>
      <c r="BD36" s="47">
        <f>(+SUMIFS(манзилли!$U:$U,манзилли!$J:$J,'свод (соҳа)'!$B36,манзилли!$AA:$AA,"&lt;01.01.2022",манзилли!$AB:$AB,""))</f>
        <v>0</v>
      </c>
      <c r="BE36" s="48">
        <f>+SUMIFS(манзилли!$Y:$Y,манзилли!$J:$J,'свод (соҳа)'!$B36,манзилли!$AA:$AA,"&lt;01.01.2022",манзилли!$AB:$AB,"")</f>
        <v>171</v>
      </c>
      <c r="BF36" s="46">
        <f>+COUNTIFS(манзилли!$J:$J,'свод (соҳа)'!$B36,манзилли!$AA:$AA,"&lt;01.01.2023",манзилли!$AA:$AA,"&gt;=01.01.2022")</f>
        <v>7</v>
      </c>
      <c r="BG36" s="47">
        <f>(+SUMIFS(манзилли!$K:$K,манзилли!$J:$J,'свод (соҳа)'!$B36,манзилли!$AA:$AA,"&lt;01.01.2023",манзилли!$AA:$AA,"&gt;=01.01.2022"))</f>
        <v>139500</v>
      </c>
      <c r="BH36" s="47">
        <f>(+SUMIFS(манзилли!$M:$M,манзилли!$J:$J,'свод (соҳа)'!$B36,манзилли!$AA:$AA,"&lt;01.01.2023",манзилли!$AA:$AA,"&gt;=01.01.2022"))</f>
        <v>19500</v>
      </c>
      <c r="BI36" s="47">
        <f>(+SUMIFS(манзилли!$Q:$Q,манзилли!$J:$J,'свод (соҳа)'!$B36,манзилли!$AA:$AA,"&lt;01.01.2023",манзилли!$AA:$AA,"&gt;=01.01.2022"))</f>
        <v>5550</v>
      </c>
      <c r="BJ36" s="47">
        <f>(+SUMIFS(манзилли!$S:$S,манзилли!$J:$J,'свод (соҳа)'!$B36,манзилли!$AA:$AA,"&lt;01.01.2023",манзилли!$AA:$AA,"&gt;=01.01.2022"))</f>
        <v>5000</v>
      </c>
      <c r="BK36" s="47">
        <f>(+SUMIFS(манзилли!$U:$U,манзилли!$J:$J,'свод (соҳа)'!$B36,манзилли!$AA:$AA,"&lt;01.01.2023",манзилли!$AA:$AA,"&gt;=01.01.2022"))</f>
        <v>6500</v>
      </c>
      <c r="BL36" s="48">
        <f>+SUMIFS(манзилли!$Y:$Y,манзилли!$J:$J,'свод (соҳа)'!$B36,манзилли!$AA:$AA,"&lt;01.01.2023",манзилли!$AA:$AA,"&gt;=01.01.2022")</f>
        <v>265</v>
      </c>
    </row>
    <row r="37" spans="1:64" s="3" customFormat="1" ht="35.25" customHeight="1" outlineLevel="1">
      <c r="A37" s="26">
        <f t="shared" ref="A37:A47" si="26">+A36+1</f>
        <v>2</v>
      </c>
      <c r="B37" s="88" t="s">
        <v>44</v>
      </c>
      <c r="C37" s="28">
        <f>+COUNTIFS(манзилли!$J:$J,'свод (соҳа)'!$B37)</f>
        <v>52</v>
      </c>
      <c r="D37" s="86">
        <f>(+SUMIFS(манзилли!$K:$K,манзилли!$J:$J,'свод (соҳа)'!$B37))</f>
        <v>459942</v>
      </c>
      <c r="E37" s="86">
        <f>(+SUMIFS(манзилли!$M:$M,манзилли!$J:$J,'свод (соҳа)'!$B37))</f>
        <v>333712</v>
      </c>
      <c r="F37" s="86">
        <f>(+SUMIFS(манзилли!$Q:$Q,манзилли!$J:$J,'свод (соҳа)'!$B37))</f>
        <v>125860</v>
      </c>
      <c r="G37" s="86">
        <f>(+SUMIFS(манзилли!$S:$S,манзилли!$J:$J,'свод (соҳа)'!$B37))</f>
        <v>0</v>
      </c>
      <c r="H37" s="86">
        <f>(+SUMIFS(манзилли!$U:$U,манзилли!$J:$J,'свод (соҳа)'!$B37))</f>
        <v>0</v>
      </c>
      <c r="I37" s="30">
        <f>+SUMIFS(манзилли!$Y:$Y,манзилли!$J:$J,'свод (соҳа)'!$B37)</f>
        <v>745</v>
      </c>
      <c r="J37" s="28">
        <f>+(COUNTIFS(манзилли!$L:$L,"&gt;0",манзилли!$J:$J,'свод (соҳа)'!$B37)+COUNTIFS('Қўшимча ишга тушган'!$T:$T,"&gt;0",'Қўшимча ишга тушган'!$J:$J,'свод (соҳа)'!$B37))</f>
        <v>35</v>
      </c>
      <c r="K37" s="86">
        <f>(+SUMIFS(манзилли!$L:$L,манзилли!$J:$J,'свод (соҳа)'!$B37)+SUMIFS('Қўшимча ишга тушган'!$T:$T,'Қўшимча ишга тушган'!$J:$J,'свод (соҳа)'!$B37))</f>
        <v>170559</v>
      </c>
      <c r="L37" s="86">
        <f>+(SUMIFS(манзилли!$N:$N,манзилли!$J:$J,'свод (соҳа)'!$B37)+SUMIFS('Қўшимча ишга тушган'!$V:$V,'Қўшимча ишга тушган'!$J:$J,'свод (соҳа)'!$B37))</f>
        <v>132869</v>
      </c>
      <c r="M37" s="86">
        <f>(+SUMIFS(манзилли!$R:$R,манзилли!$J:$J,'свод (соҳа)'!$B37)+SUMIFS('Қўшимча ишга тушган'!$Z:$Z,'Қўшимча ишга тушган'!$J:$J,'свод (соҳа)'!$B37))</f>
        <v>37690</v>
      </c>
      <c r="N37" s="86">
        <f>(+SUMIFS(манзилли!$T:$T,манзилли!$J:$J,'свод (соҳа)'!$B37)+SUMIFS('Қўшимча ишга тушган'!$AB:$AB,'Қўшимча ишга тушган'!$J:$J,'свод (соҳа)'!$B37))</f>
        <v>0</v>
      </c>
      <c r="O37" s="30">
        <f>(+SUMIFS(манзилли!$V:$V,манзилли!$J:$J,'свод (соҳа)'!$B37)+SUMIFS('Қўшимча ишга тушган'!$AD:$AD,'Қўшимча ишга тушган'!$J:$J,'свод (соҳа)'!$B37))</f>
        <v>0</v>
      </c>
      <c r="P37" s="28">
        <f>+COUNTIFS(манзилли!$J:$J,'свод (соҳа)'!$B37,манзилли!$AA:$AA,"&gt;31.12.2020",манзилли!$AA:$AA,"&lt;01.01.2022")</f>
        <v>35</v>
      </c>
      <c r="Q37" s="86">
        <f>(+SUMIFS(манзилли!$K:$K,манзилли!$J:$J,'свод (соҳа)'!$B37,манзилли!$AA:$AA,"&gt;31.12.2020",манзилли!$AA:$AA,"&lt;01.01.2022"))</f>
        <v>351272</v>
      </c>
      <c r="R37" s="86">
        <f>(+SUMIFS(манзилли!$M:$M,манзилли!$J:$J,'свод (соҳа)'!$B37,манзилли!$AA:$AA,"&gt;31.12.2020",манзилли!$AA:$AA,"&lt;01.01.2022"))</f>
        <v>288462</v>
      </c>
      <c r="S37" s="86">
        <f>(+SUMIFS(манзилли!$Q:$Q,манзилли!$J:$J,'свод (соҳа)'!$B37,манзилли!$AA:$AA,"&gt;31.12.2020",манзилли!$AA:$AA,"&lt;01.01.2022"))</f>
        <v>62810</v>
      </c>
      <c r="T37" s="86">
        <f>(+SUMIFS(манзилли!$S:$S,манзилли!$J:$J,'свод (соҳа)'!$B37,манзилли!$AA:$AA,"&gt;31.12.2020",манзилли!$AA:$AA,"&lt;01.01.2022"))</f>
        <v>0</v>
      </c>
      <c r="U37" s="86">
        <f>(+SUMIFS(манзилли!$U:$U,манзилли!$J:$J,'свод (соҳа)'!$B37,манзилли!$AA:$AA,"&gt;31.12.2020",манзилли!$AA:$AA,"&lt;01.01.2022"))</f>
        <v>0</v>
      </c>
      <c r="V37" s="30">
        <f>+SUMIFS(манзилли!$Y:$Y,манзилли!$J:$J,'свод (соҳа)'!$B37,манзилли!$AA:$AA,"&gt;31.12.2020",манзилли!$AA:$AA,"&lt;01.01.2022")</f>
        <v>540</v>
      </c>
      <c r="W37" s="28">
        <f t="shared" si="23"/>
        <v>2</v>
      </c>
      <c r="X37" s="86">
        <f t="shared" si="17"/>
        <v>4700</v>
      </c>
      <c r="Y37" s="86">
        <f t="shared" si="18"/>
        <v>4400</v>
      </c>
      <c r="Z37" s="86">
        <f t="shared" si="19"/>
        <v>300</v>
      </c>
      <c r="AA37" s="86">
        <f t="shared" si="20"/>
        <v>0</v>
      </c>
      <c r="AB37" s="86">
        <f t="shared" si="21"/>
        <v>0</v>
      </c>
      <c r="AC37" s="30">
        <f t="shared" si="22"/>
        <v>12</v>
      </c>
      <c r="AD37" s="28">
        <f>+COUNTIFS(манзилли!$J:$J,'свод (соҳа)'!$B37,манзилли!$AB:$AB,"&gt;31.12.2020",манзилли!$AA:$AA,"&gt;31.12.2020",манзилли!$AA:$AA,"&lt;01.01.2022")</f>
        <v>2</v>
      </c>
      <c r="AE37" s="86">
        <f>(+SUMIFS(манзилли!$L:$L,манзилли!$J:$J,'свод (соҳа)'!$B37,манзилли!$AB:$AB,"&gt;31.12.2020",манзилли!$AA:$AA,"&gt;31.12.2020",манзилли!$AA:$AA,"&lt;01.01.2022"))</f>
        <v>4700</v>
      </c>
      <c r="AF37" s="86">
        <f>(+SUMIFS(манзилли!$N:$N,манзилли!$J:$J,'свод (соҳа)'!$B37,манзилли!$AB:$AB,"&gt;31.12.2020",манзилли!$AA:$AA,"&gt;31.12.2020",манзилли!$AA:$AA,"&lt;01.01.2022"))</f>
        <v>4400</v>
      </c>
      <c r="AG37" s="86">
        <f>(+SUMIFS(манзилли!$R:$R,манзилли!$J:$J,'свод (соҳа)'!$B37,манзилли!$AB:$AB,"&gt;31.12.2020",манзилли!$AA:$AA,"&gt;31.12.2020",манзилли!$AA:$AA,"&lt;01.01.2022"))</f>
        <v>300</v>
      </c>
      <c r="AH37" s="86">
        <f>(+SUMIFS(манзилли!$T:$T,манзилли!$J:$J,'свод (соҳа)'!$B37,манзилли!$AB:$AB,"&gt;31.12.2020",манзилли!$AA:$AA,"&gt;31.12.2020",манзилли!$AA:$AA,"&lt;01.01.2022"))</f>
        <v>0</v>
      </c>
      <c r="AI37" s="86">
        <f>(+SUMIFS(манзилли!$V:$V,манзилли!$J:$J,'свод (соҳа)'!$B37,манзилли!$AB:$AB,"&gt;31.12.2020",манзилли!$AA:$AA,"&gt;31.12.2020",манзилли!$AA:$AA,"&lt;01.01.2022"))</f>
        <v>0</v>
      </c>
      <c r="AJ37" s="30">
        <f>+SUMIFS(манзилли!$Z:$Z,манзилли!$J:$J,'свод (соҳа)'!$B37,манзилли!$AB:$AB,"&gt;31.12.2020",манзилли!$AA:$AA,"&gt;31.12.2020",манзилли!$AA:$AA,"&lt;01.01.2022")</f>
        <v>12</v>
      </c>
      <c r="AK37" s="28">
        <f>+COUNTIFS('Қўшимча ишга тушган'!$J:$J,'свод (соҳа)'!B37,'Қўшимча ишга тушган'!$AO:$AO,"&lt;01.10.2023")</f>
        <v>0</v>
      </c>
      <c r="AL37" s="86">
        <f>(+SUMIFS('Қўшимча ишга тушган'!$T:$T,'Қўшимча ишга тушган'!$J:$J,'свод (соҳа)'!$B37,'Қўшимча ишга тушган'!$AO:$AO,"&lt;01.10.2023"))</f>
        <v>0</v>
      </c>
      <c r="AM37" s="86">
        <f>(+SUMIFS('Қўшимча ишга тушган'!$V:$V,'Қўшимча ишга тушган'!$J:$J,'свод (соҳа)'!$B37,'Қўшимча ишга тушган'!$AO:$AO,"&lt;01.10.2023"))</f>
        <v>0</v>
      </c>
      <c r="AN37" s="86">
        <f>(+SUMIFS('Қўшимча ишга тушган'!$Z:$Z,'Қўшимча ишга тушган'!$J:$J,'свод (соҳа)'!$B37,'Қўшимча ишга тушган'!$AO:$AO,"&lt;01.10.2023"))</f>
        <v>0</v>
      </c>
      <c r="AO37" s="86">
        <f>(+SUMIFS('Қўшимча ишга тушган'!$AB:$AB,'Қўшимча ишга тушган'!$J:$J,'свод (соҳа)'!$B37,'Қўшимча ишга тушган'!$AO:$AO,"&lt;01.10.2023"))</f>
        <v>0</v>
      </c>
      <c r="AP37" s="86">
        <f>(+SUMIFS('Қўшимча ишга тушган'!$AD:$AD,'Қўшимча ишга тушган'!$J:$J,'свод (соҳа)'!$B37,'Қўшимча ишга тушган'!$AO:$AO,"&lt;01.10.2023"))</f>
        <v>0</v>
      </c>
      <c r="AQ37" s="30">
        <f>+SUMIFS('Қўшимча ишга тушган'!$AM:$AM,'Қўшимча ишга тушган'!$J:$J,'свод (соҳа)'!$B37,'Қўшимча ишга тушган'!$AO:$AO,"&lt;01.10.2023")</f>
        <v>0</v>
      </c>
      <c r="AR37" s="28">
        <f>+COUNTIFS(манзилли!$J:$J,'свод (соҳа)'!$B37,манзилли!$AA:$AA,"&lt;01.02.2021",манзилли!$AB:$AB,"")</f>
        <v>0</v>
      </c>
      <c r="AS37" s="86">
        <f>(+SUMIFS(манзилли!$K:$K,манзилли!$J:$J,'свод (соҳа)'!$B37,манзилли!$AA:$AA,"&lt;01.02.2021",манзилли!$AB:$AB,""))</f>
        <v>0</v>
      </c>
      <c r="AT37" s="86">
        <f>(+SUMIFS(манзилли!$M:$M,манзилли!$J:$J,'свод (соҳа)'!$B37,манзилли!$AA:$AA,"&lt;01.02.2021",манзилли!$AB:$AB,""))</f>
        <v>0</v>
      </c>
      <c r="AU37" s="86">
        <f>(+SUMIFS(манзилли!$Q:$Q,манзилли!$J:$J,'свод (соҳа)'!$B37,манзилли!$AA:$AA,"&lt;01.02.2021",манзилли!$AB:$AB,""))</f>
        <v>0</v>
      </c>
      <c r="AV37" s="86">
        <f>(+SUMIFS(манзилли!$S:$S,манзилли!$J:$J,'свод (соҳа)'!$B37,манзилли!$AA:$AA,"&lt;01.02.2021",манзилли!$AB:$AB,""))</f>
        <v>0</v>
      </c>
      <c r="AW37" s="86">
        <f>(+SUMIFS(манзилли!$U:$U,манзилли!$J:$J,'свод (соҳа)'!$B37,манзилли!$AA:$AA,"&lt;01.02.2021",манзилли!$AB:$AB,""))</f>
        <v>0</v>
      </c>
      <c r="AX37" s="30">
        <f>+SUMIFS(манзилли!$Y:$Y,манзилли!$J:$J,'свод (соҳа)'!$B37,манзилли!$AA:$AA,"&lt;01.02.2021",манзилли!$AB:$AB,"")</f>
        <v>0</v>
      </c>
      <c r="AY37" s="28">
        <f>+COUNTIFS(манзилли!$J:$J,'свод (соҳа)'!$B37,манзилли!$AA:$AA,"&lt;01.01.2022",манзилли!$AB:$AB,"")</f>
        <v>27</v>
      </c>
      <c r="AZ37" s="86">
        <f>(+SUMIFS(манзилли!$K:$K,манзилли!$J:$J,'свод (соҳа)'!$B37,манзилли!$AA:$AA,"&lt;01.01.2022",манзилли!$AB:$AB,""))</f>
        <v>204960</v>
      </c>
      <c r="BA37" s="86">
        <f>(+SUMIFS(манзилли!$M:$M,манзилли!$J:$J,'свод (соҳа)'!$B37,манзилли!$AA:$AA,"&lt;01.01.2022",манзилли!$AB:$AB,""))</f>
        <v>161850</v>
      </c>
      <c r="BB37" s="86">
        <f>(+SUMIFS(манзилли!$Q:$Q,манзилли!$J:$J,'свод (соҳа)'!$B37,манзилли!$AA:$AA,"&lt;01.01.2022",манзилли!$AB:$AB,""))</f>
        <v>43110</v>
      </c>
      <c r="BC37" s="86">
        <f>(+SUMIFS(манзилли!$S:$S,манзилли!$J:$J,'свод (соҳа)'!$B37,манзилли!$AA:$AA,"&lt;01.01.2022",манзилли!$AB:$AB,""))</f>
        <v>0</v>
      </c>
      <c r="BD37" s="86">
        <f>(+SUMIFS(манзилли!$U:$U,манзилли!$J:$J,'свод (соҳа)'!$B37,манзилли!$AA:$AA,"&lt;01.01.2022",манзилли!$AB:$AB,""))</f>
        <v>0</v>
      </c>
      <c r="BE37" s="30">
        <f>+SUMIFS(манзилли!$Y:$Y,манзилли!$J:$J,'свод (соҳа)'!$B37,манзилли!$AA:$AA,"&lt;01.01.2022",манзилли!$AB:$AB,"")</f>
        <v>336</v>
      </c>
      <c r="BF37" s="28">
        <f>+COUNTIFS(манзилли!$J:$J,'свод (соҳа)'!$B37,манзилли!$AA:$AA,"&lt;01.01.2023",манзилли!$AA:$AA,"&gt;=01.01.2022")</f>
        <v>4</v>
      </c>
      <c r="BG37" s="86">
        <f>(+SUMIFS(манзилли!$K:$K,манзилли!$J:$J,'свод (соҳа)'!$B37,манзилли!$AA:$AA,"&lt;01.01.2023",манзилли!$AA:$AA,"&gt;=01.01.2022"))</f>
        <v>97000</v>
      </c>
      <c r="BH37" s="86">
        <f>(+SUMIFS(манзилли!$M:$M,манзилли!$J:$J,'свод (соҳа)'!$B37,манзилли!$AA:$AA,"&lt;01.01.2023",манзилли!$AA:$AA,"&gt;=01.01.2022"))</f>
        <v>41000</v>
      </c>
      <c r="BI37" s="86">
        <f>(+SUMIFS(манзилли!$Q:$Q,манзилли!$J:$J,'свод (соҳа)'!$B37,манзилли!$AA:$AA,"&lt;01.01.2023",манзилли!$AA:$AA,"&gt;=01.01.2022"))</f>
        <v>56000</v>
      </c>
      <c r="BJ37" s="86">
        <f>(+SUMIFS(манзилли!$S:$S,манзилли!$J:$J,'свод (соҳа)'!$B37,манзилли!$AA:$AA,"&lt;01.01.2023",манзилли!$AA:$AA,"&gt;=01.01.2022"))</f>
        <v>0</v>
      </c>
      <c r="BK37" s="86">
        <f>(+SUMIFS(манзилли!$U:$U,манзилли!$J:$J,'свод (соҳа)'!$B37,манзилли!$AA:$AA,"&lt;01.01.2023",манзилли!$AA:$AA,"&gt;=01.01.2022"))</f>
        <v>0</v>
      </c>
      <c r="BL37" s="30">
        <f>+SUMIFS(манзилли!$Y:$Y,манзилли!$J:$J,'свод (соҳа)'!$B37,манзилли!$AA:$AA,"&lt;01.01.2023",манзилли!$AA:$AA,"&gt;=01.01.2022")</f>
        <v>145</v>
      </c>
    </row>
    <row r="38" spans="1:64" s="3" customFormat="1" ht="35.25" customHeight="1" outlineLevel="1">
      <c r="A38" s="26">
        <f t="shared" si="26"/>
        <v>3</v>
      </c>
      <c r="B38" s="88" t="s">
        <v>66</v>
      </c>
      <c r="C38" s="28">
        <f>+COUNTIFS(манзилли!$J:$J,'свод (соҳа)'!$B38)</f>
        <v>36</v>
      </c>
      <c r="D38" s="86">
        <f>(+SUMIFS(манзилли!$K:$K,манзилли!$J:$J,'свод (соҳа)'!$B38))</f>
        <v>330705</v>
      </c>
      <c r="E38" s="86">
        <f>(+SUMIFS(манзилли!$M:$M,манзилли!$J:$J,'свод (соҳа)'!$B38))</f>
        <v>173185</v>
      </c>
      <c r="F38" s="86">
        <f>(+SUMIFS(манзилли!$Q:$Q,манзилли!$J:$J,'свод (соҳа)'!$B38))</f>
        <v>54520</v>
      </c>
      <c r="G38" s="86">
        <f>(+SUMIFS(манзилли!$S:$S,манзилли!$J:$J,'свод (соҳа)'!$B38))</f>
        <v>0</v>
      </c>
      <c r="H38" s="86">
        <f>(+SUMIFS(манзилли!$U:$U,манзилли!$J:$J,'свод (соҳа)'!$B38))</f>
        <v>10000</v>
      </c>
      <c r="I38" s="30">
        <f>+SUMIFS(манзилли!$Y:$Y,манзилли!$J:$J,'свод (соҳа)'!$B38)</f>
        <v>637</v>
      </c>
      <c r="J38" s="28">
        <f>+(COUNTIFS(манзилли!$L:$L,"&gt;0",манзилли!$J:$J,'свод (соҳа)'!$B38)+COUNTIFS('Қўшимча ишга тушган'!$T:$T,"&gt;0",'Қўшимча ишга тушган'!$J:$J,'свод (соҳа)'!$B38))</f>
        <v>20</v>
      </c>
      <c r="K38" s="86">
        <f>(+SUMIFS(манзилли!$L:$L,манзилли!$J:$J,'свод (соҳа)'!$B38)+SUMIFS('Қўшимча ишга тушган'!$T:$T,'Қўшимча ишга тушган'!$J:$J,'свод (соҳа)'!$B38))</f>
        <v>69532</v>
      </c>
      <c r="L38" s="86">
        <f>+(SUMIFS(манзилли!$N:$N,манзилли!$J:$J,'свод (соҳа)'!$B38)+SUMIFS('Қўшимча ишга тушган'!$V:$V,'Қўшимча ишга тушган'!$J:$J,'свод (соҳа)'!$B38))</f>
        <v>36900</v>
      </c>
      <c r="M38" s="86">
        <f>(+SUMIFS(манзилли!$R:$R,манзилли!$J:$J,'свод (соҳа)'!$B38)+SUMIFS('Қўшимча ишга тушган'!$Z:$Z,'Қўшимча ишга тушган'!$J:$J,'свод (соҳа)'!$B38))</f>
        <v>32632</v>
      </c>
      <c r="N38" s="86">
        <f>(+SUMIFS(манзилли!$T:$T,манзилли!$J:$J,'свод (соҳа)'!$B38)+SUMIFS('Қўшимча ишга тушган'!$AB:$AB,'Қўшимча ишга тушган'!$J:$J,'свод (соҳа)'!$B38))</f>
        <v>0</v>
      </c>
      <c r="O38" s="30">
        <f>(+SUMIFS(манзилли!$V:$V,манзилли!$J:$J,'свод (соҳа)'!$B38)+SUMIFS('Қўшимча ишга тушган'!$AD:$AD,'Қўшимча ишга тушган'!$J:$J,'свод (соҳа)'!$B38))</f>
        <v>0</v>
      </c>
      <c r="P38" s="32">
        <f>+COUNTIFS(манзилли!$J:$J,'свод (соҳа)'!$B38,манзилли!$AA:$AA,"&gt;31.12.2020",манзилли!$AA:$AA,"&lt;01.01.2022")</f>
        <v>31</v>
      </c>
      <c r="Q38" s="86">
        <f>(+SUMIFS(манзилли!$K:$K,манзилли!$J:$J,'свод (соҳа)'!$B38,манзилли!$AA:$AA,"&gt;31.12.2020",манзилли!$AA:$AA,"&lt;01.01.2022"))</f>
        <v>231705</v>
      </c>
      <c r="R38" s="90">
        <f>(+SUMIFS(манзилли!$M:$M,манзилли!$J:$J,'свод (соҳа)'!$B38,манзилли!$AA:$AA,"&gt;31.12.2020",манзилли!$AA:$AA,"&lt;01.01.2022"))</f>
        <v>134085</v>
      </c>
      <c r="S38" s="90">
        <f>(+SUMIFS(манзилли!$Q:$Q,манзилли!$J:$J,'свод (соҳа)'!$B38,манзилли!$AA:$AA,"&gt;31.12.2020",манзилли!$AA:$AA,"&lt;01.01.2022"))</f>
        <v>46120</v>
      </c>
      <c r="T38" s="90">
        <f>(+SUMIFS(манзилли!$S:$S,манзилли!$J:$J,'свод (соҳа)'!$B38,манзилли!$AA:$AA,"&gt;31.12.2020",манзилли!$AA:$AA,"&lt;01.01.2022"))</f>
        <v>0</v>
      </c>
      <c r="U38" s="90">
        <f>(+SUMIFS(манзилли!$U:$U,манзилли!$J:$J,'свод (соҳа)'!$B38,манзилли!$AA:$AA,"&gt;31.12.2020",манзилли!$AA:$AA,"&lt;01.01.2022"))</f>
        <v>5000</v>
      </c>
      <c r="V38" s="34">
        <f>+SUMIFS(манзилли!$Y:$Y,манзилли!$J:$J,'свод (соҳа)'!$B38,манзилли!$AA:$AA,"&gt;31.12.2020",манзилли!$AA:$AA,"&lt;01.01.2022")</f>
        <v>545</v>
      </c>
      <c r="W38" s="28">
        <f t="shared" ref="W38:W42" si="27">+AD38+AK38</f>
        <v>1</v>
      </c>
      <c r="X38" s="86">
        <f t="shared" ref="X38:X42" si="28">+AE38+AL38</f>
        <v>11500</v>
      </c>
      <c r="Y38" s="86">
        <f t="shared" ref="Y38:Y42" si="29">+AF38+AM38</f>
        <v>5500</v>
      </c>
      <c r="Z38" s="86">
        <f t="shared" ref="Z38:Z42" si="30">+AG38+AN38</f>
        <v>6000</v>
      </c>
      <c r="AA38" s="86">
        <f t="shared" ref="AA38:AA42" si="31">+AH38+AO38</f>
        <v>0</v>
      </c>
      <c r="AB38" s="86">
        <f t="shared" ref="AB38:AB42" si="32">+AI38+AP38</f>
        <v>0</v>
      </c>
      <c r="AC38" s="30">
        <f t="shared" ref="AC38:AC42" si="33">+AJ38+AQ38</f>
        <v>20</v>
      </c>
      <c r="AD38" s="28">
        <f>+COUNTIFS(манзилли!$J:$J,'свод (соҳа)'!$B38,манзилли!$AB:$AB,"&gt;31.12.2020",манзилли!$AA:$AA,"&gt;31.12.2020",манзилли!$AA:$AA,"&lt;01.01.2022")</f>
        <v>1</v>
      </c>
      <c r="AE38" s="86">
        <f>(+SUMIFS(манзилли!$L:$L,манзилли!$J:$J,'свод (соҳа)'!$B38,манзилли!$AB:$AB,"&gt;31.12.2020",манзилли!$AA:$AA,"&gt;31.12.2020",манзилли!$AA:$AA,"&lt;01.01.2022"))</f>
        <v>11500</v>
      </c>
      <c r="AF38" s="86">
        <f>(+SUMIFS(манзилли!$N:$N,манзилли!$J:$J,'свод (соҳа)'!$B38,манзилли!$AB:$AB,"&gt;31.12.2020",манзилли!$AA:$AA,"&gt;31.12.2020",манзилли!$AA:$AA,"&lt;01.01.2022"))</f>
        <v>5500</v>
      </c>
      <c r="AG38" s="86">
        <f>(+SUMIFS(манзилли!$R:$R,манзилли!$J:$J,'свод (соҳа)'!$B38,манзилли!$AB:$AB,"&gt;31.12.2020",манзилли!$AA:$AA,"&gt;31.12.2020",манзилли!$AA:$AA,"&lt;01.01.2022"))</f>
        <v>6000</v>
      </c>
      <c r="AH38" s="86">
        <f>(+SUMIFS(манзилли!$T:$T,манзилли!$J:$J,'свод (соҳа)'!$B38,манзилли!$AB:$AB,"&gt;31.12.2020",манзилли!$AA:$AA,"&gt;31.12.2020",манзилли!$AA:$AA,"&lt;01.01.2022"))</f>
        <v>0</v>
      </c>
      <c r="AI38" s="86">
        <f>(+SUMIFS(манзилли!$V:$V,манзилли!$J:$J,'свод (соҳа)'!$B38,манзилли!$AB:$AB,"&gt;31.12.2020",манзилли!$AA:$AA,"&gt;31.12.2020",манзилли!$AA:$AA,"&lt;01.01.2022"))</f>
        <v>0</v>
      </c>
      <c r="AJ38" s="30">
        <f>+SUMIFS(манзилли!$Z:$Z,манзилли!$J:$J,'свод (соҳа)'!$B38,манзилли!$AB:$AB,"&gt;31.12.2020",манзилли!$AA:$AA,"&gt;31.12.2020",манзилли!$AA:$AA,"&lt;01.01.2022")</f>
        <v>20</v>
      </c>
      <c r="AK38" s="28">
        <f>+COUNTIFS('Қўшимча ишга тушган'!$J:$J,'свод (соҳа)'!B38,'Қўшимча ишга тушган'!$AO:$AO,"&lt;01.10.2023")</f>
        <v>0</v>
      </c>
      <c r="AL38" s="86">
        <f>(+SUMIFS('Қўшимча ишга тушган'!$T:$T,'Қўшимча ишга тушган'!$J:$J,'свод (соҳа)'!$B38,'Қўшимча ишга тушган'!$AO:$AO,"&lt;01.10.2023"))</f>
        <v>0</v>
      </c>
      <c r="AM38" s="86">
        <f>(+SUMIFS('Қўшимча ишга тушган'!$V:$V,'Қўшимча ишга тушган'!$J:$J,'свод (соҳа)'!$B38,'Қўшимча ишга тушган'!$AO:$AO,"&lt;01.10.2023"))</f>
        <v>0</v>
      </c>
      <c r="AN38" s="86">
        <f>(+SUMIFS('Қўшимча ишга тушган'!$Z:$Z,'Қўшимча ишга тушган'!$J:$J,'свод (соҳа)'!$B38,'Қўшимча ишга тушган'!$AO:$AO,"&lt;01.10.2023"))</f>
        <v>0</v>
      </c>
      <c r="AO38" s="86">
        <f>(+SUMIFS('Қўшимча ишга тушган'!$AB:$AB,'Қўшимча ишга тушган'!$J:$J,'свод (соҳа)'!$B38,'Қўшимча ишга тушган'!$AO:$AO,"&lt;01.10.2023"))</f>
        <v>0</v>
      </c>
      <c r="AP38" s="86">
        <f>(+SUMIFS('Қўшимча ишга тушган'!$AD:$AD,'Қўшимча ишга тушган'!$J:$J,'свод (соҳа)'!$B38,'Қўшимча ишга тушган'!$AO:$AO,"&lt;01.10.2023"))</f>
        <v>0</v>
      </c>
      <c r="AQ38" s="30">
        <f>+SUMIFS('Қўшимча ишга тушган'!$AM:$AM,'Қўшимча ишга тушган'!$J:$J,'свод (соҳа)'!$B38,'Қўшимча ишга тушган'!$AO:$AO,"&lt;01.10.2023")</f>
        <v>0</v>
      </c>
      <c r="AR38" s="28">
        <f>+COUNTIFS(манзилли!$J:$J,'свод (соҳа)'!$B38,манзилли!$AA:$AA,"&lt;01.02.2021",манзилли!$AB:$AB,"")</f>
        <v>0</v>
      </c>
      <c r="AS38" s="86">
        <f>(+SUMIFS(манзилли!$K:$K,манзилли!$J:$J,'свод (соҳа)'!$B38,манзилли!$AA:$AA,"&lt;01.02.2021",манзилли!$AB:$AB,""))</f>
        <v>0</v>
      </c>
      <c r="AT38" s="86">
        <f>(+SUMIFS(манзилли!$M:$M,манзилли!$J:$J,'свод (соҳа)'!$B38,манзилли!$AA:$AA,"&lt;01.02.2021",манзилли!$AB:$AB,""))</f>
        <v>0</v>
      </c>
      <c r="AU38" s="86">
        <f>(+SUMIFS(манзилли!$Q:$Q,манзилли!$J:$J,'свод (соҳа)'!$B38,манзилли!$AA:$AA,"&lt;01.02.2021",манзилли!$AB:$AB,""))</f>
        <v>0</v>
      </c>
      <c r="AV38" s="86">
        <f>(+SUMIFS(манзилли!$S:$S,манзилли!$J:$J,'свод (соҳа)'!$B38,манзилли!$AA:$AA,"&lt;01.02.2021",манзилли!$AB:$AB,""))</f>
        <v>0</v>
      </c>
      <c r="AW38" s="86">
        <f>(+SUMIFS(манзилли!$U:$U,манзилли!$J:$J,'свод (соҳа)'!$B38,манзилли!$AA:$AA,"&lt;01.02.2021",манзилли!$AB:$AB,""))</f>
        <v>0</v>
      </c>
      <c r="AX38" s="30">
        <f>+SUMIFS(манзилли!$Y:$Y,манзилли!$J:$J,'свод (соҳа)'!$B38,манзилли!$AA:$AA,"&lt;01.02.2021",манзилли!$AB:$AB,"")</f>
        <v>0</v>
      </c>
      <c r="AY38" s="28">
        <f>+COUNTIFS(манзилли!$J:$J,'свод (соҳа)'!$B38,манзилли!$AA:$AA,"&lt;01.01.2022",манзилли!$AB:$AB,"")</f>
        <v>30</v>
      </c>
      <c r="AZ38" s="86">
        <f>(+SUMIFS(манзилли!$K:$K,манзилли!$J:$J,'свод (соҳа)'!$B38,манзилли!$AA:$AA,"&lt;01.01.2022",манзилли!$AB:$AB,""))</f>
        <v>220205</v>
      </c>
      <c r="BA38" s="86">
        <f>(+SUMIFS(манзилли!$M:$M,манзилли!$J:$J,'свод (соҳа)'!$B38,манзилли!$AA:$AA,"&lt;01.01.2022",манзилли!$AB:$AB,""))</f>
        <v>128585</v>
      </c>
      <c r="BB38" s="86">
        <f>(+SUMIFS(манзилли!$Q:$Q,манзилли!$J:$J,'свод (соҳа)'!$B38,манзилли!$AA:$AA,"&lt;01.01.2022",манзилли!$AB:$AB,""))</f>
        <v>40120</v>
      </c>
      <c r="BC38" s="86">
        <f>(+SUMIFS(манзилли!$S:$S,манзилли!$J:$J,'свод (соҳа)'!$B38,манзилли!$AA:$AA,"&lt;01.01.2022",манзилли!$AB:$AB,""))</f>
        <v>0</v>
      </c>
      <c r="BD38" s="86">
        <f>(+SUMIFS(манзилли!$U:$U,манзилли!$J:$J,'свод (соҳа)'!$B38,манзилли!$AA:$AA,"&lt;01.01.2022",манзилли!$AB:$AB,""))</f>
        <v>5000</v>
      </c>
      <c r="BE38" s="30">
        <f>+SUMIFS(манзилли!$Y:$Y,манзилли!$J:$J,'свод (соҳа)'!$B38,манзилли!$AA:$AA,"&lt;01.01.2022",манзилли!$AB:$AB,"")</f>
        <v>525</v>
      </c>
      <c r="BF38" s="32">
        <f>+COUNTIFS(манзилли!$J:$J,'свод (соҳа)'!$B38,манзилли!$AA:$AA,"&lt;01.01.2023",манзилли!$AA:$AA,"&gt;=01.01.2022")</f>
        <v>2</v>
      </c>
      <c r="BG38" s="86">
        <f>(+SUMIFS(манзилли!$K:$K,манзилли!$J:$J,'свод (соҳа)'!$B38,манзилли!$AA:$AA,"&lt;01.01.2023",манзилли!$AA:$AA,"&gt;=01.01.2022"))</f>
        <v>63500</v>
      </c>
      <c r="BH38" s="90">
        <f>(+SUMIFS(манзилли!$M:$M,манзилли!$J:$J,'свод (соҳа)'!$B38,манзилли!$AA:$AA,"&lt;01.01.2023",манзилли!$AA:$AA,"&gt;=01.01.2022"))</f>
        <v>7000</v>
      </c>
      <c r="BI38" s="90">
        <f>(+SUMIFS(манзилли!$Q:$Q,манзилли!$J:$J,'свод (соҳа)'!$B38,манзилли!$AA:$AA,"&lt;01.01.2023",манзилли!$AA:$AA,"&gt;=01.01.2022"))</f>
        <v>5000</v>
      </c>
      <c r="BJ38" s="90">
        <f>(+SUMIFS(манзилли!$S:$S,манзилли!$J:$J,'свод (соҳа)'!$B38,манзилли!$AA:$AA,"&lt;01.01.2023",манзилли!$AA:$AA,"&gt;=01.01.2022"))</f>
        <v>0</v>
      </c>
      <c r="BK38" s="90">
        <f>(+SUMIFS(манзилли!$U:$U,манзилли!$J:$J,'свод (соҳа)'!$B38,манзилли!$AA:$AA,"&lt;01.01.2023",манзилли!$AA:$AA,"&gt;=01.01.2022"))</f>
        <v>5000</v>
      </c>
      <c r="BL38" s="34">
        <f>+SUMIFS(манзилли!$Y:$Y,манзилли!$J:$J,'свод (соҳа)'!$B38,манзилли!$AA:$AA,"&lt;01.01.2023",манзилли!$AA:$AA,"&gt;=01.01.2022")</f>
        <v>50</v>
      </c>
    </row>
    <row r="39" spans="1:64" s="3" customFormat="1" ht="35.25" customHeight="1" outlineLevel="1">
      <c r="A39" s="26">
        <f t="shared" si="26"/>
        <v>4</v>
      </c>
      <c r="B39" s="88" t="s">
        <v>58</v>
      </c>
      <c r="C39" s="28">
        <f>+COUNTIFS(манзилли!$J:$J,'свод (соҳа)'!$B39)</f>
        <v>17</v>
      </c>
      <c r="D39" s="86">
        <f>(+SUMIFS(манзилли!$K:$K,манзилли!$J:$J,'свод (соҳа)'!$B39))</f>
        <v>431232</v>
      </c>
      <c r="E39" s="86">
        <f>(+SUMIFS(манзилли!$M:$M,манзилли!$J:$J,'свод (соҳа)'!$B39))</f>
        <v>145650</v>
      </c>
      <c r="F39" s="86">
        <f>(+SUMIFS(манзилли!$Q:$Q,манзилли!$J:$J,'свод (соҳа)'!$B39))</f>
        <v>239232</v>
      </c>
      <c r="G39" s="86">
        <f>(+SUMIFS(манзилли!$S:$S,манзилли!$J:$J,'свод (соҳа)'!$B39))</f>
        <v>0</v>
      </c>
      <c r="H39" s="86">
        <f>(+SUMIFS(манзилли!$U:$U,манзилли!$J:$J,'свод (соҳа)'!$B39))</f>
        <v>4500</v>
      </c>
      <c r="I39" s="30">
        <f>+SUMIFS(манзилли!$Y:$Y,манзилли!$J:$J,'свод (соҳа)'!$B39)</f>
        <v>435</v>
      </c>
      <c r="J39" s="28">
        <f>+(COUNTIFS(манзилли!$L:$L,"&gt;0",манзилли!$J:$J,'свод (соҳа)'!$B39)+COUNTIFS('Қўшимча ишга тушган'!$T:$T,"&gt;0",'Қўшимча ишга тушган'!$J:$J,'свод (соҳа)'!$B39))</f>
        <v>6</v>
      </c>
      <c r="K39" s="86">
        <f>(+SUMIFS(манзилли!$L:$L,манзилли!$J:$J,'свод (соҳа)'!$B39)+SUMIFS('Қўшимча ишга тушган'!$T:$T,'Қўшимча ишга тушган'!$J:$J,'свод (соҳа)'!$B39))</f>
        <v>57882</v>
      </c>
      <c r="L39" s="86">
        <f>+(SUMIFS(манзилли!$N:$N,манзилли!$J:$J,'свод (соҳа)'!$B39)+SUMIFS('Қўшимча ишга тушган'!$V:$V,'Қўшимча ишга тушган'!$J:$J,'свод (соҳа)'!$B39))</f>
        <v>13600</v>
      </c>
      <c r="M39" s="86">
        <f>(+SUMIFS(манзилли!$R:$R,манзилли!$J:$J,'свод (соҳа)'!$B39)+SUMIFS('Қўшимча ишга тушган'!$Z:$Z,'Қўшимча ишга тушган'!$J:$J,'свод (соҳа)'!$B39))</f>
        <v>44282</v>
      </c>
      <c r="N39" s="86">
        <f>(+SUMIFS(манзилли!$T:$T,манзилли!$J:$J,'свод (соҳа)'!$B39)+SUMIFS('Қўшимча ишга тушган'!$AB:$AB,'Қўшимча ишга тушган'!$J:$J,'свод (соҳа)'!$B39))</f>
        <v>0</v>
      </c>
      <c r="O39" s="30">
        <f>(+SUMIFS(манзилли!$V:$V,манзилли!$J:$J,'свод (соҳа)'!$B39)+SUMIFS('Қўшимча ишга тушган'!$AD:$AD,'Қўшимча ишга тушган'!$J:$J,'свод (соҳа)'!$B39))</f>
        <v>0</v>
      </c>
      <c r="P39" s="28">
        <f>+COUNTIFS(манзилли!$J:$J,'свод (соҳа)'!$B39,манзилли!$AA:$AA,"&gt;31.12.2020",манзилли!$AA:$AA,"&lt;01.01.2022")</f>
        <v>10</v>
      </c>
      <c r="Q39" s="86">
        <f>(+SUMIFS(манзилли!$K:$K,манзилли!$J:$J,'свод (соҳа)'!$B39,манзилли!$AA:$AA,"&gt;31.12.2020",манзилли!$AA:$AA,"&lt;01.01.2022"))</f>
        <v>184732</v>
      </c>
      <c r="R39" s="86">
        <f>(+SUMIFS(манзилли!$M:$M,манзилли!$J:$J,'свод (соҳа)'!$B39,манзилли!$AA:$AA,"&gt;31.12.2020",манзилли!$AA:$AA,"&lt;01.01.2022"))</f>
        <v>47350</v>
      </c>
      <c r="S39" s="86">
        <f>(+SUMIFS(манзилли!$Q:$Q,манзилли!$J:$J,'свод (соҳа)'!$B39,манзилли!$AA:$AA,"&gt;31.12.2020",манзилли!$AA:$AA,"&lt;01.01.2022"))</f>
        <v>91032</v>
      </c>
      <c r="T39" s="86">
        <f>(+SUMIFS(манзилли!$S:$S,манзилли!$J:$J,'свод (соҳа)'!$B39,манзилли!$AA:$AA,"&gt;31.12.2020",манзилли!$AA:$AA,"&lt;01.01.2022"))</f>
        <v>0</v>
      </c>
      <c r="U39" s="86">
        <f>(+SUMIFS(манзилли!$U:$U,манзилли!$J:$J,'свод (соҳа)'!$B39,манзилли!$AA:$AA,"&gt;31.12.2020",манзилли!$AA:$AA,"&lt;01.01.2022"))</f>
        <v>4500</v>
      </c>
      <c r="V39" s="30">
        <f>+SUMIFS(манзилли!$Y:$Y,манзилли!$J:$J,'свод (соҳа)'!$B39,манзилли!$AA:$AA,"&gt;31.12.2020",манзилли!$AA:$AA,"&lt;01.01.2022")</f>
        <v>284</v>
      </c>
      <c r="W39" s="28">
        <f t="shared" si="27"/>
        <v>1</v>
      </c>
      <c r="X39" s="86">
        <f t="shared" si="28"/>
        <v>16000</v>
      </c>
      <c r="Y39" s="86">
        <f t="shared" si="29"/>
        <v>12600</v>
      </c>
      <c r="Z39" s="86">
        <f t="shared" si="30"/>
        <v>3400</v>
      </c>
      <c r="AA39" s="86">
        <f t="shared" si="31"/>
        <v>0</v>
      </c>
      <c r="AB39" s="86">
        <f t="shared" si="32"/>
        <v>0</v>
      </c>
      <c r="AC39" s="30">
        <f t="shared" si="33"/>
        <v>24</v>
      </c>
      <c r="AD39" s="28">
        <f>+COUNTIFS(манзилли!$J:$J,'свод (соҳа)'!$B39,манзилли!$AB:$AB,"&gt;31.12.2020",манзилли!$AA:$AA,"&gt;31.12.2020",манзилли!$AA:$AA,"&lt;01.01.2022")</f>
        <v>1</v>
      </c>
      <c r="AE39" s="86">
        <f>(+SUMIFS(манзилли!$L:$L,манзилли!$J:$J,'свод (соҳа)'!$B39,манзилли!$AB:$AB,"&gt;31.12.2020",манзилли!$AA:$AA,"&gt;31.12.2020",манзилли!$AA:$AA,"&lt;01.01.2022"))</f>
        <v>16000</v>
      </c>
      <c r="AF39" s="86">
        <f>(+SUMIFS(манзилли!$N:$N,манзилли!$J:$J,'свод (соҳа)'!$B39,манзилли!$AB:$AB,"&gt;31.12.2020",манзилли!$AA:$AA,"&gt;31.12.2020",манзилли!$AA:$AA,"&lt;01.01.2022"))</f>
        <v>12600</v>
      </c>
      <c r="AG39" s="86">
        <f>(+SUMIFS(манзилли!$R:$R,манзилли!$J:$J,'свод (соҳа)'!$B39,манзилли!$AB:$AB,"&gt;31.12.2020",манзилли!$AA:$AA,"&gt;31.12.2020",манзилли!$AA:$AA,"&lt;01.01.2022"))</f>
        <v>3400</v>
      </c>
      <c r="AH39" s="86">
        <f>(+SUMIFS(манзилли!$T:$T,манзилли!$J:$J,'свод (соҳа)'!$B39,манзилли!$AB:$AB,"&gt;31.12.2020",манзилли!$AA:$AA,"&gt;31.12.2020",манзилли!$AA:$AA,"&lt;01.01.2022"))</f>
        <v>0</v>
      </c>
      <c r="AI39" s="86">
        <f>(+SUMIFS(манзилли!$V:$V,манзилли!$J:$J,'свод (соҳа)'!$B39,манзилли!$AB:$AB,"&gt;31.12.2020",манзилли!$AA:$AA,"&gt;31.12.2020",манзилли!$AA:$AA,"&lt;01.01.2022"))</f>
        <v>0</v>
      </c>
      <c r="AJ39" s="30">
        <f>+SUMIFS(манзилли!$Z:$Z,манзилли!$J:$J,'свод (соҳа)'!$B39,манзилли!$AB:$AB,"&gt;31.12.2020",манзилли!$AA:$AA,"&gt;31.12.2020",манзилли!$AA:$AA,"&lt;01.01.2022")</f>
        <v>24</v>
      </c>
      <c r="AK39" s="28">
        <f>+COUNTIFS('Қўшимча ишга тушган'!$J:$J,'свод (соҳа)'!B39,'Қўшимча ишга тушган'!$AO:$AO,"&lt;01.10.2023")</f>
        <v>0</v>
      </c>
      <c r="AL39" s="86">
        <f>(+SUMIFS('Қўшимча ишга тушган'!$T:$T,'Қўшимча ишга тушган'!$J:$J,'свод (соҳа)'!$B39,'Қўшимча ишга тушган'!$AO:$AO,"&lt;01.10.2023"))</f>
        <v>0</v>
      </c>
      <c r="AM39" s="86">
        <f>(+SUMIFS('Қўшимча ишга тушган'!$V:$V,'Қўшимча ишга тушган'!$J:$J,'свод (соҳа)'!$B39,'Қўшимча ишга тушган'!$AO:$AO,"&lt;01.10.2023"))</f>
        <v>0</v>
      </c>
      <c r="AN39" s="86">
        <f>(+SUMIFS('Қўшимча ишга тушган'!$Z:$Z,'Қўшимча ишга тушган'!$J:$J,'свод (соҳа)'!$B39,'Қўшимча ишга тушган'!$AO:$AO,"&lt;01.10.2023"))</f>
        <v>0</v>
      </c>
      <c r="AO39" s="86">
        <f>(+SUMIFS('Қўшимча ишга тушган'!$AB:$AB,'Қўшимча ишга тушган'!$J:$J,'свод (соҳа)'!$B39,'Қўшимча ишга тушган'!$AO:$AO,"&lt;01.10.2023"))</f>
        <v>0</v>
      </c>
      <c r="AP39" s="86">
        <f>(+SUMIFS('Қўшимча ишга тушган'!$AD:$AD,'Қўшимча ишга тушган'!$J:$J,'свод (соҳа)'!$B39,'Қўшимча ишга тушган'!$AO:$AO,"&lt;01.10.2023"))</f>
        <v>0</v>
      </c>
      <c r="AQ39" s="30">
        <f>+SUMIFS('Қўшимча ишга тушган'!$AM:$AM,'Қўшимча ишга тушган'!$J:$J,'свод (соҳа)'!$B39,'Қўшимча ишга тушган'!$AO:$AO,"&lt;01.10.2023")</f>
        <v>0</v>
      </c>
      <c r="AR39" s="28">
        <f>+COUNTIFS(манзилли!$J:$J,'свод (соҳа)'!$B39,манзилли!$AA:$AA,"&lt;01.02.2021",манзилли!$AB:$AB,"")</f>
        <v>0</v>
      </c>
      <c r="AS39" s="86">
        <f>(+SUMIFS(манзилли!$K:$K,манзилли!$J:$J,'свод (соҳа)'!$B39,манзилли!$AA:$AA,"&lt;01.02.2021",манзилли!$AB:$AB,""))</f>
        <v>0</v>
      </c>
      <c r="AT39" s="86">
        <f>(+SUMIFS(манзилли!$M:$M,манзилли!$J:$J,'свод (соҳа)'!$B39,манзилли!$AA:$AA,"&lt;01.02.2021",манзилли!$AB:$AB,""))</f>
        <v>0</v>
      </c>
      <c r="AU39" s="86">
        <f>(+SUMIFS(манзилли!$Q:$Q,манзилли!$J:$J,'свод (соҳа)'!$B39,манзилли!$AA:$AA,"&lt;01.02.2021",манзилли!$AB:$AB,""))</f>
        <v>0</v>
      </c>
      <c r="AV39" s="86">
        <f>(+SUMIFS(манзилли!$S:$S,манзилли!$J:$J,'свод (соҳа)'!$B39,манзилли!$AA:$AA,"&lt;01.02.2021",манзилли!$AB:$AB,""))</f>
        <v>0</v>
      </c>
      <c r="AW39" s="86">
        <f>(+SUMIFS(манзилли!$U:$U,манзилли!$J:$J,'свод (соҳа)'!$B39,манзилли!$AA:$AA,"&lt;01.02.2021",манзилли!$AB:$AB,""))</f>
        <v>0</v>
      </c>
      <c r="AX39" s="30">
        <f>+SUMIFS(манзилли!$Y:$Y,манзилли!$J:$J,'свод (соҳа)'!$B39,манзилли!$AA:$AA,"&lt;01.02.2021",манзилли!$AB:$AB,"")</f>
        <v>0</v>
      </c>
      <c r="AY39" s="28">
        <f>+COUNTIFS(манзилли!$J:$J,'свод (соҳа)'!$B39,манзилли!$AA:$AA,"&lt;01.01.2022",манзилли!$AB:$AB,"")</f>
        <v>8</v>
      </c>
      <c r="AZ39" s="86">
        <f>(+SUMIFS(манзилли!$K:$K,манзилли!$J:$J,'свод (соҳа)'!$B39,манзилли!$AA:$AA,"&lt;01.01.2022",манзилли!$AB:$AB,""))</f>
        <v>164532</v>
      </c>
      <c r="BA39" s="86">
        <f>(+SUMIFS(манзилли!$M:$M,манзилли!$J:$J,'свод (соҳа)'!$B39,манзилли!$AA:$AA,"&lt;01.01.2022",манзилли!$AB:$AB,""))</f>
        <v>39350</v>
      </c>
      <c r="BB39" s="86">
        <f>(+SUMIFS(манзилли!$Q:$Q,манзилли!$J:$J,'свод (соҳа)'!$B39,манзилли!$AA:$AA,"&lt;01.01.2022",манзилли!$AB:$AB,""))</f>
        <v>78832</v>
      </c>
      <c r="BC39" s="86">
        <f>(+SUMIFS(манзилли!$S:$S,манзилли!$J:$J,'свод (соҳа)'!$B39,манзилли!$AA:$AA,"&lt;01.01.2022",манзилли!$AB:$AB,""))</f>
        <v>0</v>
      </c>
      <c r="BD39" s="86">
        <f>(+SUMIFS(манзилли!$U:$U,манзилли!$J:$J,'свод (соҳа)'!$B39,манзилли!$AA:$AA,"&lt;01.01.2022",манзилли!$AB:$AB,""))</f>
        <v>4500</v>
      </c>
      <c r="BE39" s="30">
        <f>+SUMIFS(манзилли!$Y:$Y,манзилли!$J:$J,'свод (соҳа)'!$B39,манзилли!$AA:$AA,"&lt;01.01.2022",манзилли!$AB:$AB,"")</f>
        <v>250</v>
      </c>
      <c r="BF39" s="28">
        <f>+COUNTIFS(манзилли!$J:$J,'свод (соҳа)'!$B39,манзилли!$AA:$AA,"&lt;01.01.2023",манзилли!$AA:$AA,"&gt;=01.01.2022")</f>
        <v>7</v>
      </c>
      <c r="BG39" s="86">
        <f>(+SUMIFS(манзилли!$K:$K,манзилли!$J:$J,'свод (соҳа)'!$B39,манзилли!$AA:$AA,"&lt;01.01.2023",манзилли!$AA:$AA,"&gt;=01.01.2022"))</f>
        <v>246500</v>
      </c>
      <c r="BH39" s="86">
        <f>(+SUMIFS(манзилли!$M:$M,манзилли!$J:$J,'свод (соҳа)'!$B39,манзилли!$AA:$AA,"&lt;01.01.2023",манзилли!$AA:$AA,"&gt;=01.01.2022"))</f>
        <v>98300</v>
      </c>
      <c r="BI39" s="86">
        <f>(+SUMIFS(манзилли!$Q:$Q,манзилли!$J:$J,'свод (соҳа)'!$B39,манзилли!$AA:$AA,"&lt;01.01.2023",манзилли!$AA:$AA,"&gt;=01.01.2022"))</f>
        <v>148200</v>
      </c>
      <c r="BJ39" s="86">
        <f>(+SUMIFS(манзилли!$S:$S,манзилли!$J:$J,'свод (соҳа)'!$B39,манзилли!$AA:$AA,"&lt;01.01.2023",манзилли!$AA:$AA,"&gt;=01.01.2022"))</f>
        <v>0</v>
      </c>
      <c r="BK39" s="86">
        <f>(+SUMIFS(манзилли!$U:$U,манзилли!$J:$J,'свод (соҳа)'!$B39,манзилли!$AA:$AA,"&lt;01.01.2023",манзилли!$AA:$AA,"&gt;=01.01.2022"))</f>
        <v>0</v>
      </c>
      <c r="BL39" s="30">
        <f>+SUMIFS(манзилли!$Y:$Y,манзилли!$J:$J,'свод (соҳа)'!$B39,манзилли!$AA:$AA,"&lt;01.01.2023",манзилли!$AA:$AA,"&gt;=01.01.2022")</f>
        <v>151</v>
      </c>
    </row>
    <row r="40" spans="1:64" s="3" customFormat="1" ht="35.25" customHeight="1" outlineLevel="1">
      <c r="A40" s="26">
        <f t="shared" si="26"/>
        <v>5</v>
      </c>
      <c r="B40" s="88" t="s">
        <v>46</v>
      </c>
      <c r="C40" s="28">
        <f>+COUNTIFS(манзилли!$J:$J,'свод (соҳа)'!$B40)</f>
        <v>3</v>
      </c>
      <c r="D40" s="86">
        <f>(+SUMIFS(манзилли!$K:$K,манзилли!$J:$J,'свод (соҳа)'!$B40))</f>
        <v>13600</v>
      </c>
      <c r="E40" s="86">
        <f>(+SUMIFS(манзилли!$M:$M,манзилли!$J:$J,'свод (соҳа)'!$B40))</f>
        <v>5200</v>
      </c>
      <c r="F40" s="86">
        <f>(+SUMIFS(манзилли!$Q:$Q,манзилли!$J:$J,'свод (соҳа)'!$B40))</f>
        <v>8400</v>
      </c>
      <c r="G40" s="86">
        <f>(+SUMIFS(манзилли!$S:$S,манзилли!$J:$J,'свод (соҳа)'!$B40))</f>
        <v>0</v>
      </c>
      <c r="H40" s="86">
        <f>(+SUMIFS(манзилли!$U:$U,манзилли!$J:$J,'свод (соҳа)'!$B40))</f>
        <v>0</v>
      </c>
      <c r="I40" s="30">
        <f>+SUMIFS(манзилли!$Y:$Y,манзилли!$J:$J,'свод (соҳа)'!$B40)</f>
        <v>50</v>
      </c>
      <c r="J40" s="28">
        <f>+(COUNTIFS(манзилли!$L:$L,"&gt;0",манзилли!$J:$J,'свод (соҳа)'!$B40)+COUNTIFS('Қўшимча ишга тушган'!$T:$T,"&gt;0",'Қўшимча ишга тушган'!$J:$J,'свод (соҳа)'!$B40))</f>
        <v>1</v>
      </c>
      <c r="K40" s="86">
        <f>(+SUMIFS(манзилли!$L:$L,манзилли!$J:$J,'свод (соҳа)'!$B40)+SUMIFS('Қўшимча ишга тушган'!$T:$T,'Қўшимча ишга тушган'!$J:$J,'свод (соҳа)'!$B40))</f>
        <v>4200</v>
      </c>
      <c r="L40" s="86">
        <f>+(SUMIFS(манзилли!$N:$N,манзилли!$J:$J,'свод (соҳа)'!$B40)+SUMIFS('Қўшимча ишга тушган'!$V:$V,'Қўшимча ишга тушган'!$J:$J,'свод (соҳа)'!$B40))</f>
        <v>0</v>
      </c>
      <c r="M40" s="86">
        <f>(+SUMIFS(манзилли!$R:$R,манзилли!$J:$J,'свод (соҳа)'!$B40)+SUMIFS('Қўшимча ишга тушган'!$Z:$Z,'Қўшимча ишга тушган'!$J:$J,'свод (соҳа)'!$B40))</f>
        <v>4200</v>
      </c>
      <c r="N40" s="86">
        <f>(+SUMIFS(манзилли!$T:$T,манзилли!$J:$J,'свод (соҳа)'!$B40)+SUMIFS('Қўшимча ишга тушган'!$AB:$AB,'Қўшимча ишга тушган'!$J:$J,'свод (соҳа)'!$B40))</f>
        <v>0</v>
      </c>
      <c r="O40" s="30">
        <f>(+SUMIFS(манзилли!$V:$V,манзилли!$J:$J,'свод (соҳа)'!$B40)+SUMIFS('Қўшимча ишга тушган'!$AD:$AD,'Қўшимча ишга тушган'!$J:$J,'свод (соҳа)'!$B40))</f>
        <v>0</v>
      </c>
      <c r="P40" s="28">
        <f>+COUNTIFS(манзилли!$J:$J,'свод (соҳа)'!$B40,манзилли!$AA:$AA,"&gt;31.12.2020",манзилли!$AA:$AA,"&lt;01.01.2022")</f>
        <v>2</v>
      </c>
      <c r="Q40" s="86">
        <f>(+SUMIFS(манзилли!$K:$K,манзилли!$J:$J,'свод (соҳа)'!$B40,манзилли!$AA:$AA,"&gt;31.12.2020",манзилли!$AA:$AA,"&lt;01.01.2022"))</f>
        <v>1600</v>
      </c>
      <c r="R40" s="86">
        <f>(+SUMIFS(манзилли!$M:$M,манзилли!$J:$J,'свод (соҳа)'!$B40,манзилли!$AA:$AA,"&gt;31.12.2020",манзилли!$AA:$AA,"&lt;01.01.2022"))</f>
        <v>1200</v>
      </c>
      <c r="S40" s="86">
        <f>(+SUMIFS(манзилли!$Q:$Q,манзилли!$J:$J,'свод (соҳа)'!$B40,манзилли!$AA:$AA,"&gt;31.12.2020",манзилли!$AA:$AA,"&lt;01.01.2022"))</f>
        <v>400</v>
      </c>
      <c r="T40" s="86">
        <f>(+SUMIFS(манзилли!$S:$S,манзилли!$J:$J,'свод (соҳа)'!$B40,манзилли!$AA:$AA,"&gt;31.12.2020",манзилли!$AA:$AA,"&lt;01.01.2022"))</f>
        <v>0</v>
      </c>
      <c r="U40" s="86">
        <f>(+SUMIFS(манзилли!$U:$U,манзилли!$J:$J,'свод (соҳа)'!$B40,манзилли!$AA:$AA,"&gt;31.12.2020",манзилли!$AA:$AA,"&lt;01.01.2022"))</f>
        <v>0</v>
      </c>
      <c r="V40" s="30">
        <f>+SUMIFS(манзилли!$Y:$Y,манзилли!$J:$J,'свод (соҳа)'!$B40,манзилли!$AA:$AA,"&gt;31.12.2020",манзилли!$AA:$AA,"&lt;01.01.2022")</f>
        <v>25</v>
      </c>
      <c r="W40" s="28">
        <f t="shared" si="27"/>
        <v>0</v>
      </c>
      <c r="X40" s="86">
        <f t="shared" si="28"/>
        <v>0</v>
      </c>
      <c r="Y40" s="86">
        <f t="shared" si="29"/>
        <v>0</v>
      </c>
      <c r="Z40" s="86">
        <f t="shared" si="30"/>
        <v>0</v>
      </c>
      <c r="AA40" s="86">
        <f t="shared" si="31"/>
        <v>0</v>
      </c>
      <c r="AB40" s="86">
        <f t="shared" si="32"/>
        <v>0</v>
      </c>
      <c r="AC40" s="30">
        <f t="shared" si="33"/>
        <v>0</v>
      </c>
      <c r="AD40" s="28">
        <f>+COUNTIFS(манзилли!$J:$J,'свод (соҳа)'!$B40,манзилли!$AB:$AB,"&gt;31.12.2020",манзилли!$AA:$AA,"&gt;31.12.2020",манзилли!$AA:$AA,"&lt;01.01.2022")</f>
        <v>0</v>
      </c>
      <c r="AE40" s="86">
        <f>(+SUMIFS(манзилли!$L:$L,манзилли!$J:$J,'свод (соҳа)'!$B40,манзилли!$AB:$AB,"&gt;31.12.2020",манзилли!$AA:$AA,"&gt;31.12.2020",манзилли!$AA:$AA,"&lt;01.01.2022"))</f>
        <v>0</v>
      </c>
      <c r="AF40" s="86">
        <f>(+SUMIFS(манзилли!$N:$N,манзилли!$J:$J,'свод (соҳа)'!$B40,манзилли!$AB:$AB,"&gt;31.12.2020",манзилли!$AA:$AA,"&gt;31.12.2020",манзилли!$AA:$AA,"&lt;01.01.2022"))</f>
        <v>0</v>
      </c>
      <c r="AG40" s="86">
        <f>(+SUMIFS(манзилли!$R:$R,манзилли!$J:$J,'свод (соҳа)'!$B40,манзилли!$AB:$AB,"&gt;31.12.2020",манзилли!$AA:$AA,"&gt;31.12.2020",манзилли!$AA:$AA,"&lt;01.01.2022"))</f>
        <v>0</v>
      </c>
      <c r="AH40" s="86">
        <f>(+SUMIFS(манзилли!$T:$T,манзилли!$J:$J,'свод (соҳа)'!$B40,манзилли!$AB:$AB,"&gt;31.12.2020",манзилли!$AA:$AA,"&gt;31.12.2020",манзилли!$AA:$AA,"&lt;01.01.2022"))</f>
        <v>0</v>
      </c>
      <c r="AI40" s="86">
        <f>(+SUMIFS(манзилли!$V:$V,манзилли!$J:$J,'свод (соҳа)'!$B40,манзилли!$AB:$AB,"&gt;31.12.2020",манзилли!$AA:$AA,"&gt;31.12.2020",манзилли!$AA:$AA,"&lt;01.01.2022"))</f>
        <v>0</v>
      </c>
      <c r="AJ40" s="30">
        <f>+SUMIFS(манзилли!$Z:$Z,манзилли!$J:$J,'свод (соҳа)'!$B40,манзилли!$AB:$AB,"&gt;31.12.2020",манзилли!$AA:$AA,"&gt;31.12.2020",манзилли!$AA:$AA,"&lt;01.01.2022")</f>
        <v>0</v>
      </c>
      <c r="AK40" s="28">
        <f>+COUNTIFS('Қўшимча ишга тушган'!$J:$J,'свод (соҳа)'!B40,'Қўшимча ишга тушган'!$AO:$AO,"&lt;01.10.2023")</f>
        <v>0</v>
      </c>
      <c r="AL40" s="86">
        <f>(+SUMIFS('Қўшимча ишга тушган'!$T:$T,'Қўшимча ишга тушган'!$J:$J,'свод (соҳа)'!$B40,'Қўшимча ишга тушган'!$AO:$AO,"&lt;01.10.2023"))</f>
        <v>0</v>
      </c>
      <c r="AM40" s="86">
        <f>(+SUMIFS('Қўшимча ишга тушган'!$V:$V,'Қўшимча ишга тушган'!$J:$J,'свод (соҳа)'!$B40,'Қўшимча ишга тушган'!$AO:$AO,"&lt;01.10.2023"))</f>
        <v>0</v>
      </c>
      <c r="AN40" s="86">
        <f>(+SUMIFS('Қўшимча ишга тушган'!$Z:$Z,'Қўшимча ишга тушган'!$J:$J,'свод (соҳа)'!$B40,'Қўшимча ишга тушган'!$AO:$AO,"&lt;01.10.2023"))</f>
        <v>0</v>
      </c>
      <c r="AO40" s="86">
        <f>(+SUMIFS('Қўшимча ишга тушган'!$AB:$AB,'Қўшимча ишга тушган'!$J:$J,'свод (соҳа)'!$B40,'Қўшимча ишга тушган'!$AO:$AO,"&lt;01.10.2023"))</f>
        <v>0</v>
      </c>
      <c r="AP40" s="86">
        <f>(+SUMIFS('Қўшимча ишга тушган'!$AD:$AD,'Қўшимча ишга тушган'!$J:$J,'свод (соҳа)'!$B40,'Қўшимча ишга тушган'!$AO:$AO,"&lt;01.10.2023"))</f>
        <v>0</v>
      </c>
      <c r="AQ40" s="30">
        <f>+SUMIFS('Қўшимча ишга тушган'!$AM:$AM,'Қўшимча ишга тушган'!$J:$J,'свод (соҳа)'!$B40,'Қўшимча ишга тушган'!$AO:$AO,"&lt;01.10.2023")</f>
        <v>0</v>
      </c>
      <c r="AR40" s="28">
        <f>+COUNTIFS(манзилли!$J:$J,'свод (соҳа)'!$B40,манзилли!$AA:$AA,"&lt;01.02.2021",манзилли!$AB:$AB,"")</f>
        <v>0</v>
      </c>
      <c r="AS40" s="86">
        <f>(+SUMIFS(манзилли!$K:$K,манзилли!$J:$J,'свод (соҳа)'!$B40,манзилли!$AA:$AA,"&lt;01.02.2021",манзилли!$AB:$AB,""))</f>
        <v>0</v>
      </c>
      <c r="AT40" s="86">
        <f>(+SUMIFS(манзилли!$M:$M,манзилли!$J:$J,'свод (соҳа)'!$B40,манзилли!$AA:$AA,"&lt;01.02.2021",манзилли!$AB:$AB,""))</f>
        <v>0</v>
      </c>
      <c r="AU40" s="86">
        <f>(+SUMIFS(манзилли!$Q:$Q,манзилли!$J:$J,'свод (соҳа)'!$B40,манзилли!$AA:$AA,"&lt;01.02.2021",манзилли!$AB:$AB,""))</f>
        <v>0</v>
      </c>
      <c r="AV40" s="86">
        <f>(+SUMIFS(манзилли!$S:$S,манзилли!$J:$J,'свод (соҳа)'!$B40,манзилли!$AA:$AA,"&lt;01.02.2021",манзилли!$AB:$AB,""))</f>
        <v>0</v>
      </c>
      <c r="AW40" s="86">
        <f>(+SUMIFS(манзилли!$U:$U,манзилли!$J:$J,'свод (соҳа)'!$B40,манзилли!$AA:$AA,"&lt;01.02.2021",манзилли!$AB:$AB,""))</f>
        <v>0</v>
      </c>
      <c r="AX40" s="30">
        <f>+SUMIFS(манзилли!$Y:$Y,манзилли!$J:$J,'свод (соҳа)'!$B40,манзилли!$AA:$AA,"&lt;01.02.2021",манзилли!$AB:$AB,"")</f>
        <v>0</v>
      </c>
      <c r="AY40" s="28">
        <f>+COUNTIFS(манзилли!$J:$J,'свод (соҳа)'!$B40,манзилли!$AA:$AA,"&lt;01.01.2022",манзилли!$AB:$AB,"")</f>
        <v>2</v>
      </c>
      <c r="AZ40" s="86">
        <f>(+SUMIFS(манзилли!$K:$K,манзилли!$J:$J,'свод (соҳа)'!$B40,манзилли!$AA:$AA,"&lt;01.01.2022",манзилли!$AB:$AB,""))</f>
        <v>1600</v>
      </c>
      <c r="BA40" s="86">
        <f>(+SUMIFS(манзилли!$M:$M,манзилли!$J:$J,'свод (соҳа)'!$B40,манзилли!$AA:$AA,"&lt;01.01.2022",манзилли!$AB:$AB,""))</f>
        <v>1200</v>
      </c>
      <c r="BB40" s="86">
        <f>(+SUMIFS(манзилли!$Q:$Q,манзилли!$J:$J,'свод (соҳа)'!$B40,манзилли!$AA:$AA,"&lt;01.01.2022",манзилли!$AB:$AB,""))</f>
        <v>400</v>
      </c>
      <c r="BC40" s="86">
        <f>(+SUMIFS(манзилли!$S:$S,манзилли!$J:$J,'свод (соҳа)'!$B40,манзилли!$AA:$AA,"&lt;01.01.2022",манзилли!$AB:$AB,""))</f>
        <v>0</v>
      </c>
      <c r="BD40" s="86">
        <f>(+SUMIFS(манзилли!$U:$U,манзилли!$J:$J,'свод (соҳа)'!$B40,манзилли!$AA:$AA,"&lt;01.01.2022",манзилли!$AB:$AB,""))</f>
        <v>0</v>
      </c>
      <c r="BE40" s="30">
        <f>+SUMIFS(манзилли!$Y:$Y,манзилли!$J:$J,'свод (соҳа)'!$B40,манзилли!$AA:$AA,"&lt;01.01.2022",манзилли!$AB:$AB,"")</f>
        <v>25</v>
      </c>
      <c r="BF40" s="28">
        <f>+COUNTIFS(манзилли!$J:$J,'свод (соҳа)'!$B40,манзилли!$AA:$AA,"&lt;01.01.2023",манзилли!$AA:$AA,"&gt;=01.01.2022")</f>
        <v>1</v>
      </c>
      <c r="BG40" s="86">
        <f>(+SUMIFS(манзилли!$K:$K,манзилли!$J:$J,'свод (соҳа)'!$B40,манзилли!$AA:$AA,"&lt;01.01.2023",манзилли!$AA:$AA,"&gt;=01.01.2022"))</f>
        <v>12000</v>
      </c>
      <c r="BH40" s="86">
        <f>(+SUMIFS(манзилли!$M:$M,манзилли!$J:$J,'свод (соҳа)'!$B40,манзилли!$AA:$AA,"&lt;01.01.2023",манзилли!$AA:$AA,"&gt;=01.01.2022"))</f>
        <v>4000</v>
      </c>
      <c r="BI40" s="86">
        <f>(+SUMIFS(манзилли!$Q:$Q,манзилли!$J:$J,'свод (соҳа)'!$B40,манзилли!$AA:$AA,"&lt;01.01.2023",манзилли!$AA:$AA,"&gt;=01.01.2022"))</f>
        <v>8000</v>
      </c>
      <c r="BJ40" s="86">
        <f>(+SUMIFS(манзилли!$S:$S,манзилли!$J:$J,'свод (соҳа)'!$B40,манзилли!$AA:$AA,"&lt;01.01.2023",манзилли!$AA:$AA,"&gt;=01.01.2022"))</f>
        <v>0</v>
      </c>
      <c r="BK40" s="86">
        <f>(+SUMIFS(манзилли!$U:$U,манзилли!$J:$J,'свод (соҳа)'!$B40,манзилли!$AA:$AA,"&lt;01.01.2023",манзилли!$AA:$AA,"&gt;=01.01.2022"))</f>
        <v>0</v>
      </c>
      <c r="BL40" s="30">
        <f>+SUMIFS(манзилли!$Y:$Y,манзилли!$J:$J,'свод (соҳа)'!$B40,манзилли!$AA:$AA,"&lt;01.01.2023",манзилли!$AA:$AA,"&gt;=01.01.2022")</f>
        <v>25</v>
      </c>
    </row>
    <row r="41" spans="1:64" s="3" customFormat="1" ht="35.25" customHeight="1" outlineLevel="1">
      <c r="A41" s="26">
        <f t="shared" si="26"/>
        <v>6</v>
      </c>
      <c r="B41" s="88" t="s">
        <v>45</v>
      </c>
      <c r="C41" s="28">
        <f>+COUNTIFS(манзилли!$J:$J,'свод (соҳа)'!$B41)</f>
        <v>42</v>
      </c>
      <c r="D41" s="86">
        <f>(+SUMIFS(манзилли!$K:$K,манзилли!$J:$J,'свод (соҳа)'!$B41))</f>
        <v>134692</v>
      </c>
      <c r="E41" s="86">
        <f>(+SUMIFS(манзилли!$M:$M,манзилли!$J:$J,'свод (соҳа)'!$B41))</f>
        <v>54430</v>
      </c>
      <c r="F41" s="86">
        <f>(+SUMIFS(манзилли!$Q:$Q,манзилли!$J:$J,'свод (соҳа)'!$B41))</f>
        <v>45330</v>
      </c>
      <c r="G41" s="86">
        <f>(+SUMIFS(манзилли!$S:$S,манзилли!$J:$J,'свод (соҳа)'!$B41))</f>
        <v>3520</v>
      </c>
      <c r="H41" s="86">
        <f>(+SUMIFS(манзилли!$U:$U,манзилли!$J:$J,'свод (соҳа)'!$B41))</f>
        <v>0</v>
      </c>
      <c r="I41" s="30">
        <f>+SUMIFS(манзилли!$Y:$Y,манзилли!$J:$J,'свод (соҳа)'!$B41)</f>
        <v>207</v>
      </c>
      <c r="J41" s="28">
        <f>+(COUNTIFS(манзилли!$L:$L,"&gt;0",манзилли!$J:$J,'свод (соҳа)'!$B41)+COUNTIFS('Қўшимча ишга тушган'!$T:$T,"&gt;0",'Қўшимча ишга тушган'!$J:$J,'свод (соҳа)'!$B41))</f>
        <v>26</v>
      </c>
      <c r="K41" s="86">
        <f>(+SUMIFS(манзилли!$L:$L,манзилли!$J:$J,'свод (соҳа)'!$B41)+SUMIFS('Қўшимча ишга тушган'!$T:$T,'Қўшимча ишга тушган'!$J:$J,'свод (соҳа)'!$B41))</f>
        <v>54014.419999999991</v>
      </c>
      <c r="L41" s="86">
        <f>+(SUMIFS(манзилли!$N:$N,манзилли!$J:$J,'свод (соҳа)'!$B41)+SUMIFS('Қўшимча ишга тушган'!$V:$V,'Қўшимча ишга тушган'!$J:$J,'свод (соҳа)'!$B41))</f>
        <v>5825</v>
      </c>
      <c r="M41" s="86">
        <f>(+SUMIFS(манзилли!$R:$R,манзилли!$J:$J,'свод (соҳа)'!$B41)+SUMIFS('Қўшимча ишга тушган'!$Z:$Z,'Қўшимча ишга тушган'!$J:$J,'свод (соҳа)'!$B41))</f>
        <v>16208</v>
      </c>
      <c r="N41" s="86">
        <f>(+SUMIFS(манзилли!$T:$T,манзилли!$J:$J,'свод (соҳа)'!$B41)+SUMIFS('Қўшимча ишга тушган'!$AB:$AB,'Қўшимча ишга тушган'!$J:$J,'свод (соҳа)'!$B41))</f>
        <v>3131.1</v>
      </c>
      <c r="O41" s="30">
        <f>(+SUMIFS(манзилли!$V:$V,манзилли!$J:$J,'свод (соҳа)'!$B41)+SUMIFS('Қўшимча ишга тушган'!$AD:$AD,'Қўшимча ишга тушган'!$J:$J,'свод (соҳа)'!$B41))</f>
        <v>0</v>
      </c>
      <c r="P41" s="28">
        <f>+COUNTIFS(манзилли!$J:$J,'свод (соҳа)'!$B41,манзилли!$AA:$AA,"&gt;31.12.2020",манзилли!$AA:$AA,"&lt;01.01.2022")</f>
        <v>25</v>
      </c>
      <c r="Q41" s="86">
        <f>(+SUMIFS(манзилли!$K:$K,манзилли!$J:$J,'свод (соҳа)'!$B41,манзилли!$AA:$AA,"&gt;31.12.2020",манзилли!$AA:$AA,"&lt;01.01.2022"))</f>
        <v>94255</v>
      </c>
      <c r="R41" s="86">
        <f>(+SUMIFS(манзилли!$M:$M,манзилли!$J:$J,'свод (соҳа)'!$B41,манзилли!$AA:$AA,"&gt;31.12.2020",манзилли!$AA:$AA,"&lt;01.01.2022"))</f>
        <v>40470</v>
      </c>
      <c r="S41" s="86">
        <f>(+SUMIFS(манзилли!$Q:$Q,манзилли!$J:$J,'свод (соҳа)'!$B41,манзилли!$AA:$AA,"&gt;31.12.2020",манзилли!$AA:$AA,"&lt;01.01.2022"))</f>
        <v>28220</v>
      </c>
      <c r="T41" s="86">
        <f>(+SUMIFS(манзилли!$S:$S,манзилли!$J:$J,'свод (соҳа)'!$B41,манзилли!$AA:$AA,"&gt;31.12.2020",манзилли!$AA:$AA,"&lt;01.01.2022"))</f>
        <v>2550</v>
      </c>
      <c r="U41" s="86">
        <f>(+SUMIFS(манзилли!$U:$U,манзилли!$J:$J,'свод (соҳа)'!$B41,манзилли!$AA:$AA,"&gt;31.12.2020",манзилли!$AA:$AA,"&lt;01.01.2022"))</f>
        <v>0</v>
      </c>
      <c r="V41" s="30">
        <f>+SUMIFS(манзилли!$Y:$Y,манзилли!$J:$J,'свод (соҳа)'!$B41,манзилли!$AA:$AA,"&gt;31.12.2020",манзилли!$AA:$AA,"&lt;01.01.2022")</f>
        <v>114</v>
      </c>
      <c r="W41" s="28">
        <f t="shared" si="27"/>
        <v>2</v>
      </c>
      <c r="X41" s="86">
        <f t="shared" si="28"/>
        <v>3074.5</v>
      </c>
      <c r="Y41" s="86">
        <f t="shared" si="29"/>
        <v>500</v>
      </c>
      <c r="Z41" s="86">
        <f t="shared" si="30"/>
        <v>2060</v>
      </c>
      <c r="AA41" s="86">
        <f t="shared" si="31"/>
        <v>49</v>
      </c>
      <c r="AB41" s="86">
        <f t="shared" si="32"/>
        <v>0</v>
      </c>
      <c r="AC41" s="30">
        <f t="shared" si="33"/>
        <v>22</v>
      </c>
      <c r="AD41" s="28">
        <f>+COUNTIFS(манзилли!$J:$J,'свод (соҳа)'!$B41,манзилли!$AB:$AB,"&gt;31.12.2020",манзилли!$AA:$AA,"&gt;31.12.2020",манзилли!$AA:$AA,"&lt;01.01.2022")</f>
        <v>2</v>
      </c>
      <c r="AE41" s="86">
        <f>(+SUMIFS(манзилли!$L:$L,манзилли!$J:$J,'свод (соҳа)'!$B41,манзилли!$AB:$AB,"&gt;31.12.2020",манзилли!$AA:$AA,"&gt;31.12.2020",манзилли!$AA:$AA,"&lt;01.01.2022"))</f>
        <v>3074.5</v>
      </c>
      <c r="AF41" s="86">
        <f>(+SUMIFS(манзилли!$N:$N,манзилли!$J:$J,'свод (соҳа)'!$B41,манзилли!$AB:$AB,"&gt;31.12.2020",манзилли!$AA:$AA,"&gt;31.12.2020",манзилли!$AA:$AA,"&lt;01.01.2022"))</f>
        <v>500</v>
      </c>
      <c r="AG41" s="86">
        <f>(+SUMIFS(манзилли!$R:$R,манзилли!$J:$J,'свод (соҳа)'!$B41,манзилли!$AB:$AB,"&gt;31.12.2020",манзилли!$AA:$AA,"&gt;31.12.2020",манзилли!$AA:$AA,"&lt;01.01.2022"))</f>
        <v>2060</v>
      </c>
      <c r="AH41" s="86">
        <f>(+SUMIFS(манзилли!$T:$T,манзилли!$J:$J,'свод (соҳа)'!$B41,манзилли!$AB:$AB,"&gt;31.12.2020",манзилли!$AA:$AA,"&gt;31.12.2020",манзилли!$AA:$AA,"&lt;01.01.2022"))</f>
        <v>49</v>
      </c>
      <c r="AI41" s="86">
        <f>(+SUMIFS(манзилли!$V:$V,манзилли!$J:$J,'свод (соҳа)'!$B41,манзилли!$AB:$AB,"&gt;31.12.2020",манзилли!$AA:$AA,"&gt;31.12.2020",манзилли!$AA:$AA,"&lt;01.01.2022"))</f>
        <v>0</v>
      </c>
      <c r="AJ41" s="30">
        <f>+SUMIFS(манзилли!$Z:$Z,манзилли!$J:$J,'свод (соҳа)'!$B41,манзилли!$AB:$AB,"&gt;31.12.2020",манзилли!$AA:$AA,"&gt;31.12.2020",манзилли!$AA:$AA,"&lt;01.01.2022")</f>
        <v>22</v>
      </c>
      <c r="AK41" s="28">
        <f>+COUNTIFS('Қўшимча ишга тушган'!$J:$J,'свод (соҳа)'!B41,'Қўшимча ишга тушган'!$AO:$AO,"&lt;01.10.2023")</f>
        <v>0</v>
      </c>
      <c r="AL41" s="86">
        <f>(+SUMIFS('Қўшимча ишга тушган'!$T:$T,'Қўшимча ишга тушган'!$J:$J,'свод (соҳа)'!$B41,'Қўшимча ишга тушган'!$AO:$AO,"&lt;01.10.2023"))</f>
        <v>0</v>
      </c>
      <c r="AM41" s="86">
        <f>(+SUMIFS('Қўшимча ишга тушган'!$V:$V,'Қўшимча ишга тушган'!$J:$J,'свод (соҳа)'!$B41,'Қўшимча ишга тушган'!$AO:$AO,"&lt;01.10.2023"))</f>
        <v>0</v>
      </c>
      <c r="AN41" s="86">
        <f>(+SUMIFS('Қўшимча ишга тушган'!$Z:$Z,'Қўшимча ишга тушган'!$J:$J,'свод (соҳа)'!$B41,'Қўшимча ишга тушган'!$AO:$AO,"&lt;01.10.2023"))</f>
        <v>0</v>
      </c>
      <c r="AO41" s="86">
        <f>(+SUMIFS('Қўшимча ишга тушган'!$AB:$AB,'Қўшимча ишга тушган'!$J:$J,'свод (соҳа)'!$B41,'Қўшимча ишга тушган'!$AO:$AO,"&lt;01.10.2023"))</f>
        <v>0</v>
      </c>
      <c r="AP41" s="86">
        <f>(+SUMIFS('Қўшимча ишга тушган'!$AD:$AD,'Қўшимча ишга тушган'!$J:$J,'свод (соҳа)'!$B41,'Қўшимча ишга тушган'!$AO:$AO,"&lt;01.10.2023"))</f>
        <v>0</v>
      </c>
      <c r="AQ41" s="30">
        <f>+SUMIFS('Қўшимча ишга тушган'!$AM:$AM,'Қўшимча ишга тушган'!$J:$J,'свод (соҳа)'!$B41,'Қўшимча ишга тушган'!$AO:$AO,"&lt;01.10.2023")</f>
        <v>0</v>
      </c>
      <c r="AR41" s="28">
        <f>+COUNTIFS(манзилли!$J:$J,'свод (соҳа)'!$B41,манзилли!$AA:$AA,"&lt;01.02.2021",манзилли!$AB:$AB,"")</f>
        <v>0</v>
      </c>
      <c r="AS41" s="86">
        <f>(+SUMIFS(манзилли!$K:$K,манзилли!$J:$J,'свод (соҳа)'!$B41,манзилли!$AA:$AA,"&lt;01.02.2021",манзилли!$AB:$AB,""))</f>
        <v>0</v>
      </c>
      <c r="AT41" s="86">
        <f>(+SUMIFS(манзилли!$M:$M,манзилли!$J:$J,'свод (соҳа)'!$B41,манзилли!$AA:$AA,"&lt;01.02.2021",манзилли!$AB:$AB,""))</f>
        <v>0</v>
      </c>
      <c r="AU41" s="86">
        <f>(+SUMIFS(манзилли!$Q:$Q,манзилли!$J:$J,'свод (соҳа)'!$B41,манзилли!$AA:$AA,"&lt;01.02.2021",манзилли!$AB:$AB,""))</f>
        <v>0</v>
      </c>
      <c r="AV41" s="86">
        <f>(+SUMIFS(манзилли!$S:$S,манзилли!$J:$J,'свод (соҳа)'!$B41,манзилли!$AA:$AA,"&lt;01.02.2021",манзилли!$AB:$AB,""))</f>
        <v>0</v>
      </c>
      <c r="AW41" s="86">
        <f>(+SUMIFS(манзилли!$U:$U,манзилли!$J:$J,'свод (соҳа)'!$B41,манзилли!$AA:$AA,"&lt;01.02.2021",манзилли!$AB:$AB,""))</f>
        <v>0</v>
      </c>
      <c r="AX41" s="30">
        <f>+SUMIFS(манзилли!$Y:$Y,манзилли!$J:$J,'свод (соҳа)'!$B41,манзилли!$AA:$AA,"&lt;01.02.2021",манзилли!$AB:$AB,"")</f>
        <v>0</v>
      </c>
      <c r="AY41" s="28">
        <f>+COUNTIFS(манзилли!$J:$J,'свод (соҳа)'!$B41,манзилли!$AA:$AA,"&lt;01.01.2022",манзилли!$AB:$AB,"")</f>
        <v>19</v>
      </c>
      <c r="AZ41" s="86">
        <f>(+SUMIFS(манзилли!$K:$K,манзилли!$J:$J,'свод (соҳа)'!$B41,манзилли!$AA:$AA,"&lt;01.01.2022",манзилли!$AB:$AB,""))</f>
        <v>88990</v>
      </c>
      <c r="BA41" s="86">
        <f>(+SUMIFS(манзилли!$M:$M,манзилли!$J:$J,'свод (соҳа)'!$B41,манзилли!$AA:$AA,"&lt;01.01.2022",манзилли!$AB:$AB,""))</f>
        <v>39220</v>
      </c>
      <c r="BB41" s="86">
        <f>(+SUMIFS(манзилли!$Q:$Q,манзилли!$J:$J,'свод (соҳа)'!$B41,манзилли!$AA:$AA,"&lt;01.01.2022",манзилли!$AB:$AB,""))</f>
        <v>24720</v>
      </c>
      <c r="BC41" s="86">
        <f>(+SUMIFS(манзилли!$S:$S,манзилли!$J:$J,'свод (соҳа)'!$B41,манзилли!$AA:$AA,"&lt;01.01.2022",манзилли!$AB:$AB,""))</f>
        <v>2500</v>
      </c>
      <c r="BD41" s="86">
        <f>(+SUMIFS(манзилли!$U:$U,манзилли!$J:$J,'свод (соҳа)'!$B41,манзилли!$AA:$AA,"&lt;01.01.2022",манзилли!$AB:$AB,""))</f>
        <v>0</v>
      </c>
      <c r="BE41" s="30">
        <f>+SUMIFS(манзилли!$Y:$Y,манзилли!$J:$J,'свод (соҳа)'!$B41,манзилли!$AA:$AA,"&lt;01.01.2022",манзилли!$AB:$AB,"")</f>
        <v>79</v>
      </c>
      <c r="BF41" s="28">
        <f>+COUNTIFS(манзилли!$J:$J,'свод (соҳа)'!$B41,манзилли!$AA:$AA,"&lt;01.01.2023",манзилли!$AA:$AA,"&gt;=01.01.2022")</f>
        <v>4</v>
      </c>
      <c r="BG41" s="86">
        <f>(+SUMIFS(манзилли!$K:$K,манзилли!$J:$J,'свод (соҳа)'!$B41,манзилли!$AA:$AA,"&lt;01.01.2023",манзилли!$AA:$AA,"&gt;=01.01.2022"))</f>
        <v>21420</v>
      </c>
      <c r="BH41" s="86">
        <f>(+SUMIFS(манзилли!$M:$M,манзилли!$J:$J,'свод (соҳа)'!$B41,манзилли!$AA:$AA,"&lt;01.01.2023",манзилли!$AA:$AA,"&gt;=01.01.2022"))</f>
        <v>9050</v>
      </c>
      <c r="BI41" s="86">
        <f>(+SUMIFS(манзилли!$Q:$Q,манзилли!$J:$J,'свод (соҳа)'!$B41,манзилли!$AA:$AA,"&lt;01.01.2023",манзилли!$AA:$AA,"&gt;=01.01.2022"))</f>
        <v>4960</v>
      </c>
      <c r="BJ41" s="86">
        <f>(+SUMIFS(манзилли!$S:$S,манзилли!$J:$J,'свод (соҳа)'!$B41,манзилли!$AA:$AA,"&lt;01.01.2023",манзилли!$AA:$AA,"&gt;=01.01.2022"))</f>
        <v>780</v>
      </c>
      <c r="BK41" s="86">
        <f>(+SUMIFS(манзилли!$U:$U,манзилли!$J:$J,'свод (соҳа)'!$B41,манзилли!$AA:$AA,"&lt;01.01.2023",манзилли!$AA:$AA,"&gt;=01.01.2022"))</f>
        <v>0</v>
      </c>
      <c r="BL41" s="30">
        <f>+SUMIFS(манзилли!$Y:$Y,манзилли!$J:$J,'свод (соҳа)'!$B41,манзилли!$AA:$AA,"&lt;01.01.2023",манзилли!$AA:$AA,"&gt;=01.01.2022")</f>
        <v>44</v>
      </c>
    </row>
    <row r="42" spans="1:64" s="3" customFormat="1" ht="35.25" customHeight="1" outlineLevel="1">
      <c r="A42" s="26">
        <f t="shared" si="26"/>
        <v>7</v>
      </c>
      <c r="B42" s="88" t="s">
        <v>59</v>
      </c>
      <c r="C42" s="28">
        <f>+COUNTIFS(манзилли!$J:$J,'свод (соҳа)'!$B42)</f>
        <v>44</v>
      </c>
      <c r="D42" s="86">
        <f>(+SUMIFS(манзилли!$K:$K,манзилли!$J:$J,'свод (соҳа)'!$B42))</f>
        <v>59264</v>
      </c>
      <c r="E42" s="86">
        <f>(+SUMIFS(манзилли!$M:$M,манзилли!$J:$J,'свод (соҳа)'!$B42))</f>
        <v>29480</v>
      </c>
      <c r="F42" s="86">
        <f>(+SUMIFS(манзилли!$Q:$Q,манзилли!$J:$J,'свод (соҳа)'!$B42))</f>
        <v>25694</v>
      </c>
      <c r="G42" s="86">
        <f>(+SUMIFS(манзилли!$S:$S,манзилли!$J:$J,'свод (соҳа)'!$B42))</f>
        <v>0</v>
      </c>
      <c r="H42" s="86">
        <f>(+SUMIFS(манзилли!$U:$U,манзилли!$J:$J,'свод (соҳа)'!$B42))</f>
        <v>300</v>
      </c>
      <c r="I42" s="30">
        <f>+SUMIFS(манзилли!$Y:$Y,манзилли!$J:$J,'свод (соҳа)'!$B42)</f>
        <v>364</v>
      </c>
      <c r="J42" s="28">
        <f>+(COUNTIFS(манзилли!$L:$L,"&gt;0",манзилли!$J:$J,'свод (соҳа)'!$B42)+COUNTIFS('Қўшимча ишга тушган'!$T:$T,"&gt;0",'Қўшимча ишга тушган'!$J:$J,'свод (соҳа)'!$B42))</f>
        <v>33</v>
      </c>
      <c r="K42" s="86">
        <f>(+SUMIFS(манзилли!$L:$L,манзилли!$J:$J,'свод (соҳа)'!$B42)+SUMIFS('Қўшимча ишга тушган'!$T:$T,'Қўшимча ишга тушган'!$J:$J,'свод (соҳа)'!$B42))</f>
        <v>17676</v>
      </c>
      <c r="L42" s="86">
        <f>+(SUMIFS(манзилли!$N:$N,манзилли!$J:$J,'свод (соҳа)'!$B42)+SUMIFS('Қўшимча ишга тушган'!$V:$V,'Қўшимча ишга тушган'!$J:$J,'свод (соҳа)'!$B42))</f>
        <v>8460</v>
      </c>
      <c r="M42" s="86">
        <f>(+SUMIFS(манзилли!$R:$R,манзилли!$J:$J,'свод (соҳа)'!$B42)+SUMIFS('Қўшимча ишга тушган'!$Z:$Z,'Қўшимча ишга тушган'!$J:$J,'свод (соҳа)'!$B42))</f>
        <v>9216</v>
      </c>
      <c r="N42" s="86">
        <f>(+SUMIFS(манзилли!$T:$T,манзилли!$J:$J,'свод (соҳа)'!$B42)+SUMIFS('Қўшимча ишга тушган'!$AB:$AB,'Қўшимча ишга тушган'!$J:$J,'свод (соҳа)'!$B42))</f>
        <v>0</v>
      </c>
      <c r="O42" s="30">
        <f>(+SUMIFS(манзилли!$V:$V,манзилли!$J:$J,'свод (соҳа)'!$B42)+SUMIFS('Қўшимча ишга тушган'!$AD:$AD,'Қўшимча ишга тушган'!$J:$J,'свод (соҳа)'!$B42))</f>
        <v>0</v>
      </c>
      <c r="P42" s="28">
        <f>+COUNTIFS(манзилли!$J:$J,'свод (соҳа)'!$B42,манзилли!$AA:$AA,"&gt;31.12.2020",манзилли!$AA:$AA,"&lt;01.01.2022")</f>
        <v>33</v>
      </c>
      <c r="Q42" s="86">
        <f>(+SUMIFS(манзилли!$K:$K,манзилли!$J:$J,'свод (соҳа)'!$B42,манзилли!$AA:$AA,"&gt;31.12.2020",манзилли!$AA:$AA,"&lt;01.01.2022"))</f>
        <v>52560</v>
      </c>
      <c r="R42" s="86">
        <f>(+SUMIFS(манзилли!$M:$M,манзилли!$J:$J,'свод (соҳа)'!$B42,манзилли!$AA:$AA,"&gt;31.12.2020",манзилли!$AA:$AA,"&lt;01.01.2022"))</f>
        <v>27320</v>
      </c>
      <c r="S42" s="86">
        <f>(+SUMIFS(манзилли!$Q:$Q,манзилли!$J:$J,'свод (соҳа)'!$B42,манзилли!$AA:$AA,"&gt;31.12.2020",манзилли!$AA:$AA,"&lt;01.01.2022"))</f>
        <v>21150</v>
      </c>
      <c r="T42" s="86">
        <f>(+SUMIFS(манзилли!$S:$S,манзилли!$J:$J,'свод (соҳа)'!$B42,манзилли!$AA:$AA,"&gt;31.12.2020",манзилли!$AA:$AA,"&lt;01.01.2022"))</f>
        <v>0</v>
      </c>
      <c r="U42" s="86">
        <f>(+SUMIFS(манзилли!$U:$U,манзилли!$J:$J,'свод (соҳа)'!$B42,манзилли!$AA:$AA,"&gt;31.12.2020",манзилли!$AA:$AA,"&lt;01.01.2022"))</f>
        <v>300</v>
      </c>
      <c r="V42" s="30">
        <f>+SUMIFS(манзилли!$Y:$Y,манзилли!$J:$J,'свод (соҳа)'!$B42,манзилли!$AA:$AA,"&gt;31.12.2020",манзилли!$AA:$AA,"&lt;01.01.2022")</f>
        <v>320</v>
      </c>
      <c r="W42" s="28">
        <f t="shared" si="27"/>
        <v>5</v>
      </c>
      <c r="X42" s="86">
        <f t="shared" si="28"/>
        <v>4242</v>
      </c>
      <c r="Y42" s="86">
        <f t="shared" si="29"/>
        <v>3350</v>
      </c>
      <c r="Z42" s="86">
        <f t="shared" si="30"/>
        <v>892</v>
      </c>
      <c r="AA42" s="86">
        <f t="shared" si="31"/>
        <v>0</v>
      </c>
      <c r="AB42" s="86">
        <f t="shared" si="32"/>
        <v>0</v>
      </c>
      <c r="AC42" s="30">
        <f t="shared" si="33"/>
        <v>19</v>
      </c>
      <c r="AD42" s="28">
        <f>+COUNTIFS(манзилли!$J:$J,'свод (соҳа)'!$B42,манзилли!$AB:$AB,"&gt;31.12.2020",манзилли!$AA:$AA,"&gt;31.12.2020",манзилли!$AA:$AA,"&lt;01.01.2022")</f>
        <v>5</v>
      </c>
      <c r="AE42" s="86">
        <f>(+SUMIFS(манзилли!$L:$L,манзилли!$J:$J,'свод (соҳа)'!$B42,манзилли!$AB:$AB,"&gt;31.12.2020",манзилли!$AA:$AA,"&gt;31.12.2020",манзилли!$AA:$AA,"&lt;01.01.2022"))</f>
        <v>4242</v>
      </c>
      <c r="AF42" s="86">
        <f>(+SUMIFS(манзилли!$N:$N,манзилли!$J:$J,'свод (соҳа)'!$B42,манзилли!$AB:$AB,"&gt;31.12.2020",манзилли!$AA:$AA,"&gt;31.12.2020",манзилли!$AA:$AA,"&lt;01.01.2022"))</f>
        <v>3350</v>
      </c>
      <c r="AG42" s="86">
        <f>(+SUMIFS(манзилли!$R:$R,манзилли!$J:$J,'свод (соҳа)'!$B42,манзилли!$AB:$AB,"&gt;31.12.2020",манзилли!$AA:$AA,"&gt;31.12.2020",манзилли!$AA:$AA,"&lt;01.01.2022"))</f>
        <v>892</v>
      </c>
      <c r="AH42" s="86">
        <f>(+SUMIFS(манзилли!$T:$T,манзилли!$J:$J,'свод (соҳа)'!$B42,манзилли!$AB:$AB,"&gt;31.12.2020",манзилли!$AA:$AA,"&gt;31.12.2020",манзилли!$AA:$AA,"&lt;01.01.2022"))</f>
        <v>0</v>
      </c>
      <c r="AI42" s="86">
        <f>(+SUMIFS(манзилли!$V:$V,манзилли!$J:$J,'свод (соҳа)'!$B42,манзилли!$AB:$AB,"&gt;31.12.2020",манзилли!$AA:$AA,"&gt;31.12.2020",манзилли!$AA:$AA,"&lt;01.01.2022"))</f>
        <v>0</v>
      </c>
      <c r="AJ42" s="30">
        <f>+SUMIFS(манзилли!$Z:$Z,манзилли!$J:$J,'свод (соҳа)'!$B42,манзилли!$AB:$AB,"&gt;31.12.2020",манзилли!$AA:$AA,"&gt;31.12.2020",манзилли!$AA:$AA,"&lt;01.01.2022")</f>
        <v>19</v>
      </c>
      <c r="AK42" s="28">
        <f>+COUNTIFS('Қўшимча ишга тушган'!$J:$J,'свод (соҳа)'!B42,'Қўшимча ишга тушган'!$AO:$AO,"&lt;01.10.2023")</f>
        <v>0</v>
      </c>
      <c r="AL42" s="86">
        <f>(+SUMIFS('Қўшимча ишга тушган'!$T:$T,'Қўшимча ишга тушган'!$J:$J,'свод (соҳа)'!$B42,'Қўшимча ишга тушган'!$AO:$AO,"&lt;01.10.2023"))</f>
        <v>0</v>
      </c>
      <c r="AM42" s="86">
        <f>(+SUMIFS('Қўшимча ишга тушган'!$V:$V,'Қўшимча ишга тушган'!$J:$J,'свод (соҳа)'!$B42,'Қўшимча ишга тушган'!$AO:$AO,"&lt;01.10.2023"))</f>
        <v>0</v>
      </c>
      <c r="AN42" s="86">
        <f>(+SUMIFS('Қўшимча ишга тушган'!$Z:$Z,'Қўшимча ишга тушган'!$J:$J,'свод (соҳа)'!$B42,'Қўшимча ишга тушган'!$AO:$AO,"&lt;01.10.2023"))</f>
        <v>0</v>
      </c>
      <c r="AO42" s="86">
        <f>(+SUMIFS('Қўшимча ишга тушган'!$AB:$AB,'Қўшимча ишга тушган'!$J:$J,'свод (соҳа)'!$B42,'Қўшимча ишга тушган'!$AO:$AO,"&lt;01.10.2023"))</f>
        <v>0</v>
      </c>
      <c r="AP42" s="86">
        <f>(+SUMIFS('Қўшимча ишга тушган'!$AD:$AD,'Қўшимча ишга тушган'!$J:$J,'свод (соҳа)'!$B42,'Қўшимча ишга тушган'!$AO:$AO,"&lt;01.10.2023"))</f>
        <v>0</v>
      </c>
      <c r="AQ42" s="30">
        <f>+SUMIFS('Қўшимча ишга тушган'!$AM:$AM,'Қўшимча ишга тушган'!$J:$J,'свод (соҳа)'!$B42,'Қўшимча ишга тушган'!$AO:$AO,"&lt;01.10.2023")</f>
        <v>0</v>
      </c>
      <c r="AR42" s="28">
        <f>+COUNTIFS(манзилли!$J:$J,'свод (соҳа)'!$B42,манзилли!$AA:$AA,"&lt;01.02.2021",манзилли!$AB:$AB,"")</f>
        <v>0</v>
      </c>
      <c r="AS42" s="86">
        <f>(+SUMIFS(манзилли!$K:$K,манзилли!$J:$J,'свод (соҳа)'!$B42,манзилли!$AA:$AA,"&lt;01.02.2021",манзилли!$AB:$AB,""))</f>
        <v>0</v>
      </c>
      <c r="AT42" s="86">
        <f>(+SUMIFS(манзилли!$M:$M,манзилли!$J:$J,'свод (соҳа)'!$B42,манзилли!$AA:$AA,"&lt;01.02.2021",манзилли!$AB:$AB,""))</f>
        <v>0</v>
      </c>
      <c r="AU42" s="86">
        <f>(+SUMIFS(манзилли!$Q:$Q,манзилли!$J:$J,'свод (соҳа)'!$B42,манзилли!$AA:$AA,"&lt;01.02.2021",манзилли!$AB:$AB,""))</f>
        <v>0</v>
      </c>
      <c r="AV42" s="86">
        <f>(+SUMIFS(манзилли!$S:$S,манзилли!$J:$J,'свод (соҳа)'!$B42,манзилли!$AA:$AA,"&lt;01.02.2021",манзилли!$AB:$AB,""))</f>
        <v>0</v>
      </c>
      <c r="AW42" s="86">
        <f>(+SUMIFS(манзилли!$U:$U,манзилли!$J:$J,'свод (соҳа)'!$B42,манзилли!$AA:$AA,"&lt;01.02.2021",манзилли!$AB:$AB,""))</f>
        <v>0</v>
      </c>
      <c r="AX42" s="30">
        <f>+SUMIFS(манзилли!$Y:$Y,манзилли!$J:$J,'свод (соҳа)'!$B42,манзилли!$AA:$AA,"&lt;01.02.2021",манзилли!$AB:$AB,"")</f>
        <v>0</v>
      </c>
      <c r="AY42" s="28">
        <f>+COUNTIFS(манзилли!$J:$J,'свод (соҳа)'!$B42,манзилли!$AA:$AA,"&lt;01.01.2022",манзилли!$AB:$AB,"")</f>
        <v>23</v>
      </c>
      <c r="AZ42" s="86">
        <f>(+SUMIFS(манзилли!$K:$K,манзилли!$J:$J,'свод (соҳа)'!$B42,манзилли!$AA:$AA,"&lt;01.01.2022",манзилли!$AB:$AB,""))</f>
        <v>38510</v>
      </c>
      <c r="BA42" s="86">
        <f>(+SUMIFS(манзилли!$M:$M,манзилли!$J:$J,'свод (соҳа)'!$B42,манзилли!$AA:$AA,"&lt;01.01.2022",манзилли!$AB:$AB,""))</f>
        <v>18420</v>
      </c>
      <c r="BB42" s="86">
        <f>(+SUMIFS(манзилли!$Q:$Q,манзилли!$J:$J,'свод (соҳа)'!$B42,манзилли!$AA:$AA,"&lt;01.01.2022",манзилли!$AB:$AB,""))</f>
        <v>16000</v>
      </c>
      <c r="BC42" s="86">
        <f>(+SUMIFS(манзилли!$S:$S,манзилли!$J:$J,'свод (соҳа)'!$B42,манзилли!$AA:$AA,"&lt;01.01.2022",манзилли!$AB:$AB,""))</f>
        <v>0</v>
      </c>
      <c r="BD42" s="86">
        <f>(+SUMIFS(манзилли!$U:$U,манзилли!$J:$J,'свод (соҳа)'!$B42,манзилли!$AA:$AA,"&lt;01.01.2022",манзилли!$AB:$AB,""))</f>
        <v>300</v>
      </c>
      <c r="BE42" s="30">
        <f>+SUMIFS(манзилли!$Y:$Y,манзилли!$J:$J,'свод (соҳа)'!$B42,манзилли!$AA:$AA,"&lt;01.01.2022",манзилли!$AB:$AB,"")</f>
        <v>252</v>
      </c>
      <c r="BF42" s="28">
        <f>+COUNTIFS(манзилли!$J:$J,'свод (соҳа)'!$B42,манзилли!$AA:$AA,"&lt;01.01.2023",манзилли!$AA:$AA,"&gt;=01.01.2022")</f>
        <v>1</v>
      </c>
      <c r="BG42" s="86">
        <f>(+SUMIFS(манзилли!$K:$K,манзилли!$J:$J,'свод (соҳа)'!$B42,манзилли!$AA:$AA,"&lt;01.01.2023",манзилли!$AA:$AA,"&gt;=01.01.2022"))</f>
        <v>450</v>
      </c>
      <c r="BH42" s="86">
        <f>(+SUMIFS(манзилли!$M:$M,манзилли!$J:$J,'свод (соҳа)'!$B42,манзилли!$AA:$AA,"&lt;01.01.2023",манзилли!$AA:$AA,"&gt;=01.01.2022"))</f>
        <v>200</v>
      </c>
      <c r="BI42" s="86">
        <f>(+SUMIFS(манзилли!$Q:$Q,манзилли!$J:$J,'свод (соҳа)'!$B42,манзилли!$AA:$AA,"&lt;01.01.2023",манзилли!$AA:$AA,"&gt;=01.01.2022"))</f>
        <v>250</v>
      </c>
      <c r="BJ42" s="86">
        <f>(+SUMIFS(манзилли!$S:$S,манзилли!$J:$J,'свод (соҳа)'!$B42,манзилли!$AA:$AA,"&lt;01.01.2023",манзилли!$AA:$AA,"&gt;=01.01.2022"))</f>
        <v>0</v>
      </c>
      <c r="BK42" s="86">
        <f>(+SUMIFS(манзилли!$U:$U,манзилли!$J:$J,'свод (соҳа)'!$B42,манзилли!$AA:$AA,"&lt;01.01.2023",манзилли!$AA:$AA,"&gt;=01.01.2022"))</f>
        <v>0</v>
      </c>
      <c r="BL42" s="30">
        <f>+SUMIFS(манзилли!$Y:$Y,манзилли!$J:$J,'свод (соҳа)'!$B42,манзилли!$AA:$AA,"&lt;01.01.2023",манзилли!$AA:$AA,"&gt;=01.01.2022")</f>
        <v>4</v>
      </c>
    </row>
    <row r="43" spans="1:64" s="3" customFormat="1" ht="35.25" customHeight="1" outlineLevel="1">
      <c r="A43" s="26">
        <f t="shared" si="26"/>
        <v>8</v>
      </c>
      <c r="B43" s="88" t="s">
        <v>56</v>
      </c>
      <c r="C43" s="28">
        <f>+COUNTIFS(манзилли!$J:$J,'свод (соҳа)'!$B43)</f>
        <v>13</v>
      </c>
      <c r="D43" s="86">
        <f>(+SUMIFS(манзилли!$K:$K,манзилли!$J:$J,'свод (соҳа)'!$B43))</f>
        <v>27000.293799999999</v>
      </c>
      <c r="E43" s="86">
        <f>(+SUMIFS(манзилли!$M:$M,манзилли!$J:$J,'свод (соҳа)'!$B43))</f>
        <v>8262.7811399999991</v>
      </c>
      <c r="F43" s="86">
        <f>(+SUMIFS(манзилли!$Q:$Q,манзилли!$J:$J,'свод (соҳа)'!$B43))</f>
        <v>18737.51266</v>
      </c>
      <c r="G43" s="86">
        <f>(+SUMIFS(манзилли!$S:$S,манзилли!$J:$J,'свод (соҳа)'!$B43))</f>
        <v>0</v>
      </c>
      <c r="H43" s="86">
        <f>(+SUMIFS(манзилли!$U:$U,манзилли!$J:$J,'свод (соҳа)'!$B43))</f>
        <v>0</v>
      </c>
      <c r="I43" s="30">
        <f>+SUMIFS(манзилли!$Y:$Y,манзилли!$J:$J,'свод (соҳа)'!$B43)</f>
        <v>170</v>
      </c>
      <c r="J43" s="28">
        <f>+(COUNTIFS(манзилли!$L:$L,"&gt;0",манзилли!$J:$J,'свод (соҳа)'!$B43)+COUNTIFS('Қўшимча ишга тушган'!$T:$T,"&gt;0",'Қўшимча ишга тушган'!$J:$J,'свод (соҳа)'!$B43))</f>
        <v>13</v>
      </c>
      <c r="K43" s="86">
        <f>(+SUMIFS(манзилли!$L:$L,манзилли!$J:$J,'свод (соҳа)'!$B43)+SUMIFS('Қўшимча ишга тушган'!$T:$T,'Қўшимча ишга тушган'!$J:$J,'свод (соҳа)'!$B43))</f>
        <v>21518.1</v>
      </c>
      <c r="L43" s="86">
        <f>+(SUMIFS(манзилли!$N:$N,манзилли!$J:$J,'свод (соҳа)'!$B43)+SUMIFS('Қўшимча ишга тушган'!$V:$V,'Қўшимча ишга тушган'!$J:$J,'свод (соҳа)'!$B43))</f>
        <v>3188.8</v>
      </c>
      <c r="M43" s="86">
        <f>(+SUMIFS(манзилли!$R:$R,манзилли!$J:$J,'свод (соҳа)'!$B43)+SUMIFS('Қўшимча ишга тушган'!$Z:$Z,'Қўшимча ишга тушган'!$J:$J,'свод (соҳа)'!$B43))</f>
        <v>18329.3</v>
      </c>
      <c r="N43" s="86">
        <f>(+SUMIFS(манзилли!$T:$T,манзилли!$J:$J,'свод (соҳа)'!$B43)+SUMIFS('Қўшимча ишга тушган'!$AB:$AB,'Қўшимча ишга тушган'!$J:$J,'свод (соҳа)'!$B43))</f>
        <v>0</v>
      </c>
      <c r="O43" s="30">
        <f>(+SUMIFS(манзилли!$V:$V,манзилли!$J:$J,'свод (соҳа)'!$B43)+SUMIFS('Қўшимча ишга тушган'!$AD:$AD,'Қўшимча ишга тушган'!$J:$J,'свод (соҳа)'!$B43))</f>
        <v>0</v>
      </c>
      <c r="P43" s="28">
        <f>+COUNTIFS(манзилли!$J:$J,'свод (соҳа)'!$B43,манзилли!$AA:$AA,"&gt;31.12.2020",манзилли!$AA:$AA,"&lt;01.01.2022")</f>
        <v>11</v>
      </c>
      <c r="Q43" s="86">
        <f>(+SUMIFS(манзилли!$K:$K,манзилли!$J:$J,'свод (соҳа)'!$B43,манзилли!$AA:$AA,"&gt;31.12.2020",манзилли!$AA:$AA,"&lt;01.01.2022"))</f>
        <v>23050.293799999999</v>
      </c>
      <c r="R43" s="86">
        <f>(+SUMIFS(манзилли!$M:$M,манзилли!$J:$J,'свод (соҳа)'!$B43,манзилли!$AA:$AA,"&gt;31.12.2020",манзилли!$AA:$AA,"&lt;01.01.2022"))</f>
        <v>7162.7811400000001</v>
      </c>
      <c r="S43" s="86">
        <f>(+SUMIFS(манзилли!$Q:$Q,манзилли!$J:$J,'свод (соҳа)'!$B43,манзилли!$AA:$AA,"&gt;31.12.2020",манзилли!$AA:$AA,"&lt;01.01.2022"))</f>
        <v>15887.51266</v>
      </c>
      <c r="T43" s="86">
        <f>(+SUMIFS(манзилли!$S:$S,манзилли!$J:$J,'свод (соҳа)'!$B43,манзилли!$AA:$AA,"&gt;31.12.2020",манзилли!$AA:$AA,"&lt;01.01.2022"))</f>
        <v>0</v>
      </c>
      <c r="U43" s="86">
        <f>(+SUMIFS(манзилли!$U:$U,манзилли!$J:$J,'свод (соҳа)'!$B43,манзилли!$AA:$AA,"&gt;31.12.2020",манзилли!$AA:$AA,"&lt;01.01.2022"))</f>
        <v>0</v>
      </c>
      <c r="V43" s="30">
        <f>+SUMIFS(манзилли!$Y:$Y,манзилли!$J:$J,'свод (соҳа)'!$B43,манзилли!$AA:$AA,"&gt;31.12.2020",манзилли!$AA:$AA,"&lt;01.01.2022")</f>
        <v>130</v>
      </c>
      <c r="W43" s="28">
        <f t="shared" si="23"/>
        <v>2</v>
      </c>
      <c r="X43" s="86">
        <f t="shared" si="17"/>
        <v>3598</v>
      </c>
      <c r="Y43" s="86">
        <f t="shared" si="18"/>
        <v>1341</v>
      </c>
      <c r="Z43" s="86">
        <f t="shared" si="19"/>
        <v>2257</v>
      </c>
      <c r="AA43" s="86">
        <f t="shared" si="20"/>
        <v>0</v>
      </c>
      <c r="AB43" s="86">
        <f t="shared" si="21"/>
        <v>0</v>
      </c>
      <c r="AC43" s="30">
        <f t="shared" si="22"/>
        <v>10</v>
      </c>
      <c r="AD43" s="28">
        <f>+COUNTIFS(манзилли!$J:$J,'свод (соҳа)'!$B43,манзилли!$AB:$AB,"&gt;31.12.2020",манзилли!$AA:$AA,"&gt;31.12.2020",манзилли!$AA:$AA,"&lt;01.01.2022")</f>
        <v>2</v>
      </c>
      <c r="AE43" s="86">
        <f>(+SUMIFS(манзилли!$L:$L,манзилли!$J:$J,'свод (соҳа)'!$B43,манзилли!$AB:$AB,"&gt;31.12.2020",манзилли!$AA:$AA,"&gt;31.12.2020",манзилли!$AA:$AA,"&lt;01.01.2022"))</f>
        <v>3598</v>
      </c>
      <c r="AF43" s="86">
        <f>(+SUMIFS(манзилли!$N:$N,манзилли!$J:$J,'свод (соҳа)'!$B43,манзилли!$AB:$AB,"&gt;31.12.2020",манзилли!$AA:$AA,"&gt;31.12.2020",манзилли!$AA:$AA,"&lt;01.01.2022"))</f>
        <v>1341</v>
      </c>
      <c r="AG43" s="86">
        <f>(+SUMIFS(манзилли!$R:$R,манзилли!$J:$J,'свод (соҳа)'!$B43,манзилли!$AB:$AB,"&gt;31.12.2020",манзилли!$AA:$AA,"&gt;31.12.2020",манзилли!$AA:$AA,"&lt;01.01.2022"))</f>
        <v>2257</v>
      </c>
      <c r="AH43" s="86">
        <f>(+SUMIFS(манзилли!$T:$T,манзилли!$J:$J,'свод (соҳа)'!$B43,манзилли!$AB:$AB,"&gt;31.12.2020",манзилли!$AA:$AA,"&gt;31.12.2020",манзилли!$AA:$AA,"&lt;01.01.2022"))</f>
        <v>0</v>
      </c>
      <c r="AI43" s="86">
        <f>(+SUMIFS(манзилли!$V:$V,манзилли!$J:$J,'свод (соҳа)'!$B43,манзилли!$AB:$AB,"&gt;31.12.2020",манзилли!$AA:$AA,"&gt;31.12.2020",манзилли!$AA:$AA,"&lt;01.01.2022"))</f>
        <v>0</v>
      </c>
      <c r="AJ43" s="30">
        <f>+SUMIFS(манзилли!$Z:$Z,манзилли!$J:$J,'свод (соҳа)'!$B43,манзилли!$AB:$AB,"&gt;31.12.2020",манзилли!$AA:$AA,"&gt;31.12.2020",манзилли!$AA:$AA,"&lt;01.01.2022")</f>
        <v>10</v>
      </c>
      <c r="AK43" s="28">
        <f>+COUNTIFS('Қўшимча ишга тушган'!$J:$J,'свод (соҳа)'!B43,'Қўшимча ишга тушган'!$AO:$AO,"&lt;01.10.2023")</f>
        <v>0</v>
      </c>
      <c r="AL43" s="86">
        <f>(+SUMIFS('Қўшимча ишга тушган'!$T:$T,'Қўшимча ишга тушган'!$J:$J,'свод (соҳа)'!$B43,'Қўшимча ишга тушган'!$AO:$AO,"&lt;01.10.2023"))</f>
        <v>0</v>
      </c>
      <c r="AM43" s="86">
        <f>(+SUMIFS('Қўшимча ишга тушган'!$V:$V,'Қўшимча ишга тушган'!$J:$J,'свод (соҳа)'!$B43,'Қўшимча ишга тушган'!$AO:$AO,"&lt;01.10.2023"))</f>
        <v>0</v>
      </c>
      <c r="AN43" s="86">
        <f>(+SUMIFS('Қўшимча ишга тушган'!$Z:$Z,'Қўшимча ишга тушган'!$J:$J,'свод (соҳа)'!$B43,'Қўшимча ишга тушган'!$AO:$AO,"&lt;01.10.2023"))</f>
        <v>0</v>
      </c>
      <c r="AO43" s="86">
        <f>(+SUMIFS('Қўшимча ишга тушган'!$AB:$AB,'Қўшимча ишга тушган'!$J:$J,'свод (соҳа)'!$B43,'Қўшимча ишга тушган'!$AO:$AO,"&lt;01.10.2023"))</f>
        <v>0</v>
      </c>
      <c r="AP43" s="86">
        <f>(+SUMIFS('Қўшимча ишга тушган'!$AD:$AD,'Қўшимча ишга тушган'!$J:$J,'свод (соҳа)'!$B43,'Қўшимча ишга тушган'!$AO:$AO,"&lt;01.10.2023"))</f>
        <v>0</v>
      </c>
      <c r="AQ43" s="30">
        <f>+SUMIFS('Қўшимча ишга тушган'!$AM:$AM,'Қўшимча ишга тушган'!$J:$J,'свод (соҳа)'!$B43,'Қўшимча ишга тушган'!$AO:$AO,"&lt;01.10.2023")</f>
        <v>0</v>
      </c>
      <c r="AR43" s="28">
        <f>+COUNTIFS(манзилли!$J:$J,'свод (соҳа)'!$B43,манзилли!$AA:$AA,"&lt;01.02.2021",манзилли!$AB:$AB,"")</f>
        <v>0</v>
      </c>
      <c r="AS43" s="86">
        <f>(+SUMIFS(манзилли!$K:$K,манзилли!$J:$J,'свод (соҳа)'!$B43,манзилли!$AA:$AA,"&lt;01.02.2021",манзилли!$AB:$AB,""))</f>
        <v>0</v>
      </c>
      <c r="AT43" s="86">
        <f>(+SUMIFS(манзилли!$M:$M,манзилли!$J:$J,'свод (соҳа)'!$B43,манзилли!$AA:$AA,"&lt;01.02.2021",манзилли!$AB:$AB,""))</f>
        <v>0</v>
      </c>
      <c r="AU43" s="86">
        <f>(+SUMIFS(манзилли!$Q:$Q,манзилли!$J:$J,'свод (соҳа)'!$B43,манзилли!$AA:$AA,"&lt;01.02.2021",манзилли!$AB:$AB,""))</f>
        <v>0</v>
      </c>
      <c r="AV43" s="86">
        <f>(+SUMIFS(манзилли!$S:$S,манзилли!$J:$J,'свод (соҳа)'!$B43,манзилли!$AA:$AA,"&lt;01.02.2021",манзилли!$AB:$AB,""))</f>
        <v>0</v>
      </c>
      <c r="AW43" s="86">
        <f>(+SUMIFS(манзилли!$U:$U,манзилли!$J:$J,'свод (соҳа)'!$B43,манзилли!$AA:$AA,"&lt;01.02.2021",манзилли!$AB:$AB,""))</f>
        <v>0</v>
      </c>
      <c r="AX43" s="30">
        <f>+SUMIFS(манзилли!$Y:$Y,манзилли!$J:$J,'свод (соҳа)'!$B43,манзилли!$AA:$AA,"&lt;01.02.2021",манзилли!$AB:$AB,"")</f>
        <v>0</v>
      </c>
      <c r="AY43" s="28">
        <f>+COUNTIFS(манзилли!$J:$J,'свод (соҳа)'!$B43,манзилли!$AA:$AA,"&lt;01.01.2022",манзилли!$AB:$AB,"")</f>
        <v>8</v>
      </c>
      <c r="AZ43" s="86">
        <f>(+SUMIFS(манзилли!$K:$K,манзилли!$J:$J,'свод (соҳа)'!$B43,манзилли!$AA:$AA,"&lt;01.01.2022",манзилли!$AB:$AB,""))</f>
        <v>16475.303800000002</v>
      </c>
      <c r="BA43" s="86">
        <f>(+SUMIFS(манзилли!$M:$M,манзилли!$J:$J,'свод (соҳа)'!$B43,манзилли!$AA:$AA,"&lt;01.01.2022",манзилли!$AB:$AB,""))</f>
        <v>5088.4911400000001</v>
      </c>
      <c r="BB43" s="86">
        <f>(+SUMIFS(манзилли!$Q:$Q,манзилли!$J:$J,'свод (соҳа)'!$B43,манзилли!$AA:$AA,"&lt;01.01.2022",манзилли!$AB:$AB,""))</f>
        <v>11386.81266</v>
      </c>
      <c r="BC43" s="86">
        <f>(+SUMIFS(манзилли!$S:$S,манзилли!$J:$J,'свод (соҳа)'!$B43,манзилли!$AA:$AA,"&lt;01.01.2022",манзилли!$AB:$AB,""))</f>
        <v>0</v>
      </c>
      <c r="BD43" s="86">
        <f>(+SUMIFS(манзилли!$U:$U,манзилли!$J:$J,'свод (соҳа)'!$B43,манзилли!$AA:$AA,"&lt;01.01.2022",манзилли!$AB:$AB,""))</f>
        <v>0</v>
      </c>
      <c r="BE43" s="30">
        <f>+SUMIFS(манзилли!$Y:$Y,манзилли!$J:$J,'свод (соҳа)'!$B43,манзилли!$AA:$AA,"&lt;01.01.2022",манзилли!$AB:$AB,"")</f>
        <v>91</v>
      </c>
      <c r="BF43" s="28">
        <f>+COUNTIFS(манзилли!$J:$J,'свод (соҳа)'!$B43,манзилли!$AA:$AA,"&lt;01.01.2023",манзилли!$AA:$AA,"&gt;=01.01.2022")</f>
        <v>1</v>
      </c>
      <c r="BG43" s="86">
        <f>(+SUMIFS(манзилли!$K:$K,манзилли!$J:$J,'свод (соҳа)'!$B43,манзилли!$AA:$AA,"&lt;01.01.2023",манзилли!$AA:$AA,"&gt;=01.01.2022"))</f>
        <v>3500</v>
      </c>
      <c r="BH43" s="86">
        <f>(+SUMIFS(манзилли!$M:$M,манзилли!$J:$J,'свод (соҳа)'!$B43,манзилли!$AA:$AA,"&lt;01.01.2023",манзилли!$AA:$AA,"&gt;=01.01.2022"))</f>
        <v>1000</v>
      </c>
      <c r="BI43" s="86">
        <f>(+SUMIFS(манзилли!$Q:$Q,манзилли!$J:$J,'свод (соҳа)'!$B43,манзилли!$AA:$AA,"&lt;01.01.2023",манзилли!$AA:$AA,"&gt;=01.01.2022"))</f>
        <v>2500</v>
      </c>
      <c r="BJ43" s="86">
        <f>(+SUMIFS(манзилли!$S:$S,манзилли!$J:$J,'свод (соҳа)'!$B43,манзилли!$AA:$AA,"&lt;01.01.2023",манзилли!$AA:$AA,"&gt;=01.01.2022"))</f>
        <v>0</v>
      </c>
      <c r="BK43" s="86">
        <f>(+SUMIFS(манзилли!$U:$U,манзилли!$J:$J,'свод (соҳа)'!$B43,манзилли!$AA:$AA,"&lt;01.01.2023",манзилли!$AA:$AA,"&gt;=01.01.2022"))</f>
        <v>0</v>
      </c>
      <c r="BL43" s="30">
        <f>+SUMIFS(манзилли!$Y:$Y,манзилли!$J:$J,'свод (соҳа)'!$B43,манзилли!$AA:$AA,"&lt;01.01.2023",манзилли!$AA:$AA,"&gt;=01.01.2022")</f>
        <v>25</v>
      </c>
    </row>
    <row r="44" spans="1:64" s="3" customFormat="1" ht="35.25" customHeight="1" outlineLevel="1">
      <c r="A44" s="26">
        <f t="shared" si="26"/>
        <v>9</v>
      </c>
      <c r="B44" s="88" t="s">
        <v>30</v>
      </c>
      <c r="C44" s="28">
        <f>+COUNTIFS(манзилли!$J:$J,'свод (соҳа)'!$B44)</f>
        <v>122</v>
      </c>
      <c r="D44" s="86">
        <f>(+SUMIFS(манзилли!$K:$K,манзилли!$J:$J,'свод (соҳа)'!$B44))</f>
        <v>289379.8</v>
      </c>
      <c r="E44" s="86">
        <f>(+SUMIFS(манзилли!$M:$M,манзилли!$J:$J,'свод (соҳа)'!$B44))</f>
        <v>121492</v>
      </c>
      <c r="F44" s="86">
        <f>(+SUMIFS(манзилли!$Q:$Q,манзилли!$J:$J,'свод (соҳа)'!$B44))</f>
        <v>110255</v>
      </c>
      <c r="G44" s="86">
        <f>(+SUMIFS(манзилли!$S:$S,манзилли!$J:$J,'свод (соҳа)'!$B44))</f>
        <v>2576</v>
      </c>
      <c r="H44" s="86">
        <f>(+SUMIFS(манзилли!$U:$U,манзилли!$J:$J,'свод (соҳа)'!$B44))</f>
        <v>2000</v>
      </c>
      <c r="I44" s="30">
        <f>+SUMIFS(манзилли!$Y:$Y,манзилли!$J:$J,'свод (соҳа)'!$B44)</f>
        <v>933</v>
      </c>
      <c r="J44" s="28">
        <f>+(COUNTIFS(манзилли!$L:$L,"&gt;0",манзилли!$J:$J,'свод (соҳа)'!$B44)+COUNTIFS('Қўшимча ишга тушган'!$T:$T,"&gt;0",'Қўшимча ишга тушган'!$J:$J,'свод (соҳа)'!$B44))</f>
        <v>77</v>
      </c>
      <c r="K44" s="86">
        <f>(+SUMIFS(манзилли!$L:$L,манзилли!$J:$J,'свод (соҳа)'!$B44)+SUMIFS('Қўшимча ишга тушган'!$T:$T,'Қўшимча ишга тушган'!$J:$J,'свод (соҳа)'!$B44))</f>
        <v>114808.54000000001</v>
      </c>
      <c r="L44" s="86">
        <f>+(SUMIFS(манзилли!$N:$N,манзилли!$J:$J,'свод (соҳа)'!$B44)+SUMIFS('Қўшимча ишга тушган'!$V:$V,'Қўшимча ишга тушган'!$J:$J,'свод (соҳа)'!$B44))</f>
        <v>32300</v>
      </c>
      <c r="M44" s="86">
        <f>(+SUMIFS(манзилли!$R:$R,манзилли!$J:$J,'свод (соҳа)'!$B44)+SUMIFS('Қўшимча ишга тушган'!$Z:$Z,'Қўшимча ишга тушган'!$J:$J,'свод (соҳа)'!$B44))</f>
        <v>57949.5</v>
      </c>
      <c r="N44" s="86">
        <f>(+SUMIFS(манзилли!$T:$T,манзилли!$J:$J,'свод (соҳа)'!$B44)+SUMIFS('Қўшимча ишга тушган'!$AB:$AB,'Қўшимча ишга тушган'!$J:$J,'свод (соҳа)'!$B44))</f>
        <v>2406.1999999999998</v>
      </c>
      <c r="O44" s="30">
        <f>(+SUMIFS(манзилли!$V:$V,манзилли!$J:$J,'свод (соҳа)'!$B44)+SUMIFS('Қўшимча ишга тушган'!$AD:$AD,'Қўшимча ишга тушган'!$J:$J,'свод (соҳа)'!$B44))</f>
        <v>0</v>
      </c>
      <c r="P44" s="32">
        <f>+COUNTIFS(манзилли!$J:$J,'свод (соҳа)'!$B44,манзилли!$AA:$AA,"&gt;31.12.2020",манзилли!$AA:$AA,"&lt;01.01.2022")</f>
        <v>87</v>
      </c>
      <c r="Q44" s="86">
        <f>(+SUMIFS(манзилли!$K:$K,манзилли!$J:$J,'свод (соҳа)'!$B44,манзилли!$AA:$AA,"&gt;31.12.2020",манзилли!$AA:$AA,"&lt;01.01.2022"))</f>
        <v>199733.8</v>
      </c>
      <c r="R44" s="90">
        <f>(+SUMIFS(манзилли!$M:$M,манзилли!$J:$J,'свод (соҳа)'!$B44,манзилли!$AA:$AA,"&gt;31.12.2020",манзилли!$AA:$AA,"&lt;01.01.2022"))</f>
        <v>86922</v>
      </c>
      <c r="S44" s="90">
        <f>(+SUMIFS(манзилли!$Q:$Q,манзилли!$J:$J,'свод (соҳа)'!$B44,манзилли!$AA:$AA,"&gt;31.12.2020",манзилли!$AA:$AA,"&lt;01.01.2022"))</f>
        <v>80105</v>
      </c>
      <c r="T44" s="90">
        <f>(+SUMIFS(манзилли!$S:$S,манзилли!$J:$J,'свод (соҳа)'!$B44,манзилли!$AA:$AA,"&gt;31.12.2020",манзилли!$AA:$AA,"&lt;01.01.2022"))</f>
        <v>2156</v>
      </c>
      <c r="U44" s="90">
        <f>(+SUMIFS(манзилли!$U:$U,манзилли!$J:$J,'свод (соҳа)'!$B44,манзилли!$AA:$AA,"&gt;31.12.2020",манзилли!$AA:$AA,"&lt;01.01.2022"))</f>
        <v>0</v>
      </c>
      <c r="V44" s="34">
        <f>+SUMIFS(манзилли!$Y:$Y,манзилли!$J:$J,'свод (соҳа)'!$B44,манзилли!$AA:$AA,"&gt;31.12.2020",манзилли!$AA:$AA,"&lt;01.01.2022")</f>
        <v>710</v>
      </c>
      <c r="W44" s="28">
        <f t="shared" si="23"/>
        <v>8</v>
      </c>
      <c r="X44" s="86">
        <f t="shared" si="17"/>
        <v>11570</v>
      </c>
      <c r="Y44" s="86">
        <f t="shared" si="18"/>
        <v>5700</v>
      </c>
      <c r="Z44" s="86">
        <f t="shared" si="19"/>
        <v>5870</v>
      </c>
      <c r="AA44" s="86">
        <f t="shared" si="20"/>
        <v>0</v>
      </c>
      <c r="AB44" s="86">
        <f t="shared" si="21"/>
        <v>0</v>
      </c>
      <c r="AC44" s="30">
        <f t="shared" si="22"/>
        <v>66</v>
      </c>
      <c r="AD44" s="28">
        <f>+COUNTIFS(манзилли!$J:$J,'свод (соҳа)'!$B44,манзилли!$AB:$AB,"&gt;31.12.2020",манзилли!$AA:$AA,"&gt;31.12.2020",манзилли!$AA:$AA,"&lt;01.01.2022")</f>
        <v>8</v>
      </c>
      <c r="AE44" s="86">
        <f>(+SUMIFS(манзилли!$L:$L,манзилли!$J:$J,'свод (соҳа)'!$B44,манзилли!$AB:$AB,"&gt;31.12.2020",манзилли!$AA:$AA,"&gt;31.12.2020",манзилли!$AA:$AA,"&lt;01.01.2022"))</f>
        <v>11570</v>
      </c>
      <c r="AF44" s="86">
        <f>(+SUMIFS(манзилли!$N:$N,манзилли!$J:$J,'свод (соҳа)'!$B44,манзилли!$AB:$AB,"&gt;31.12.2020",манзилли!$AA:$AA,"&gt;31.12.2020",манзилли!$AA:$AA,"&lt;01.01.2022"))</f>
        <v>5700</v>
      </c>
      <c r="AG44" s="86">
        <f>(+SUMIFS(манзилли!$R:$R,манзилли!$J:$J,'свод (соҳа)'!$B44,манзилли!$AB:$AB,"&gt;31.12.2020",манзилли!$AA:$AA,"&gt;31.12.2020",манзилли!$AA:$AA,"&lt;01.01.2022"))</f>
        <v>5870</v>
      </c>
      <c r="AH44" s="86">
        <f>(+SUMIFS(манзилли!$T:$T,манзилли!$J:$J,'свод (соҳа)'!$B44,манзилли!$AB:$AB,"&gt;31.12.2020",манзилли!$AA:$AA,"&gt;31.12.2020",манзилли!$AA:$AA,"&lt;01.01.2022"))</f>
        <v>0</v>
      </c>
      <c r="AI44" s="86">
        <f>(+SUMIFS(манзилли!$V:$V,манзилли!$J:$J,'свод (соҳа)'!$B44,манзилли!$AB:$AB,"&gt;31.12.2020",манзилли!$AA:$AA,"&gt;31.12.2020",манзилли!$AA:$AA,"&lt;01.01.2022"))</f>
        <v>0</v>
      </c>
      <c r="AJ44" s="30">
        <f>+SUMIFS(манзилли!$Z:$Z,манзилли!$J:$J,'свод (соҳа)'!$B44,манзилли!$AB:$AB,"&gt;31.12.2020",манзилли!$AA:$AA,"&gt;31.12.2020",манзилли!$AA:$AA,"&lt;01.01.2022")</f>
        <v>66</v>
      </c>
      <c r="AK44" s="28">
        <f>+COUNTIFS('Қўшимча ишга тушган'!$J:$J,'свод (соҳа)'!B44,'Қўшимча ишга тушган'!$AO:$AO,"&lt;01.10.2023")</f>
        <v>0</v>
      </c>
      <c r="AL44" s="86">
        <f>(+SUMIFS('Қўшимча ишга тушган'!$T:$T,'Қўшимча ишга тушган'!$J:$J,'свод (соҳа)'!$B44,'Қўшимча ишга тушган'!$AO:$AO,"&lt;01.10.2023"))</f>
        <v>0</v>
      </c>
      <c r="AM44" s="86">
        <f>(+SUMIFS('Қўшимча ишга тушган'!$V:$V,'Қўшимча ишга тушган'!$J:$J,'свод (соҳа)'!$B44,'Қўшимча ишга тушган'!$AO:$AO,"&lt;01.10.2023"))</f>
        <v>0</v>
      </c>
      <c r="AN44" s="86">
        <f>(+SUMIFS('Қўшимча ишга тушган'!$Z:$Z,'Қўшимча ишга тушган'!$J:$J,'свод (соҳа)'!$B44,'Қўшимча ишга тушган'!$AO:$AO,"&lt;01.10.2023"))</f>
        <v>0</v>
      </c>
      <c r="AO44" s="86">
        <f>(+SUMIFS('Қўшимча ишга тушган'!$AB:$AB,'Қўшимча ишга тушган'!$J:$J,'свод (соҳа)'!$B44,'Қўшимча ишга тушган'!$AO:$AO,"&lt;01.10.2023"))</f>
        <v>0</v>
      </c>
      <c r="AP44" s="86">
        <f>(+SUMIFS('Қўшимча ишга тушган'!$AD:$AD,'Қўшимча ишга тушган'!$J:$J,'свод (соҳа)'!$B44,'Қўшимча ишга тушган'!$AO:$AO,"&lt;01.10.2023"))</f>
        <v>0</v>
      </c>
      <c r="AQ44" s="30">
        <f>+SUMIFS('Қўшимча ишга тушган'!$AM:$AM,'Қўшимча ишга тушган'!$J:$J,'свод (соҳа)'!$B44,'Қўшимча ишга тушган'!$AO:$AO,"&lt;01.10.2023")</f>
        <v>0</v>
      </c>
      <c r="AR44" s="28">
        <f>+COUNTIFS(манзилли!$J:$J,'свод (соҳа)'!$B44,манзилли!$AA:$AA,"&lt;01.02.2021",манзилли!$AB:$AB,"")</f>
        <v>0</v>
      </c>
      <c r="AS44" s="86">
        <f>(+SUMIFS(манзилли!$K:$K,манзилли!$J:$J,'свод (соҳа)'!$B44,манзилли!$AA:$AA,"&lt;01.02.2021",манзилли!$AB:$AB,""))</f>
        <v>0</v>
      </c>
      <c r="AT44" s="86">
        <f>(+SUMIFS(манзилли!$M:$M,манзилли!$J:$J,'свод (соҳа)'!$B44,манзилли!$AA:$AA,"&lt;01.02.2021",манзилли!$AB:$AB,""))</f>
        <v>0</v>
      </c>
      <c r="AU44" s="86">
        <f>(+SUMIFS(манзилли!$Q:$Q,манзилли!$J:$J,'свод (соҳа)'!$B44,манзилли!$AA:$AA,"&lt;01.02.2021",манзилли!$AB:$AB,""))</f>
        <v>0</v>
      </c>
      <c r="AV44" s="86">
        <f>(+SUMIFS(манзилли!$S:$S,манзилли!$J:$J,'свод (соҳа)'!$B44,манзилли!$AA:$AA,"&lt;01.02.2021",манзилли!$AB:$AB,""))</f>
        <v>0</v>
      </c>
      <c r="AW44" s="86">
        <f>(+SUMIFS(манзилли!$U:$U,манзилли!$J:$J,'свод (соҳа)'!$B44,манзилли!$AA:$AA,"&lt;01.02.2021",манзилли!$AB:$AB,""))</f>
        <v>0</v>
      </c>
      <c r="AX44" s="30">
        <f>+SUMIFS(манзилли!$Y:$Y,манзилли!$J:$J,'свод (соҳа)'!$B44,манзилли!$AA:$AA,"&lt;01.02.2021",манзилли!$AB:$AB,"")</f>
        <v>0</v>
      </c>
      <c r="AY44" s="28">
        <f>+COUNTIFS(манзилли!$J:$J,'свод (соҳа)'!$B44,манзилли!$AA:$AA,"&lt;01.01.2022",манзилли!$AB:$AB,"")</f>
        <v>72</v>
      </c>
      <c r="AZ44" s="86">
        <f>(+SUMIFS(манзилли!$K:$K,манзилли!$J:$J,'свод (соҳа)'!$B44,манзилли!$AA:$AA,"&lt;01.01.2022",манзилли!$AB:$AB,""))</f>
        <v>179583.8</v>
      </c>
      <c r="BA44" s="86">
        <f>(+SUMIFS(манзилли!$M:$M,манзилли!$J:$J,'свод (соҳа)'!$B44,манзилли!$AA:$AA,"&lt;01.01.2022",манзилли!$AB:$AB,""))</f>
        <v>78072</v>
      </c>
      <c r="BB44" s="86">
        <f>(+SUMIFS(манзилли!$Q:$Q,манзилли!$J:$J,'свод (соҳа)'!$B44,манзилли!$AA:$AA,"&lt;01.01.2022",манзилли!$AB:$AB,""))</f>
        <v>68805</v>
      </c>
      <c r="BC44" s="86">
        <f>(+SUMIFS(манзилли!$S:$S,манзилли!$J:$J,'свод (соҳа)'!$B44,манзилли!$AA:$AA,"&lt;01.01.2022",манзилли!$AB:$AB,""))</f>
        <v>2156</v>
      </c>
      <c r="BD44" s="86">
        <f>(+SUMIFS(манзилли!$U:$U,манзилли!$J:$J,'свод (соҳа)'!$B44,манзилли!$AA:$AA,"&lt;01.01.2022",манзилли!$AB:$AB,""))</f>
        <v>0</v>
      </c>
      <c r="BE44" s="30">
        <f>+SUMIFS(манзилли!$Y:$Y,манзилли!$J:$J,'свод (соҳа)'!$B44,манзилли!$AA:$AA,"&lt;01.01.2022",манзилли!$AB:$AB,"")</f>
        <v>591</v>
      </c>
      <c r="BF44" s="32">
        <f>+COUNTIFS(манзилли!$J:$J,'свод (соҳа)'!$B44,манзилли!$AA:$AA,"&lt;01.01.2023",манзилли!$AA:$AA,"&gt;=01.01.2022")</f>
        <v>14</v>
      </c>
      <c r="BG44" s="86">
        <f>(+SUMIFS(манзилли!$K:$K,манзилли!$J:$J,'свод (соҳа)'!$B44,манзилли!$AA:$AA,"&lt;01.01.2023",манзилли!$AA:$AA,"&gt;=01.01.2022"))</f>
        <v>59176</v>
      </c>
      <c r="BH44" s="90">
        <f>(+SUMIFS(манзилли!$M:$M,манзилли!$J:$J,'свод (соҳа)'!$B44,манзилли!$AA:$AA,"&lt;01.01.2023",манзилли!$AA:$AA,"&gt;=01.01.2022"))</f>
        <v>16550</v>
      </c>
      <c r="BI44" s="90">
        <f>(+SUMIFS(манзилли!$Q:$Q,манзилли!$J:$J,'свод (соҳа)'!$B44,манзилли!$AA:$AA,"&lt;01.01.2023",манзилли!$AA:$AA,"&gt;=01.01.2022"))</f>
        <v>17700</v>
      </c>
      <c r="BJ44" s="90">
        <f>(+SUMIFS(манзилли!$S:$S,манзилли!$J:$J,'свод (соҳа)'!$B44,манзилли!$AA:$AA,"&lt;01.01.2023",манзилли!$AA:$AA,"&gt;=01.01.2022"))</f>
        <v>420</v>
      </c>
      <c r="BK44" s="90">
        <f>(+SUMIFS(манзилли!$U:$U,манзилли!$J:$J,'свод (соҳа)'!$B44,манзилли!$AA:$AA,"&lt;01.01.2023",манзилли!$AA:$AA,"&gt;=01.01.2022"))</f>
        <v>2000</v>
      </c>
      <c r="BL44" s="34">
        <f>+SUMIFS(манзилли!$Y:$Y,манзилли!$J:$J,'свод (соҳа)'!$B44,манзилли!$AA:$AA,"&lt;01.01.2023",манзилли!$AA:$AA,"&gt;=01.01.2022")</f>
        <v>102</v>
      </c>
    </row>
    <row r="45" spans="1:64" s="3" customFormat="1" ht="35.25" customHeight="1" outlineLevel="1">
      <c r="A45" s="26">
        <f t="shared" si="26"/>
        <v>10</v>
      </c>
      <c r="B45" s="88" t="s">
        <v>50</v>
      </c>
      <c r="C45" s="28">
        <f>+COUNTIFS(манзилли!$J:$J,'свод (соҳа)'!$B45)</f>
        <v>6</v>
      </c>
      <c r="D45" s="86">
        <f>(+SUMIFS(манзилли!$K:$K,манзилли!$J:$J,'свод (соҳа)'!$B45))</f>
        <v>9230</v>
      </c>
      <c r="E45" s="86">
        <f>(+SUMIFS(манзилли!$M:$M,манзилли!$J:$J,'свод (соҳа)'!$B45))</f>
        <v>3830</v>
      </c>
      <c r="F45" s="86">
        <f>(+SUMIFS(манзилли!$Q:$Q,манзилли!$J:$J,'свод (соҳа)'!$B45))</f>
        <v>5400</v>
      </c>
      <c r="G45" s="86">
        <f>(+SUMIFS(манзилли!$S:$S,манзилли!$J:$J,'свод (соҳа)'!$B45))</f>
        <v>0</v>
      </c>
      <c r="H45" s="86">
        <f>(+SUMIFS(манзилли!$U:$U,манзилли!$J:$J,'свод (соҳа)'!$B45))</f>
        <v>0</v>
      </c>
      <c r="I45" s="30">
        <f>+SUMIFS(манзилли!$Y:$Y,манзилли!$J:$J,'свод (соҳа)'!$B45)</f>
        <v>76</v>
      </c>
      <c r="J45" s="28">
        <f>+(COUNTIFS(манзилли!$L:$L,"&gt;0",манзилли!$J:$J,'свод (соҳа)'!$B45)+COUNTIFS('Қўшимча ишга тушган'!$T:$T,"&gt;0",'Қўшимча ишга тушган'!$J:$J,'свод (соҳа)'!$B45))</f>
        <v>4</v>
      </c>
      <c r="K45" s="86">
        <f>(+SUMIFS(манзилли!$L:$L,манзилли!$J:$J,'свод (соҳа)'!$B45)+SUMIFS('Қўшимча ишга тушган'!$T:$T,'Қўшимча ишга тушган'!$J:$J,'свод (соҳа)'!$B45))</f>
        <v>6920</v>
      </c>
      <c r="L45" s="86">
        <f>+(SUMIFS(манзилли!$N:$N,манзилли!$J:$J,'свод (соҳа)'!$B45)+SUMIFS('Қўшимча ишга тушган'!$V:$V,'Қўшимча ишга тушган'!$J:$J,'свод (соҳа)'!$B45))</f>
        <v>3000</v>
      </c>
      <c r="M45" s="86">
        <f>(+SUMIFS(манзилли!$R:$R,манзилли!$J:$J,'свод (соҳа)'!$B45)+SUMIFS('Қўшимча ишга тушган'!$Z:$Z,'Қўшимча ишга тушган'!$J:$J,'свод (соҳа)'!$B45))</f>
        <v>3920</v>
      </c>
      <c r="N45" s="86">
        <f>(+SUMIFS(манзилли!$T:$T,манзилли!$J:$J,'свод (соҳа)'!$B45)+SUMIFS('Қўшимча ишга тушган'!$AB:$AB,'Қўшимча ишга тушган'!$J:$J,'свод (соҳа)'!$B45))</f>
        <v>0</v>
      </c>
      <c r="O45" s="30">
        <f>(+SUMIFS(манзилли!$V:$V,манзилли!$J:$J,'свод (соҳа)'!$B45)+SUMIFS('Қўшимча ишга тушган'!$AD:$AD,'Қўшимча ишга тушган'!$J:$J,'свод (соҳа)'!$B45))</f>
        <v>0</v>
      </c>
      <c r="P45" s="28">
        <f>+COUNTIFS(манзилли!$J:$J,'свод (соҳа)'!$B45,манзилли!$AA:$AA,"&gt;31.12.2020",манзилли!$AA:$AA,"&lt;01.01.2022")</f>
        <v>5</v>
      </c>
      <c r="Q45" s="86">
        <f>(+SUMIFS(манзилли!$K:$K,манзилли!$J:$J,'свод (соҳа)'!$B45,манзилли!$AA:$AA,"&gt;31.12.2020",манзилли!$AA:$AA,"&lt;01.01.2022"))</f>
        <v>7230</v>
      </c>
      <c r="R45" s="86">
        <f>(+SUMIFS(манзилли!$M:$M,манзилли!$J:$J,'свод (соҳа)'!$B45,манзилли!$AA:$AA,"&gt;31.12.2020",манзилли!$AA:$AA,"&lt;01.01.2022"))</f>
        <v>3230</v>
      </c>
      <c r="S45" s="86">
        <f>(+SUMIFS(манзилли!$Q:$Q,манзилли!$J:$J,'свод (соҳа)'!$B45,манзилли!$AA:$AA,"&gt;31.12.2020",манзилли!$AA:$AA,"&lt;01.01.2022"))</f>
        <v>4000</v>
      </c>
      <c r="T45" s="86">
        <f>(+SUMIFS(манзилли!$S:$S,манзилли!$J:$J,'свод (соҳа)'!$B45,манзилли!$AA:$AA,"&gt;31.12.2020",манзилли!$AA:$AA,"&lt;01.01.2022"))</f>
        <v>0</v>
      </c>
      <c r="U45" s="86">
        <f>(+SUMIFS(манзилли!$U:$U,манзилли!$J:$J,'свод (соҳа)'!$B45,манзилли!$AA:$AA,"&gt;31.12.2020",манзилли!$AA:$AA,"&lt;01.01.2022"))</f>
        <v>0</v>
      </c>
      <c r="V45" s="30">
        <f>+SUMIFS(манзилли!$Y:$Y,манзилли!$J:$J,'свод (соҳа)'!$B45,манзилли!$AA:$AA,"&gt;31.12.2020",манзилли!$AA:$AA,"&lt;01.01.2022")</f>
        <v>66</v>
      </c>
      <c r="W45" s="28">
        <f t="shared" si="23"/>
        <v>2</v>
      </c>
      <c r="X45" s="86">
        <f t="shared" si="17"/>
        <v>2900</v>
      </c>
      <c r="Y45" s="86">
        <f t="shared" si="18"/>
        <v>2400</v>
      </c>
      <c r="Z45" s="86">
        <f t="shared" si="19"/>
        <v>500</v>
      </c>
      <c r="AA45" s="86">
        <f t="shared" si="20"/>
        <v>0</v>
      </c>
      <c r="AB45" s="86">
        <f t="shared" si="21"/>
        <v>0</v>
      </c>
      <c r="AC45" s="30">
        <f t="shared" si="22"/>
        <v>12</v>
      </c>
      <c r="AD45" s="28">
        <f>+COUNTIFS(манзилли!$J:$J,'свод (соҳа)'!$B45,манзилли!$AB:$AB,"&gt;31.12.2020",манзилли!$AA:$AA,"&gt;31.12.2020",манзилли!$AA:$AA,"&lt;01.01.2022")</f>
        <v>2</v>
      </c>
      <c r="AE45" s="86">
        <f>(+SUMIFS(манзилли!$L:$L,манзилли!$J:$J,'свод (соҳа)'!$B45,манзилли!$AB:$AB,"&gt;31.12.2020",манзилли!$AA:$AA,"&gt;31.12.2020",манзилли!$AA:$AA,"&lt;01.01.2022"))</f>
        <v>2900</v>
      </c>
      <c r="AF45" s="86">
        <f>(+SUMIFS(манзилли!$N:$N,манзилли!$J:$J,'свод (соҳа)'!$B45,манзилли!$AB:$AB,"&gt;31.12.2020",манзилли!$AA:$AA,"&gt;31.12.2020",манзилли!$AA:$AA,"&lt;01.01.2022"))</f>
        <v>2400</v>
      </c>
      <c r="AG45" s="86">
        <f>(+SUMIFS(манзилли!$R:$R,манзилли!$J:$J,'свод (соҳа)'!$B45,манзилли!$AB:$AB,"&gt;31.12.2020",манзилли!$AA:$AA,"&gt;31.12.2020",манзилли!$AA:$AA,"&lt;01.01.2022"))</f>
        <v>500</v>
      </c>
      <c r="AH45" s="86">
        <f>(+SUMIFS(манзилли!$T:$T,манзилли!$J:$J,'свод (соҳа)'!$B45,манзилли!$AB:$AB,"&gt;31.12.2020",манзилли!$AA:$AA,"&gt;31.12.2020",манзилли!$AA:$AA,"&lt;01.01.2022"))</f>
        <v>0</v>
      </c>
      <c r="AI45" s="86">
        <f>(+SUMIFS(манзилли!$V:$V,манзилли!$J:$J,'свод (соҳа)'!$B45,манзилли!$AB:$AB,"&gt;31.12.2020",манзилли!$AA:$AA,"&gt;31.12.2020",манзилли!$AA:$AA,"&lt;01.01.2022"))</f>
        <v>0</v>
      </c>
      <c r="AJ45" s="30">
        <f>+SUMIFS(манзилли!$Z:$Z,манзилли!$J:$J,'свод (соҳа)'!$B45,манзилли!$AB:$AB,"&gt;31.12.2020",манзилли!$AA:$AA,"&gt;31.12.2020",манзилли!$AA:$AA,"&lt;01.01.2022")</f>
        <v>12</v>
      </c>
      <c r="AK45" s="28">
        <f>+COUNTIFS('Қўшимча ишга тушган'!$J:$J,'свод (соҳа)'!B45,'Қўшимча ишга тушган'!$AO:$AO,"&lt;01.10.2023")</f>
        <v>0</v>
      </c>
      <c r="AL45" s="86">
        <f>(+SUMIFS('Қўшимча ишга тушган'!$T:$T,'Қўшимча ишга тушган'!$J:$J,'свод (соҳа)'!$B45,'Қўшимча ишга тушган'!$AO:$AO,"&lt;01.10.2023"))</f>
        <v>0</v>
      </c>
      <c r="AM45" s="86">
        <f>(+SUMIFS('Қўшимча ишга тушган'!$V:$V,'Қўшимча ишга тушган'!$J:$J,'свод (соҳа)'!$B45,'Қўшимча ишга тушган'!$AO:$AO,"&lt;01.10.2023"))</f>
        <v>0</v>
      </c>
      <c r="AN45" s="86">
        <f>(+SUMIFS('Қўшимча ишга тушган'!$Z:$Z,'Қўшимча ишга тушган'!$J:$J,'свод (соҳа)'!$B45,'Қўшимча ишга тушган'!$AO:$AO,"&lt;01.10.2023"))</f>
        <v>0</v>
      </c>
      <c r="AO45" s="86">
        <f>(+SUMIFS('Қўшимча ишга тушган'!$AB:$AB,'Қўшимча ишга тушган'!$J:$J,'свод (соҳа)'!$B45,'Қўшимча ишга тушган'!$AO:$AO,"&lt;01.10.2023"))</f>
        <v>0</v>
      </c>
      <c r="AP45" s="86">
        <f>(+SUMIFS('Қўшимча ишга тушган'!$AD:$AD,'Қўшимча ишга тушган'!$J:$J,'свод (соҳа)'!$B45,'Қўшимча ишга тушган'!$AO:$AO,"&lt;01.10.2023"))</f>
        <v>0</v>
      </c>
      <c r="AQ45" s="30">
        <f>+SUMIFS('Қўшимча ишга тушган'!$AM:$AM,'Қўшимча ишга тушган'!$J:$J,'свод (соҳа)'!$B45,'Қўшимча ишга тушган'!$AO:$AO,"&lt;01.10.2023")</f>
        <v>0</v>
      </c>
      <c r="AR45" s="28">
        <f>+COUNTIFS(манзилли!$J:$J,'свод (соҳа)'!$B45,манзилли!$AA:$AA,"&lt;01.02.2021",манзилли!$AB:$AB,"")</f>
        <v>0</v>
      </c>
      <c r="AS45" s="86">
        <f>(+SUMIFS(манзилли!$K:$K,манзилли!$J:$J,'свод (соҳа)'!$B45,манзилли!$AA:$AA,"&lt;01.02.2021",манзилли!$AB:$AB,""))</f>
        <v>0</v>
      </c>
      <c r="AT45" s="86">
        <f>(+SUMIFS(манзилли!$M:$M,манзилли!$J:$J,'свод (соҳа)'!$B45,манзилли!$AA:$AA,"&lt;01.02.2021",манзилли!$AB:$AB,""))</f>
        <v>0</v>
      </c>
      <c r="AU45" s="86">
        <f>(+SUMIFS(манзилли!$Q:$Q,манзилли!$J:$J,'свод (соҳа)'!$B45,манзилли!$AA:$AA,"&lt;01.02.2021",манзилли!$AB:$AB,""))</f>
        <v>0</v>
      </c>
      <c r="AV45" s="86">
        <f>(+SUMIFS(манзилли!$S:$S,манзилли!$J:$J,'свод (соҳа)'!$B45,манзилли!$AA:$AA,"&lt;01.02.2021",манзилли!$AB:$AB,""))</f>
        <v>0</v>
      </c>
      <c r="AW45" s="86">
        <f>(+SUMIFS(манзилли!$U:$U,манзилли!$J:$J,'свод (соҳа)'!$B45,манзилли!$AA:$AA,"&lt;01.02.2021",манзилли!$AB:$AB,""))</f>
        <v>0</v>
      </c>
      <c r="AX45" s="30">
        <f>+SUMIFS(манзилли!$Y:$Y,манзилли!$J:$J,'свод (соҳа)'!$B45,манзилли!$AA:$AA,"&lt;01.02.2021",манзилли!$AB:$AB,"")</f>
        <v>0</v>
      </c>
      <c r="AY45" s="28">
        <f>+COUNTIFS(манзилли!$J:$J,'свод (соҳа)'!$B45,манзилли!$AA:$AA,"&lt;01.01.2022",манзилли!$AB:$AB,"")</f>
        <v>3</v>
      </c>
      <c r="AZ45" s="86">
        <f>(+SUMIFS(манзилли!$K:$K,манзилли!$J:$J,'свод (соҳа)'!$B45,манзилли!$AA:$AA,"&lt;01.01.2022",манзилли!$AB:$AB,""))</f>
        <v>5600</v>
      </c>
      <c r="BA45" s="86">
        <f>(+SUMIFS(манзилли!$M:$M,манзилли!$J:$J,'свод (соҳа)'!$B45,манзилли!$AA:$AA,"&lt;01.01.2022",манзилли!$AB:$AB,""))</f>
        <v>2700</v>
      </c>
      <c r="BB45" s="86">
        <f>(+SUMIFS(манзилли!$Q:$Q,манзилли!$J:$J,'свод (соҳа)'!$B45,манзилли!$AA:$AA,"&lt;01.01.2022",манзилли!$AB:$AB,""))</f>
        <v>2900</v>
      </c>
      <c r="BC45" s="86">
        <f>(+SUMIFS(манзилли!$S:$S,манзилли!$J:$J,'свод (соҳа)'!$B45,манзилли!$AA:$AA,"&lt;01.01.2022",манзилли!$AB:$AB,""))</f>
        <v>0</v>
      </c>
      <c r="BD45" s="86">
        <f>(+SUMIFS(манзилли!$U:$U,манзилли!$J:$J,'свод (соҳа)'!$B45,манзилли!$AA:$AA,"&lt;01.01.2022",манзилли!$AB:$AB,""))</f>
        <v>0</v>
      </c>
      <c r="BE45" s="30">
        <f>+SUMIFS(манзилли!$Y:$Y,манзилли!$J:$J,'свод (соҳа)'!$B45,манзилли!$AA:$AA,"&lt;01.01.2022",манзилли!$AB:$AB,"")</f>
        <v>50</v>
      </c>
      <c r="BF45" s="28">
        <f>+COUNTIFS(манзилли!$J:$J,'свод (соҳа)'!$B45,манзилли!$AA:$AA,"&lt;01.01.2023",манзилли!$AA:$AA,"&gt;=01.01.2022")</f>
        <v>0</v>
      </c>
      <c r="BG45" s="86">
        <f>(+SUMIFS(манзилли!$K:$K,манзилли!$J:$J,'свод (соҳа)'!$B45,манзилли!$AA:$AA,"&lt;01.01.2023",манзилли!$AA:$AA,"&gt;=01.01.2022"))</f>
        <v>0</v>
      </c>
      <c r="BH45" s="86">
        <f>(+SUMIFS(манзилли!$M:$M,манзилли!$J:$J,'свод (соҳа)'!$B45,манзилли!$AA:$AA,"&lt;01.01.2023",манзилли!$AA:$AA,"&gt;=01.01.2022"))</f>
        <v>0</v>
      </c>
      <c r="BI45" s="86">
        <f>(+SUMIFS(манзилли!$Q:$Q,манзилли!$J:$J,'свод (соҳа)'!$B45,манзилли!$AA:$AA,"&lt;01.01.2023",манзилли!$AA:$AA,"&gt;=01.01.2022"))</f>
        <v>0</v>
      </c>
      <c r="BJ45" s="86">
        <f>(+SUMIFS(манзилли!$S:$S,манзилли!$J:$J,'свод (соҳа)'!$B45,манзилли!$AA:$AA,"&lt;01.01.2023",манзилли!$AA:$AA,"&gt;=01.01.2022"))</f>
        <v>0</v>
      </c>
      <c r="BK45" s="86">
        <f>(+SUMIFS(манзилли!$U:$U,манзилли!$J:$J,'свод (соҳа)'!$B45,манзилли!$AA:$AA,"&lt;01.01.2023",манзилли!$AA:$AA,"&gt;=01.01.2022"))</f>
        <v>0</v>
      </c>
      <c r="BL45" s="30">
        <f>+SUMIFS(манзилли!$Y:$Y,манзилли!$J:$J,'свод (соҳа)'!$B45,манзилли!$AA:$AA,"&lt;01.01.2023",манзилли!$AA:$AA,"&gt;=01.01.2022")</f>
        <v>0</v>
      </c>
    </row>
    <row r="46" spans="1:64" s="3" customFormat="1" ht="35.25" customHeight="1" outlineLevel="1">
      <c r="A46" s="26">
        <f t="shared" si="26"/>
        <v>11</v>
      </c>
      <c r="B46" s="88" t="s">
        <v>57</v>
      </c>
      <c r="C46" s="28">
        <f>+COUNTIFS(манзилли!$J:$J,'свод (соҳа)'!$B46)</f>
        <v>1</v>
      </c>
      <c r="D46" s="86">
        <f>(+SUMIFS(манзилли!$K:$K,манзилли!$J:$J,'свод (соҳа)'!$B46))</f>
        <v>260</v>
      </c>
      <c r="E46" s="86">
        <f>(+SUMIFS(манзилли!$M:$M,манзилли!$J:$J,'свод (соҳа)'!$B46))</f>
        <v>60</v>
      </c>
      <c r="F46" s="86">
        <f>(+SUMIFS(манзилли!$Q:$Q,манзилли!$J:$J,'свод (соҳа)'!$B46))</f>
        <v>200</v>
      </c>
      <c r="G46" s="86">
        <f>(+SUMIFS(манзилли!$S:$S,манзилли!$J:$J,'свод (соҳа)'!$B46))</f>
        <v>0</v>
      </c>
      <c r="H46" s="86">
        <f>(+SUMIFS(манзилли!$U:$U,манзилли!$J:$J,'свод (соҳа)'!$B46))</f>
        <v>0</v>
      </c>
      <c r="I46" s="30">
        <f>+SUMIFS(манзилли!$Y:$Y,манзилли!$J:$J,'свод (соҳа)'!$B46)</f>
        <v>2</v>
      </c>
      <c r="J46" s="28">
        <f>+(COUNTIFS(манзилли!$L:$L,"&gt;0",манзилли!$J:$J,'свод (соҳа)'!$B46)+COUNTIFS('Қўшимча ишга тушган'!$T:$T,"&gt;0",'Қўшимча ишга тушган'!$J:$J,'свод (соҳа)'!$B46))</f>
        <v>1</v>
      </c>
      <c r="K46" s="86">
        <f>(+SUMIFS(манзилли!$L:$L,манзилли!$J:$J,'свод (соҳа)'!$B46)+SUMIFS('Қўшимча ишга тушган'!$T:$T,'Қўшимча ишга тушган'!$J:$J,'свод (соҳа)'!$B46))</f>
        <v>200</v>
      </c>
      <c r="L46" s="86">
        <f>+(SUMIFS(манзилли!$N:$N,манзилли!$J:$J,'свод (соҳа)'!$B46)+SUMIFS('Қўшимча ишга тушган'!$V:$V,'Қўшимча ишга тушган'!$J:$J,'свод (соҳа)'!$B46))</f>
        <v>0</v>
      </c>
      <c r="M46" s="86">
        <f>(+SUMIFS(манзилли!$R:$R,манзилли!$J:$J,'свод (соҳа)'!$B46)+SUMIFS('Қўшимча ишга тушган'!$Z:$Z,'Қўшимча ишга тушган'!$J:$J,'свод (соҳа)'!$B46))</f>
        <v>200</v>
      </c>
      <c r="N46" s="86">
        <f>(+SUMIFS(манзилли!$T:$T,манзилли!$J:$J,'свод (соҳа)'!$B46)+SUMIFS('Қўшимча ишга тушган'!$AB:$AB,'Қўшимча ишга тушган'!$J:$J,'свод (соҳа)'!$B46))</f>
        <v>0</v>
      </c>
      <c r="O46" s="30">
        <f>(+SUMIFS(манзилли!$V:$V,манзилли!$J:$J,'свод (соҳа)'!$B46)+SUMIFS('Қўшимча ишга тушган'!$AD:$AD,'Қўшимча ишга тушган'!$J:$J,'свод (соҳа)'!$B46))</f>
        <v>0</v>
      </c>
      <c r="P46" s="28">
        <f>+COUNTIFS(манзилли!$J:$J,'свод (соҳа)'!$B46,манзилли!$AA:$AA,"&gt;31.12.2020",манзилли!$AA:$AA,"&lt;01.01.2022")</f>
        <v>1</v>
      </c>
      <c r="Q46" s="86">
        <f>(+SUMIFS(манзилли!$K:$K,манзилли!$J:$J,'свод (соҳа)'!$B46,манзилли!$AA:$AA,"&gt;31.12.2020",манзилли!$AA:$AA,"&lt;01.01.2022"))</f>
        <v>260</v>
      </c>
      <c r="R46" s="86">
        <f>(+SUMIFS(манзилли!$M:$M,манзилли!$J:$J,'свод (соҳа)'!$B46,манзилли!$AA:$AA,"&gt;31.12.2020",манзилли!$AA:$AA,"&lt;01.01.2022"))</f>
        <v>60</v>
      </c>
      <c r="S46" s="86">
        <f>(+SUMIFS(манзилли!$Q:$Q,манзилли!$J:$J,'свод (соҳа)'!$B46,манзилли!$AA:$AA,"&gt;31.12.2020",манзилли!$AA:$AA,"&lt;01.01.2022"))</f>
        <v>200</v>
      </c>
      <c r="T46" s="86">
        <f>(+SUMIFS(манзилли!$S:$S,манзилли!$J:$J,'свод (соҳа)'!$B46,манзилли!$AA:$AA,"&gt;31.12.2020",манзилли!$AA:$AA,"&lt;01.01.2022"))</f>
        <v>0</v>
      </c>
      <c r="U46" s="86">
        <f>(+SUMIFS(манзилли!$U:$U,манзилли!$J:$J,'свод (соҳа)'!$B46,манзилли!$AA:$AA,"&gt;31.12.2020",манзилли!$AA:$AA,"&lt;01.01.2022"))</f>
        <v>0</v>
      </c>
      <c r="V46" s="30">
        <f>+SUMIFS(манзилли!$Y:$Y,манзилли!$J:$J,'свод (соҳа)'!$B46,манзилли!$AA:$AA,"&gt;31.12.2020",манзилли!$AA:$AA,"&lt;01.01.2022")</f>
        <v>2</v>
      </c>
      <c r="W46" s="28">
        <f t="shared" si="13"/>
        <v>0</v>
      </c>
      <c r="X46" s="86">
        <f t="shared" si="7"/>
        <v>0</v>
      </c>
      <c r="Y46" s="86">
        <f t="shared" si="8"/>
        <v>0</v>
      </c>
      <c r="Z46" s="86">
        <f t="shared" si="9"/>
        <v>0</v>
      </c>
      <c r="AA46" s="86">
        <f t="shared" si="10"/>
        <v>0</v>
      </c>
      <c r="AB46" s="86">
        <f t="shared" si="11"/>
        <v>0</v>
      </c>
      <c r="AC46" s="30">
        <f t="shared" si="12"/>
        <v>0</v>
      </c>
      <c r="AD46" s="28">
        <f>+COUNTIFS(манзилли!$J:$J,'свод (соҳа)'!$B46,манзилли!$AB:$AB,"&gt;31.12.2020",манзилли!$AA:$AA,"&gt;31.12.2020",манзилли!$AA:$AA,"&lt;01.01.2022")</f>
        <v>0</v>
      </c>
      <c r="AE46" s="86">
        <f>(+SUMIFS(манзилли!$L:$L,манзилли!$J:$J,'свод (соҳа)'!$B46,манзилли!$AB:$AB,"&gt;31.12.2020",манзилли!$AA:$AA,"&gt;31.12.2020",манзилли!$AA:$AA,"&lt;01.01.2022"))</f>
        <v>0</v>
      </c>
      <c r="AF46" s="86">
        <f>(+SUMIFS(манзилли!$N:$N,манзилли!$J:$J,'свод (соҳа)'!$B46,манзилли!$AB:$AB,"&gt;31.12.2020",манзилли!$AA:$AA,"&gt;31.12.2020",манзилли!$AA:$AA,"&lt;01.01.2022"))</f>
        <v>0</v>
      </c>
      <c r="AG46" s="86">
        <f>(+SUMIFS(манзилли!$R:$R,манзилли!$J:$J,'свод (соҳа)'!$B46,манзилли!$AB:$AB,"&gt;31.12.2020",манзилли!$AA:$AA,"&gt;31.12.2020",манзилли!$AA:$AA,"&lt;01.01.2022"))</f>
        <v>0</v>
      </c>
      <c r="AH46" s="86">
        <f>(+SUMIFS(манзилли!$T:$T,манзилли!$J:$J,'свод (соҳа)'!$B46,манзилли!$AB:$AB,"&gt;31.12.2020",манзилли!$AA:$AA,"&gt;31.12.2020",манзилли!$AA:$AA,"&lt;01.01.2022"))</f>
        <v>0</v>
      </c>
      <c r="AI46" s="86">
        <f>(+SUMIFS(манзилли!$V:$V,манзилли!$J:$J,'свод (соҳа)'!$B46,манзилли!$AB:$AB,"&gt;31.12.2020",манзилли!$AA:$AA,"&gt;31.12.2020",манзилли!$AA:$AA,"&lt;01.01.2022"))</f>
        <v>0</v>
      </c>
      <c r="AJ46" s="30">
        <f>+SUMIFS(манзилли!$Z:$Z,манзилли!$J:$J,'свод (соҳа)'!$B46,манзилли!$AB:$AB,"&gt;31.12.2020",манзилли!$AA:$AA,"&gt;31.12.2020",манзилли!$AA:$AA,"&lt;01.01.2022")</f>
        <v>0</v>
      </c>
      <c r="AK46" s="28">
        <f>+COUNTIFS('Қўшимча ишга тушган'!$J:$J,'свод (соҳа)'!B46,'Қўшимча ишга тушган'!$AO:$AO,"&lt;01.10.2023")</f>
        <v>0</v>
      </c>
      <c r="AL46" s="86">
        <f>(+SUMIFS('Қўшимча ишга тушган'!$T:$T,'Қўшимча ишга тушган'!$J:$J,'свод (соҳа)'!$B46,'Қўшимча ишга тушган'!$AO:$AO,"&lt;01.10.2023"))</f>
        <v>0</v>
      </c>
      <c r="AM46" s="86">
        <f>(+SUMIFS('Қўшимча ишга тушган'!$V:$V,'Қўшимча ишга тушган'!$J:$J,'свод (соҳа)'!$B46,'Қўшимча ишга тушган'!$AO:$AO,"&lt;01.10.2023"))</f>
        <v>0</v>
      </c>
      <c r="AN46" s="86">
        <f>(+SUMIFS('Қўшимча ишга тушган'!$Z:$Z,'Қўшимча ишга тушган'!$J:$J,'свод (соҳа)'!$B46,'Қўшимча ишга тушган'!$AO:$AO,"&lt;01.10.2023"))</f>
        <v>0</v>
      </c>
      <c r="AO46" s="86">
        <f>(+SUMIFS('Қўшимча ишга тушган'!$AB:$AB,'Қўшимча ишга тушган'!$J:$J,'свод (соҳа)'!$B46,'Қўшимча ишга тушган'!$AO:$AO,"&lt;01.10.2023"))</f>
        <v>0</v>
      </c>
      <c r="AP46" s="86">
        <f>(+SUMIFS('Қўшимча ишга тушган'!$AD:$AD,'Қўшимча ишга тушган'!$J:$J,'свод (соҳа)'!$B46,'Қўшимча ишга тушган'!$AO:$AO,"&lt;01.10.2023"))</f>
        <v>0</v>
      </c>
      <c r="AQ46" s="30">
        <f>+SUMIFS('Қўшимча ишга тушган'!$AM:$AM,'Қўшимча ишга тушган'!$J:$J,'свод (соҳа)'!$B46,'Қўшимча ишга тушган'!$AO:$AO,"&lt;01.10.2023")</f>
        <v>0</v>
      </c>
      <c r="AR46" s="28">
        <f>+COUNTIFS(манзилли!$J:$J,'свод (соҳа)'!$B46,манзилли!$AA:$AA,"&lt;01.02.2021",манзилли!$AB:$AB,"")</f>
        <v>0</v>
      </c>
      <c r="AS46" s="86">
        <f>(+SUMIFS(манзилли!$K:$K,манзилли!$J:$J,'свод (соҳа)'!$B46,манзилли!$AA:$AA,"&lt;01.02.2021",манзилли!$AB:$AB,""))</f>
        <v>0</v>
      </c>
      <c r="AT46" s="86">
        <f>(+SUMIFS(манзилли!$M:$M,манзилли!$J:$J,'свод (соҳа)'!$B46,манзилли!$AA:$AA,"&lt;01.02.2021",манзилли!$AB:$AB,""))</f>
        <v>0</v>
      </c>
      <c r="AU46" s="86">
        <f>(+SUMIFS(манзилли!$Q:$Q,манзилли!$J:$J,'свод (соҳа)'!$B46,манзилли!$AA:$AA,"&lt;01.02.2021",манзилли!$AB:$AB,""))</f>
        <v>0</v>
      </c>
      <c r="AV46" s="86">
        <f>(+SUMIFS(манзилли!$S:$S,манзилли!$J:$J,'свод (соҳа)'!$B46,манзилли!$AA:$AA,"&lt;01.02.2021",манзилли!$AB:$AB,""))</f>
        <v>0</v>
      </c>
      <c r="AW46" s="86">
        <f>(+SUMIFS(манзилли!$U:$U,манзилли!$J:$J,'свод (соҳа)'!$B46,манзилли!$AA:$AA,"&lt;01.02.2021",манзилли!$AB:$AB,""))</f>
        <v>0</v>
      </c>
      <c r="AX46" s="30">
        <f>+SUMIFS(манзилли!$Y:$Y,манзилли!$J:$J,'свод (соҳа)'!$B46,манзилли!$AA:$AA,"&lt;01.02.2021",манзилли!$AB:$AB,"")</f>
        <v>0</v>
      </c>
      <c r="AY46" s="28">
        <f>+COUNTIFS(манзилли!$J:$J,'свод (соҳа)'!$B46,манзилли!$AA:$AA,"&lt;01.01.2022",манзилли!$AB:$AB,"")</f>
        <v>1</v>
      </c>
      <c r="AZ46" s="86">
        <f>(+SUMIFS(манзилли!$K:$K,манзилли!$J:$J,'свод (соҳа)'!$B46,манзилли!$AA:$AA,"&lt;01.01.2022",манзилли!$AB:$AB,""))</f>
        <v>260</v>
      </c>
      <c r="BA46" s="86">
        <f>(+SUMIFS(манзилли!$M:$M,манзилли!$J:$J,'свод (соҳа)'!$B46,манзилли!$AA:$AA,"&lt;01.01.2022",манзилли!$AB:$AB,""))</f>
        <v>60</v>
      </c>
      <c r="BB46" s="86">
        <f>(+SUMIFS(манзилли!$Q:$Q,манзилли!$J:$J,'свод (соҳа)'!$B46,манзилли!$AA:$AA,"&lt;01.01.2022",манзилли!$AB:$AB,""))</f>
        <v>200</v>
      </c>
      <c r="BC46" s="86">
        <f>(+SUMIFS(манзилли!$S:$S,манзилли!$J:$J,'свод (соҳа)'!$B46,манзилли!$AA:$AA,"&lt;01.01.2022",манзилли!$AB:$AB,""))</f>
        <v>0</v>
      </c>
      <c r="BD46" s="86">
        <f>(+SUMIFS(манзилли!$U:$U,манзилли!$J:$J,'свод (соҳа)'!$B46,манзилли!$AA:$AA,"&lt;01.01.2022",манзилли!$AB:$AB,""))</f>
        <v>0</v>
      </c>
      <c r="BE46" s="30">
        <f>+SUMIFS(манзилли!$Y:$Y,манзилли!$J:$J,'свод (соҳа)'!$B46,манзилли!$AA:$AA,"&lt;01.01.2022",манзилли!$AB:$AB,"")</f>
        <v>2</v>
      </c>
      <c r="BF46" s="28">
        <f>+COUNTIFS(манзилли!$J:$J,'свод (соҳа)'!$B46,манзилли!$AA:$AA,"&lt;01.01.2023",манзилли!$AA:$AA,"&gt;=01.01.2022")</f>
        <v>0</v>
      </c>
      <c r="BG46" s="86">
        <f>(+SUMIFS(манзилли!$K:$K,манзилли!$J:$J,'свод (соҳа)'!$B46,манзилли!$AA:$AA,"&lt;01.01.2023",манзилли!$AA:$AA,"&gt;=01.01.2022"))</f>
        <v>0</v>
      </c>
      <c r="BH46" s="86">
        <f>(+SUMIFS(манзилли!$M:$M,манзилли!$J:$J,'свод (соҳа)'!$B46,манзилли!$AA:$AA,"&lt;01.01.2023",манзилли!$AA:$AA,"&gt;=01.01.2022"))</f>
        <v>0</v>
      </c>
      <c r="BI46" s="86">
        <f>(+SUMIFS(манзилли!$Q:$Q,манзилли!$J:$J,'свод (соҳа)'!$B46,манзилли!$AA:$AA,"&lt;01.01.2023",манзилли!$AA:$AA,"&gt;=01.01.2022"))</f>
        <v>0</v>
      </c>
      <c r="BJ46" s="86">
        <f>(+SUMIFS(манзилли!$S:$S,манзилли!$J:$J,'свод (соҳа)'!$B46,манзилли!$AA:$AA,"&lt;01.01.2023",манзилли!$AA:$AA,"&gt;=01.01.2022"))</f>
        <v>0</v>
      </c>
      <c r="BK46" s="86">
        <f>(+SUMIFS(манзилли!$U:$U,манзилли!$J:$J,'свод (соҳа)'!$B46,манзилли!$AA:$AA,"&lt;01.01.2023",манзилли!$AA:$AA,"&gt;=01.01.2022"))</f>
        <v>0</v>
      </c>
      <c r="BL46" s="30">
        <f>+SUMIFS(манзилли!$Y:$Y,манзилли!$J:$J,'свод (соҳа)'!$B46,манзилли!$AA:$AA,"&lt;01.01.2023",манзилли!$AA:$AA,"&gt;=01.01.2022")</f>
        <v>0</v>
      </c>
    </row>
    <row r="47" spans="1:64" s="3" customFormat="1" ht="35.25" customHeight="1" outlineLevel="1" thickBot="1">
      <c r="A47" s="35">
        <f t="shared" si="26"/>
        <v>12</v>
      </c>
      <c r="B47" s="89" t="s">
        <v>48</v>
      </c>
      <c r="C47" s="37">
        <f>+COUNTIFS(манзилли!$J:$J,'свод (соҳа)'!$B47)</f>
        <v>3</v>
      </c>
      <c r="D47" s="38">
        <f>(+SUMIFS(манзилли!$K:$K,манзилли!$J:$J,'свод (соҳа)'!$B47))</f>
        <v>22500</v>
      </c>
      <c r="E47" s="38">
        <f>(+SUMIFS(манзилли!$M:$M,манзилли!$J:$J,'свод (соҳа)'!$B47))</f>
        <v>17750</v>
      </c>
      <c r="F47" s="38">
        <f>(+SUMIFS(манзилли!$Q:$Q,манзилли!$J:$J,'свод (соҳа)'!$B47))</f>
        <v>0</v>
      </c>
      <c r="G47" s="38">
        <f>(+SUMIFS(манзилли!$S:$S,манзилли!$J:$J,'свод (соҳа)'!$B47))</f>
        <v>500</v>
      </c>
      <c r="H47" s="38">
        <f>(+SUMIFS(манзилли!$U:$U,манзилли!$J:$J,'свод (соҳа)'!$B47))</f>
        <v>0</v>
      </c>
      <c r="I47" s="39">
        <f>+SUMIFS(манзилли!$Y:$Y,манзилли!$J:$J,'свод (соҳа)'!$B47)</f>
        <v>92</v>
      </c>
      <c r="J47" s="37">
        <f>+(COUNTIFS(манзилли!$L:$L,"&gt;0",манзилли!$J:$J,'свод (соҳа)'!$B47)+COUNTIFS('Қўшимча ишга тушган'!$T:$T,"&gt;0",'Қўшимча ишга тушган'!$J:$J,'свод (соҳа)'!$B47))</f>
        <v>0</v>
      </c>
      <c r="K47" s="38">
        <f>(+SUMIFS(манзилли!$L:$L,манзилли!$J:$J,'свод (соҳа)'!$B47)+SUMIFS('Қўшимча ишга тушган'!$T:$T,'Қўшимча ишга тушган'!$J:$J,'свод (соҳа)'!$B47))</f>
        <v>0</v>
      </c>
      <c r="L47" s="38">
        <f>+(SUMIFS(манзилли!$N:$N,манзилли!$J:$J,'свод (соҳа)'!$B47)+SUMIFS('Қўшимча ишга тушган'!$V:$V,'Қўшимча ишга тушган'!$J:$J,'свод (соҳа)'!$B47))</f>
        <v>0</v>
      </c>
      <c r="M47" s="38">
        <f>(+SUMIFS(манзилли!$R:$R,манзилли!$J:$J,'свод (соҳа)'!$B47)+SUMIFS('Қўшимча ишга тушган'!$Z:$Z,'Қўшимча ишга тушган'!$J:$J,'свод (соҳа)'!$B47))</f>
        <v>0</v>
      </c>
      <c r="N47" s="38">
        <f>(+SUMIFS(манзилли!$T:$T,манзилли!$J:$J,'свод (соҳа)'!$B47)+SUMIFS('Қўшимча ишга тушган'!$AB:$AB,'Қўшимча ишга тушган'!$J:$J,'свод (соҳа)'!$B47))</f>
        <v>0</v>
      </c>
      <c r="O47" s="39">
        <f>(+SUMIFS(манзилли!$V:$V,манзилли!$J:$J,'свод (соҳа)'!$B47)+SUMIFS('Қўшимча ишга тушган'!$AD:$AD,'Қўшимча ишга тушган'!$J:$J,'свод (соҳа)'!$B47))</f>
        <v>0</v>
      </c>
      <c r="P47" s="37">
        <f>+COUNTIFS(манзилли!$J:$J,'свод (соҳа)'!$B47,манзилли!$AA:$AA,"&gt;31.12.2020",манзилли!$AA:$AA,"&lt;01.01.2022")</f>
        <v>3</v>
      </c>
      <c r="Q47" s="38">
        <f>(+SUMIFS(манзилли!$K:$K,манзилли!$J:$J,'свод (соҳа)'!$B47,манзилли!$AA:$AA,"&gt;31.12.2020",манзилли!$AA:$AA,"&lt;01.01.2022"))</f>
        <v>22500</v>
      </c>
      <c r="R47" s="38">
        <f>(+SUMIFS(манзилли!$M:$M,манзилли!$J:$J,'свод (соҳа)'!$B47,манзилли!$AA:$AA,"&gt;31.12.2020",манзилли!$AA:$AA,"&lt;01.01.2022"))</f>
        <v>17750</v>
      </c>
      <c r="S47" s="38">
        <f>(+SUMIFS(манзилли!$Q:$Q,манзилли!$J:$J,'свод (соҳа)'!$B47,манзилли!$AA:$AA,"&gt;31.12.2020",манзилли!$AA:$AA,"&lt;01.01.2022"))</f>
        <v>0</v>
      </c>
      <c r="T47" s="38">
        <f>(+SUMIFS(манзилли!$S:$S,манзилли!$J:$J,'свод (соҳа)'!$B47,манзилли!$AA:$AA,"&gt;31.12.2020",манзилли!$AA:$AA,"&lt;01.01.2022"))</f>
        <v>500</v>
      </c>
      <c r="U47" s="38">
        <f>(+SUMIFS(манзилли!$U:$U,манзилли!$J:$J,'свод (соҳа)'!$B47,манзилли!$AA:$AA,"&gt;31.12.2020",манзилли!$AA:$AA,"&lt;01.01.2022"))</f>
        <v>0</v>
      </c>
      <c r="V47" s="39">
        <f>+SUMIFS(манзилли!$Y:$Y,манзилли!$J:$J,'свод (соҳа)'!$B47,манзилли!$AA:$AA,"&gt;31.12.2020",манзилли!$AA:$AA,"&lt;01.01.2022")</f>
        <v>92</v>
      </c>
      <c r="W47" s="37">
        <f t="shared" si="13"/>
        <v>0</v>
      </c>
      <c r="X47" s="38">
        <f t="shared" si="7"/>
        <v>0</v>
      </c>
      <c r="Y47" s="38">
        <f t="shared" si="8"/>
        <v>0</v>
      </c>
      <c r="Z47" s="38">
        <f t="shared" si="9"/>
        <v>0</v>
      </c>
      <c r="AA47" s="38">
        <f t="shared" si="10"/>
        <v>0</v>
      </c>
      <c r="AB47" s="38">
        <f t="shared" si="11"/>
        <v>0</v>
      </c>
      <c r="AC47" s="39">
        <f t="shared" si="12"/>
        <v>0</v>
      </c>
      <c r="AD47" s="37">
        <f>+COUNTIFS(манзилли!$J:$J,'свод (соҳа)'!$B47,манзилли!$AB:$AB,"&gt;31.12.2020",манзилли!$AA:$AA,"&gt;31.12.2020",манзилли!$AA:$AA,"&lt;01.01.2022")</f>
        <v>0</v>
      </c>
      <c r="AE47" s="38">
        <f>(+SUMIFS(манзилли!$L:$L,манзилли!$J:$J,'свод (соҳа)'!$B47,манзилли!$AB:$AB,"&gt;31.12.2020",манзилли!$AA:$AA,"&gt;31.12.2020",манзилли!$AA:$AA,"&lt;01.01.2022"))</f>
        <v>0</v>
      </c>
      <c r="AF47" s="38">
        <f>(+SUMIFS(манзилли!$N:$N,манзилли!$J:$J,'свод (соҳа)'!$B47,манзилли!$AB:$AB,"&gt;31.12.2020",манзилли!$AA:$AA,"&gt;31.12.2020",манзилли!$AA:$AA,"&lt;01.01.2022"))</f>
        <v>0</v>
      </c>
      <c r="AG47" s="38">
        <f>(+SUMIFS(манзилли!$R:$R,манзилли!$J:$J,'свод (соҳа)'!$B47,манзилли!$AB:$AB,"&gt;31.12.2020",манзилли!$AA:$AA,"&gt;31.12.2020",манзилли!$AA:$AA,"&lt;01.01.2022"))</f>
        <v>0</v>
      </c>
      <c r="AH47" s="38">
        <f>(+SUMIFS(манзилли!$T:$T,манзилли!$J:$J,'свод (соҳа)'!$B47,манзилли!$AB:$AB,"&gt;31.12.2020",манзилли!$AA:$AA,"&gt;31.12.2020",манзилли!$AA:$AA,"&lt;01.01.2022"))</f>
        <v>0</v>
      </c>
      <c r="AI47" s="38">
        <f>(+SUMIFS(манзилли!$V:$V,манзилли!$J:$J,'свод (соҳа)'!$B47,манзилли!$AB:$AB,"&gt;31.12.2020",манзилли!$AA:$AA,"&gt;31.12.2020",манзилли!$AA:$AA,"&lt;01.01.2022"))</f>
        <v>0</v>
      </c>
      <c r="AJ47" s="39">
        <f>+SUMIFS(манзилли!$Z:$Z,манзилли!$J:$J,'свод (соҳа)'!$B47,манзилли!$AB:$AB,"&gt;31.12.2020",манзилли!$AA:$AA,"&gt;31.12.2020",манзилли!$AA:$AA,"&lt;01.01.2022")</f>
        <v>0</v>
      </c>
      <c r="AK47" s="37">
        <f>+COUNTIFS('Қўшимча ишга тушган'!$J:$J,'свод (соҳа)'!B47,'Қўшимча ишга тушган'!$AO:$AO,"&lt;01.10.2023")</f>
        <v>0</v>
      </c>
      <c r="AL47" s="38">
        <f>(+SUMIFS('Қўшимча ишга тушган'!$T:$T,'Қўшимча ишга тушган'!$J:$J,'свод (соҳа)'!$B47,'Қўшимча ишга тушган'!$AO:$AO,"&lt;01.10.2023"))</f>
        <v>0</v>
      </c>
      <c r="AM47" s="38">
        <f>(+SUMIFS('Қўшимча ишга тушган'!$V:$V,'Қўшимча ишга тушган'!$J:$J,'свод (соҳа)'!$B47,'Қўшимча ишга тушган'!$AO:$AO,"&lt;01.10.2023"))</f>
        <v>0</v>
      </c>
      <c r="AN47" s="38">
        <f>(+SUMIFS('Қўшимча ишга тушган'!$Z:$Z,'Қўшимча ишга тушган'!$J:$J,'свод (соҳа)'!$B47,'Қўшимча ишга тушган'!$AO:$AO,"&lt;01.10.2023"))</f>
        <v>0</v>
      </c>
      <c r="AO47" s="38">
        <f>(+SUMIFS('Қўшимча ишга тушган'!$AB:$AB,'Қўшимча ишга тушган'!$J:$J,'свод (соҳа)'!$B47,'Қўшимча ишга тушган'!$AO:$AO,"&lt;01.10.2023"))</f>
        <v>0</v>
      </c>
      <c r="AP47" s="38">
        <f>(+SUMIFS('Қўшимча ишга тушган'!$AD:$AD,'Қўшимча ишга тушган'!$J:$J,'свод (соҳа)'!$B47,'Қўшимча ишга тушган'!$AO:$AO,"&lt;01.10.2023"))</f>
        <v>0</v>
      </c>
      <c r="AQ47" s="39">
        <f>+SUMIFS('Қўшимча ишга тушган'!$AM:$AM,'Қўшимча ишга тушган'!$J:$J,'свод (соҳа)'!$B47,'Қўшимча ишга тушган'!$AO:$AO,"&lt;01.10.2023")</f>
        <v>0</v>
      </c>
      <c r="AR47" s="37">
        <f>+COUNTIFS(манзилли!$J:$J,'свод (соҳа)'!$B47,манзилли!$AA:$AA,"&lt;01.02.2021",манзилли!$AB:$AB,"")</f>
        <v>0</v>
      </c>
      <c r="AS47" s="38">
        <f>(+SUMIFS(манзилли!$K:$K,манзилли!$J:$J,'свод (соҳа)'!$B47,манзилли!$AA:$AA,"&lt;01.02.2021",манзилли!$AB:$AB,""))</f>
        <v>0</v>
      </c>
      <c r="AT47" s="38">
        <f>(+SUMIFS(манзилли!$M:$M,манзилли!$J:$J,'свод (соҳа)'!$B47,манзилли!$AA:$AA,"&lt;01.02.2021",манзилли!$AB:$AB,""))</f>
        <v>0</v>
      </c>
      <c r="AU47" s="38">
        <f>(+SUMIFS(манзилли!$Q:$Q,манзилли!$J:$J,'свод (соҳа)'!$B47,манзилли!$AA:$AA,"&lt;01.02.2021",манзилли!$AB:$AB,""))</f>
        <v>0</v>
      </c>
      <c r="AV47" s="38">
        <f>(+SUMIFS(манзилли!$S:$S,манзилли!$J:$J,'свод (соҳа)'!$B47,манзилли!$AA:$AA,"&lt;01.02.2021",манзилли!$AB:$AB,""))</f>
        <v>0</v>
      </c>
      <c r="AW47" s="38">
        <f>(+SUMIFS(манзилли!$U:$U,манзилли!$J:$J,'свод (соҳа)'!$B47,манзилли!$AA:$AA,"&lt;01.02.2021",манзилли!$AB:$AB,""))</f>
        <v>0</v>
      </c>
      <c r="AX47" s="39">
        <f>+SUMIFS(манзилли!$Y:$Y,манзилли!$J:$J,'свод (соҳа)'!$B47,манзилли!$AA:$AA,"&lt;01.02.2021",манзилли!$AB:$AB,"")</f>
        <v>0</v>
      </c>
      <c r="AY47" s="37">
        <f>+COUNTIFS(манзилли!$J:$J,'свод (соҳа)'!$B47,манзилли!$AA:$AA,"&lt;01.01.2022",манзилли!$AB:$AB,"")</f>
        <v>3</v>
      </c>
      <c r="AZ47" s="38">
        <f>(+SUMIFS(манзилли!$K:$K,манзилли!$J:$J,'свод (соҳа)'!$B47,манзилли!$AA:$AA,"&lt;01.01.2022",манзилли!$AB:$AB,""))</f>
        <v>22500</v>
      </c>
      <c r="BA47" s="38">
        <f>(+SUMIFS(манзилли!$M:$M,манзилли!$J:$J,'свод (соҳа)'!$B47,манзилли!$AA:$AA,"&lt;01.01.2022",манзилли!$AB:$AB,""))</f>
        <v>17750</v>
      </c>
      <c r="BB47" s="38">
        <f>(+SUMIFS(манзилли!$Q:$Q,манзилли!$J:$J,'свод (соҳа)'!$B47,манзилли!$AA:$AA,"&lt;01.01.2022",манзилли!$AB:$AB,""))</f>
        <v>0</v>
      </c>
      <c r="BC47" s="38">
        <f>(+SUMIFS(манзилли!$S:$S,манзилли!$J:$J,'свод (соҳа)'!$B47,манзилли!$AA:$AA,"&lt;01.01.2022",манзилли!$AB:$AB,""))</f>
        <v>500</v>
      </c>
      <c r="BD47" s="38">
        <f>(+SUMIFS(манзилли!$U:$U,манзилли!$J:$J,'свод (соҳа)'!$B47,манзилли!$AA:$AA,"&lt;01.01.2022",манзилли!$AB:$AB,""))</f>
        <v>0</v>
      </c>
      <c r="BE47" s="39">
        <f>+SUMIFS(манзилли!$Y:$Y,манзилли!$J:$J,'свод (соҳа)'!$B47,манзилли!$AA:$AA,"&lt;01.01.2022",манзилли!$AB:$AB,"")</f>
        <v>92</v>
      </c>
      <c r="BF47" s="37">
        <f>+COUNTIFS(манзилли!$J:$J,'свод (соҳа)'!$B47,манзилли!$AA:$AA,"&lt;01.01.2023",манзилли!$AA:$AA,"&gt;=01.01.2022")</f>
        <v>0</v>
      </c>
      <c r="BG47" s="38">
        <f>(+SUMIFS(манзилли!$K:$K,манзилли!$J:$J,'свод (соҳа)'!$B47,манзилли!$AA:$AA,"&lt;01.01.2023",манзилли!$AA:$AA,"&gt;=01.01.2022"))</f>
        <v>0</v>
      </c>
      <c r="BH47" s="38">
        <f>(+SUMIFS(манзилли!$M:$M,манзилли!$J:$J,'свод (соҳа)'!$B47,манзилли!$AA:$AA,"&lt;01.01.2023",манзилли!$AA:$AA,"&gt;=01.01.2022"))</f>
        <v>0</v>
      </c>
      <c r="BI47" s="38">
        <f>(+SUMIFS(манзилли!$Q:$Q,манзилли!$J:$J,'свод (соҳа)'!$B47,манзилли!$AA:$AA,"&lt;01.01.2023",манзилли!$AA:$AA,"&gt;=01.01.2022"))</f>
        <v>0</v>
      </c>
      <c r="BJ47" s="38">
        <f>(+SUMIFS(манзилли!$S:$S,манзилли!$J:$J,'свод (соҳа)'!$B47,манзилли!$AA:$AA,"&lt;01.01.2023",манзилли!$AA:$AA,"&gt;=01.01.2022"))</f>
        <v>0</v>
      </c>
      <c r="BK47" s="38">
        <f>(+SUMIFS(манзилли!$U:$U,манзилли!$J:$J,'свод (соҳа)'!$B47,манзилли!$AA:$AA,"&lt;01.01.2023",манзилли!$AA:$AA,"&gt;=01.01.2022"))</f>
        <v>0</v>
      </c>
      <c r="BL47" s="39">
        <f>+SUMIFS(манзилли!$Y:$Y,манзилли!$J:$J,'свод (соҳа)'!$B47,манзилли!$AA:$AA,"&lt;01.01.2023",манзилли!$AA:$AA,"&gt;=01.01.2022")</f>
        <v>0</v>
      </c>
    </row>
  </sheetData>
  <mergeCells count="53">
    <mergeCell ref="A6:B6"/>
    <mergeCell ref="A7:B7"/>
    <mergeCell ref="BA4:BD4"/>
    <mergeCell ref="BE4:BE5"/>
    <mergeCell ref="BF4:BF5"/>
    <mergeCell ref="AK4:AK5"/>
    <mergeCell ref="Q4:Q5"/>
    <mergeCell ref="R4:U4"/>
    <mergeCell ref="V4:V5"/>
    <mergeCell ref="W4:W5"/>
    <mergeCell ref="X4:X5"/>
    <mergeCell ref="Y4:AB4"/>
    <mergeCell ref="BG4:BG5"/>
    <mergeCell ref="BH4:BK4"/>
    <mergeCell ref="BL4:BL5"/>
    <mergeCell ref="A23:B23"/>
    <mergeCell ref="A35:B35"/>
    <mergeCell ref="AX4:AX5"/>
    <mergeCell ref="AY4:AY5"/>
    <mergeCell ref="AZ4:AZ5"/>
    <mergeCell ref="AL4:AL5"/>
    <mergeCell ref="AM4:AP4"/>
    <mergeCell ref="AQ4:AQ5"/>
    <mergeCell ref="AR4:AR5"/>
    <mergeCell ref="AS4:AS5"/>
    <mergeCell ref="AT4:AW4"/>
    <mergeCell ref="AC4:AC5"/>
    <mergeCell ref="AD4:AD5"/>
    <mergeCell ref="AK3:AQ3"/>
    <mergeCell ref="AR3:AX3"/>
    <mergeCell ref="J4:J5"/>
    <mergeCell ref="K4:K5"/>
    <mergeCell ref="L4:O4"/>
    <mergeCell ref="P4:P5"/>
    <mergeCell ref="AE4:AE5"/>
    <mergeCell ref="AF4:AI4"/>
    <mergeCell ref="AJ4:AJ5"/>
    <mergeCell ref="A1:BL1"/>
    <mergeCell ref="A2:A5"/>
    <mergeCell ref="B2:B5"/>
    <mergeCell ref="C2:I3"/>
    <mergeCell ref="J2:O3"/>
    <mergeCell ref="P2:V3"/>
    <mergeCell ref="W2:AC3"/>
    <mergeCell ref="AD2:AQ2"/>
    <mergeCell ref="AR2:AX2"/>
    <mergeCell ref="C4:C5"/>
    <mergeCell ref="D4:D5"/>
    <mergeCell ref="E4:H4"/>
    <mergeCell ref="I4:I5"/>
    <mergeCell ref="AY2:BE3"/>
    <mergeCell ref="BF2:BL3"/>
    <mergeCell ref="AD3:AJ3"/>
  </mergeCells>
  <printOptions horizontalCentered="1"/>
  <pageMargins left="0.19685039370078741" right="0.19685039370078741" top="0.39370078740157483" bottom="0.19685039370078741" header="0.19685039370078741" footer="0.19685039370078741"/>
  <pageSetup paperSize="9" scale="36" fitToHeight="100" orientation="landscape" horizontalDpi="300" verticalDpi="300" r:id="rId1"/>
  <rowBreaks count="1" manualBreakCount="1">
    <brk id="34" max="6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27"/>
  <sheetViews>
    <sheetView showZeros="0" view="pageBreakPreview" zoomScale="70" zoomScaleNormal="55" zoomScaleSheetLayoutView="70" workbookViewId="0">
      <selection activeCell="AD6" sqref="AD1:AJ1048576"/>
    </sheetView>
  </sheetViews>
  <sheetFormatPr defaultColWidth="9.140625" defaultRowHeight="15" outlineLevelCol="1"/>
  <cols>
    <col min="1" max="1" width="5.140625" style="1" customWidth="1"/>
    <col min="2" max="2" width="31.140625" style="4" customWidth="1"/>
    <col min="3" max="3" width="8.5703125" style="1" customWidth="1"/>
    <col min="4" max="4" width="15.42578125" style="1" customWidth="1"/>
    <col min="5" max="6" width="13.140625" style="1" hidden="1" customWidth="1" outlineLevel="1"/>
    <col min="7" max="8" width="15.140625" style="1" hidden="1" customWidth="1" outlineLevel="1"/>
    <col min="9" max="9" width="11.85546875" style="1" customWidth="1" collapsed="1"/>
    <col min="10" max="10" width="8.42578125" style="1" customWidth="1"/>
    <col min="11" max="11" width="15.42578125" style="1" customWidth="1"/>
    <col min="12" max="13" width="13.140625" style="1" hidden="1" customWidth="1" outlineLevel="1"/>
    <col min="14" max="15" width="15.140625" style="1" hidden="1" customWidth="1" outlineLevel="1"/>
    <col min="16" max="16" width="8.5703125" style="1" customWidth="1" collapsed="1"/>
    <col min="17" max="17" width="15.42578125" style="1" customWidth="1"/>
    <col min="18" max="19" width="13.140625" style="1" hidden="1" customWidth="1" outlineLevel="1"/>
    <col min="20" max="21" width="15.140625" style="1" hidden="1" customWidth="1" outlineLevel="1"/>
    <col min="22" max="22" width="11.85546875" style="1" customWidth="1" collapsed="1"/>
    <col min="23" max="23" width="8.5703125" style="1" customWidth="1"/>
    <col min="24" max="24" width="15.42578125" style="1" customWidth="1"/>
    <col min="25" max="26" width="13.140625" style="1" hidden="1" customWidth="1" outlineLevel="1"/>
    <col min="27" max="28" width="15.140625" style="1" hidden="1" customWidth="1" outlineLevel="1"/>
    <col min="29" max="29" width="11.85546875" style="1" customWidth="1" collapsed="1"/>
    <col min="30" max="30" width="8.5703125" style="1" customWidth="1"/>
    <col min="31" max="31" width="15.42578125" style="1" customWidth="1"/>
    <col min="32" max="33" width="13.140625" style="1" hidden="1" customWidth="1" outlineLevel="1"/>
    <col min="34" max="35" width="15.140625" style="1" hidden="1" customWidth="1" outlineLevel="1"/>
    <col min="36" max="36" width="11.85546875" style="1" customWidth="1" collapsed="1"/>
    <col min="37" max="37" width="8.5703125" style="1" customWidth="1"/>
    <col min="38" max="38" width="15.42578125" style="1" customWidth="1"/>
    <col min="39" max="40" width="13.140625" style="1" hidden="1" customWidth="1" outlineLevel="1"/>
    <col min="41" max="42" width="15.140625" style="1" hidden="1" customWidth="1" outlineLevel="1"/>
    <col min="43" max="43" width="11.85546875" style="1" customWidth="1" collapsed="1"/>
    <col min="44" max="44" width="8.5703125" style="1" customWidth="1"/>
    <col min="45" max="45" width="15.42578125" style="1" customWidth="1"/>
    <col min="46" max="47" width="13.140625" style="1" hidden="1" customWidth="1" outlineLevel="1"/>
    <col min="48" max="49" width="15.140625" style="1" hidden="1" customWidth="1" outlineLevel="1"/>
    <col min="50" max="50" width="11.85546875" style="1" customWidth="1" collapsed="1"/>
    <col min="51" max="51" width="8.5703125" style="1" customWidth="1"/>
    <col min="52" max="52" width="15.42578125" style="1" customWidth="1"/>
    <col min="53" max="54" width="13.140625" style="1" hidden="1" customWidth="1" outlineLevel="1"/>
    <col min="55" max="56" width="15.140625" style="1" hidden="1" customWidth="1" outlineLevel="1"/>
    <col min="57" max="57" width="11.85546875" style="1" customWidth="1" collapsed="1"/>
    <col min="58" max="58" width="8.5703125" style="1" customWidth="1"/>
    <col min="59" max="59" width="15.42578125" style="1" customWidth="1"/>
    <col min="60" max="61" width="13.140625" style="1" hidden="1" customWidth="1" outlineLevel="1"/>
    <col min="62" max="63" width="15.140625" style="1" hidden="1" customWidth="1" outlineLevel="1"/>
    <col min="64" max="64" width="11.85546875" style="1" customWidth="1" collapsed="1"/>
    <col min="65" max="16384" width="9.140625" style="1"/>
  </cols>
  <sheetData>
    <row r="1" spans="1:64" ht="74.25" customHeight="1" thickBot="1">
      <c r="A1" s="140" t="s">
        <v>2019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</row>
    <row r="2" spans="1:64" s="5" customFormat="1" ht="26.25" customHeight="1" thickBot="1">
      <c r="A2" s="127" t="s">
        <v>72</v>
      </c>
      <c r="B2" s="127" t="s">
        <v>443</v>
      </c>
      <c r="C2" s="127" t="s">
        <v>79</v>
      </c>
      <c r="D2" s="127"/>
      <c r="E2" s="127"/>
      <c r="F2" s="127"/>
      <c r="G2" s="127"/>
      <c r="H2" s="127"/>
      <c r="I2" s="127"/>
      <c r="J2" s="127" t="s">
        <v>80</v>
      </c>
      <c r="K2" s="127"/>
      <c r="L2" s="127"/>
      <c r="M2" s="127"/>
      <c r="N2" s="127"/>
      <c r="O2" s="127"/>
      <c r="P2" s="127" t="s">
        <v>1769</v>
      </c>
      <c r="Q2" s="127"/>
      <c r="R2" s="127"/>
      <c r="S2" s="127"/>
      <c r="T2" s="127"/>
      <c r="U2" s="127"/>
      <c r="V2" s="127"/>
      <c r="W2" s="128" t="s">
        <v>2041</v>
      </c>
      <c r="X2" s="129"/>
      <c r="Y2" s="129"/>
      <c r="Z2" s="129"/>
      <c r="AA2" s="129"/>
      <c r="AB2" s="129"/>
      <c r="AC2" s="130"/>
      <c r="AD2" s="137" t="s">
        <v>1770</v>
      </c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9"/>
      <c r="AR2" s="141" t="s">
        <v>2075</v>
      </c>
      <c r="AS2" s="142"/>
      <c r="AT2" s="142"/>
      <c r="AU2" s="142"/>
      <c r="AV2" s="142"/>
      <c r="AW2" s="142"/>
      <c r="AX2" s="143"/>
      <c r="AY2" s="127" t="s">
        <v>73</v>
      </c>
      <c r="AZ2" s="127"/>
      <c r="BA2" s="127"/>
      <c r="BB2" s="127"/>
      <c r="BC2" s="127"/>
      <c r="BD2" s="127"/>
      <c r="BE2" s="127"/>
      <c r="BF2" s="127" t="s">
        <v>1780</v>
      </c>
      <c r="BG2" s="127"/>
      <c r="BH2" s="127"/>
      <c r="BI2" s="127"/>
      <c r="BJ2" s="127"/>
      <c r="BK2" s="127"/>
      <c r="BL2" s="127"/>
    </row>
    <row r="3" spans="1:64" s="5" customFormat="1" ht="50.25" customHeight="1" thickBot="1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31"/>
      <c r="X3" s="132"/>
      <c r="Y3" s="132"/>
      <c r="Z3" s="132"/>
      <c r="AA3" s="132"/>
      <c r="AB3" s="132"/>
      <c r="AC3" s="133"/>
      <c r="AD3" s="127" t="s">
        <v>2043</v>
      </c>
      <c r="AE3" s="127"/>
      <c r="AF3" s="127"/>
      <c r="AG3" s="127"/>
      <c r="AH3" s="127"/>
      <c r="AI3" s="127"/>
      <c r="AJ3" s="127"/>
      <c r="AK3" s="127" t="s">
        <v>2042</v>
      </c>
      <c r="AL3" s="127"/>
      <c r="AM3" s="127"/>
      <c r="AN3" s="127"/>
      <c r="AO3" s="127"/>
      <c r="AP3" s="127"/>
      <c r="AQ3" s="127"/>
      <c r="AR3" s="134" t="s">
        <v>74</v>
      </c>
      <c r="AS3" s="134"/>
      <c r="AT3" s="134"/>
      <c r="AU3" s="134"/>
      <c r="AV3" s="134"/>
      <c r="AW3" s="134"/>
      <c r="AX3" s="134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</row>
    <row r="4" spans="1:64" s="5" customFormat="1" ht="15" customHeight="1" thickBot="1">
      <c r="A4" s="127"/>
      <c r="B4" s="127"/>
      <c r="C4" s="127" t="s">
        <v>75</v>
      </c>
      <c r="D4" s="127" t="s">
        <v>1765</v>
      </c>
      <c r="E4" s="127" t="s">
        <v>82</v>
      </c>
      <c r="F4" s="127"/>
      <c r="G4" s="127"/>
      <c r="H4" s="127"/>
      <c r="I4" s="127" t="s">
        <v>81</v>
      </c>
      <c r="J4" s="127" t="s">
        <v>75</v>
      </c>
      <c r="K4" s="127" t="s">
        <v>1765</v>
      </c>
      <c r="L4" s="127" t="s">
        <v>82</v>
      </c>
      <c r="M4" s="127"/>
      <c r="N4" s="127"/>
      <c r="O4" s="127"/>
      <c r="P4" s="122" t="s">
        <v>75</v>
      </c>
      <c r="Q4" s="122" t="s">
        <v>1765</v>
      </c>
      <c r="R4" s="137" t="s">
        <v>82</v>
      </c>
      <c r="S4" s="138"/>
      <c r="T4" s="138"/>
      <c r="U4" s="139"/>
      <c r="V4" s="122" t="s">
        <v>76</v>
      </c>
      <c r="W4" s="122" t="s">
        <v>75</v>
      </c>
      <c r="X4" s="122" t="s">
        <v>1765</v>
      </c>
      <c r="Y4" s="127" t="s">
        <v>82</v>
      </c>
      <c r="Z4" s="127"/>
      <c r="AA4" s="127"/>
      <c r="AB4" s="127"/>
      <c r="AC4" s="127" t="s">
        <v>81</v>
      </c>
      <c r="AD4" s="127" t="s">
        <v>75</v>
      </c>
      <c r="AE4" s="127" t="s">
        <v>1765</v>
      </c>
      <c r="AF4" s="127" t="s">
        <v>82</v>
      </c>
      <c r="AG4" s="127"/>
      <c r="AH4" s="127"/>
      <c r="AI4" s="127"/>
      <c r="AJ4" s="127" t="s">
        <v>81</v>
      </c>
      <c r="AK4" s="127" t="s">
        <v>75</v>
      </c>
      <c r="AL4" s="127" t="s">
        <v>1765</v>
      </c>
      <c r="AM4" s="127" t="s">
        <v>82</v>
      </c>
      <c r="AN4" s="127"/>
      <c r="AO4" s="127"/>
      <c r="AP4" s="127"/>
      <c r="AQ4" s="127" t="s">
        <v>81</v>
      </c>
      <c r="AR4" s="127" t="s">
        <v>75</v>
      </c>
      <c r="AS4" s="127" t="s">
        <v>1765</v>
      </c>
      <c r="AT4" s="127" t="s">
        <v>82</v>
      </c>
      <c r="AU4" s="127"/>
      <c r="AV4" s="127"/>
      <c r="AW4" s="127"/>
      <c r="AX4" s="127" t="s">
        <v>81</v>
      </c>
      <c r="AY4" s="127" t="s">
        <v>75</v>
      </c>
      <c r="AZ4" s="127" t="s">
        <v>1765</v>
      </c>
      <c r="BA4" s="127" t="s">
        <v>82</v>
      </c>
      <c r="BB4" s="127"/>
      <c r="BC4" s="127"/>
      <c r="BD4" s="127"/>
      <c r="BE4" s="127" t="s">
        <v>81</v>
      </c>
      <c r="BF4" s="127" t="s">
        <v>75</v>
      </c>
      <c r="BG4" s="127" t="s">
        <v>1765</v>
      </c>
      <c r="BH4" s="127" t="s">
        <v>82</v>
      </c>
      <c r="BI4" s="127"/>
      <c r="BJ4" s="127"/>
      <c r="BK4" s="127"/>
      <c r="BL4" s="127" t="s">
        <v>76</v>
      </c>
    </row>
    <row r="5" spans="1:64" s="5" customFormat="1" ht="51.75" customHeight="1" thickBot="1">
      <c r="A5" s="127"/>
      <c r="B5" s="127"/>
      <c r="C5" s="127"/>
      <c r="D5" s="127"/>
      <c r="E5" s="83" t="s">
        <v>1766</v>
      </c>
      <c r="F5" s="83" t="s">
        <v>83</v>
      </c>
      <c r="G5" s="83" t="s">
        <v>1767</v>
      </c>
      <c r="H5" s="83" t="s">
        <v>1768</v>
      </c>
      <c r="I5" s="127"/>
      <c r="J5" s="127"/>
      <c r="K5" s="127"/>
      <c r="L5" s="83" t="s">
        <v>1766</v>
      </c>
      <c r="M5" s="83" t="s">
        <v>83</v>
      </c>
      <c r="N5" s="83" t="s">
        <v>1767</v>
      </c>
      <c r="O5" s="83" t="s">
        <v>1768</v>
      </c>
      <c r="P5" s="123"/>
      <c r="Q5" s="123"/>
      <c r="R5" s="83" t="s">
        <v>1766</v>
      </c>
      <c r="S5" s="83" t="s">
        <v>83</v>
      </c>
      <c r="T5" s="83" t="s">
        <v>1767</v>
      </c>
      <c r="U5" s="83" t="s">
        <v>1768</v>
      </c>
      <c r="V5" s="123"/>
      <c r="W5" s="123"/>
      <c r="X5" s="123"/>
      <c r="Y5" s="83" t="s">
        <v>1766</v>
      </c>
      <c r="Z5" s="83" t="s">
        <v>83</v>
      </c>
      <c r="AA5" s="83" t="s">
        <v>1767</v>
      </c>
      <c r="AB5" s="83" t="s">
        <v>1768</v>
      </c>
      <c r="AC5" s="127"/>
      <c r="AD5" s="127"/>
      <c r="AE5" s="127"/>
      <c r="AF5" s="83" t="s">
        <v>1766</v>
      </c>
      <c r="AG5" s="83" t="s">
        <v>83</v>
      </c>
      <c r="AH5" s="83" t="s">
        <v>1767</v>
      </c>
      <c r="AI5" s="83" t="s">
        <v>1768</v>
      </c>
      <c r="AJ5" s="127"/>
      <c r="AK5" s="127"/>
      <c r="AL5" s="127"/>
      <c r="AM5" s="83" t="s">
        <v>1766</v>
      </c>
      <c r="AN5" s="83" t="s">
        <v>83</v>
      </c>
      <c r="AO5" s="83" t="s">
        <v>1767</v>
      </c>
      <c r="AP5" s="83" t="s">
        <v>1768</v>
      </c>
      <c r="AQ5" s="127"/>
      <c r="AR5" s="127"/>
      <c r="AS5" s="127"/>
      <c r="AT5" s="83" t="s">
        <v>1766</v>
      </c>
      <c r="AU5" s="83" t="s">
        <v>83</v>
      </c>
      <c r="AV5" s="83" t="s">
        <v>1767</v>
      </c>
      <c r="AW5" s="83" t="s">
        <v>1768</v>
      </c>
      <c r="AX5" s="127"/>
      <c r="AY5" s="127"/>
      <c r="AZ5" s="127"/>
      <c r="BA5" s="83" t="s">
        <v>1766</v>
      </c>
      <c r="BB5" s="83" t="s">
        <v>83</v>
      </c>
      <c r="BC5" s="83" t="s">
        <v>1767</v>
      </c>
      <c r="BD5" s="83" t="s">
        <v>1768</v>
      </c>
      <c r="BE5" s="127"/>
      <c r="BF5" s="127"/>
      <c r="BG5" s="127"/>
      <c r="BH5" s="83" t="s">
        <v>1766</v>
      </c>
      <c r="BI5" s="83" t="s">
        <v>83</v>
      </c>
      <c r="BJ5" s="83" t="s">
        <v>1767</v>
      </c>
      <c r="BK5" s="83" t="s">
        <v>1768</v>
      </c>
      <c r="BL5" s="127"/>
    </row>
    <row r="6" spans="1:64" s="44" customFormat="1" ht="45.75" customHeight="1" thickBot="1">
      <c r="A6" s="124" t="s">
        <v>77</v>
      </c>
      <c r="B6" s="126"/>
      <c r="C6" s="42">
        <f>+C7+C11+C15+C19+C22+C25</f>
        <v>968</v>
      </c>
      <c r="D6" s="42">
        <f t="shared" ref="D6:BI6" si="0">+D7+D11+D15+D19+D22+D25</f>
        <v>8565835.2516947389</v>
      </c>
      <c r="E6" s="42">
        <f t="shared" si="0"/>
        <v>3294405.9390347367</v>
      </c>
      <c r="F6" s="42">
        <f t="shared" si="0"/>
        <v>1631107.51266</v>
      </c>
      <c r="G6" s="42">
        <f t="shared" si="0"/>
        <v>214321</v>
      </c>
      <c r="H6" s="42">
        <f t="shared" si="0"/>
        <v>139395</v>
      </c>
      <c r="I6" s="42">
        <f t="shared" si="0"/>
        <v>20232</v>
      </c>
      <c r="J6" s="42">
        <f t="shared" si="0"/>
        <v>590</v>
      </c>
      <c r="K6" s="42">
        <f t="shared" si="0"/>
        <v>1528094.28</v>
      </c>
      <c r="L6" s="42">
        <f t="shared" si="0"/>
        <v>309283.20000000001</v>
      </c>
      <c r="M6" s="42">
        <f t="shared" si="0"/>
        <v>573966</v>
      </c>
      <c r="N6" s="42">
        <f t="shared" si="0"/>
        <v>63244.399999999994</v>
      </c>
      <c r="O6" s="42">
        <f t="shared" si="0"/>
        <v>0</v>
      </c>
      <c r="P6" s="42">
        <f t="shared" si="0"/>
        <v>699</v>
      </c>
      <c r="Q6" s="42">
        <f t="shared" si="0"/>
        <v>6587027.9516947372</v>
      </c>
      <c r="R6" s="42">
        <f t="shared" si="0"/>
        <v>2629395.9390347367</v>
      </c>
      <c r="S6" s="42">
        <f t="shared" si="0"/>
        <v>1061254.51266</v>
      </c>
      <c r="T6" s="42">
        <f t="shared" si="0"/>
        <v>163990</v>
      </c>
      <c r="U6" s="42">
        <f t="shared" si="0"/>
        <v>117995</v>
      </c>
      <c r="V6" s="42">
        <f t="shared" si="0"/>
        <v>14954</v>
      </c>
      <c r="W6" s="42">
        <f t="shared" si="0"/>
        <v>39</v>
      </c>
      <c r="X6" s="42">
        <f t="shared" si="0"/>
        <v>74169.5</v>
      </c>
      <c r="Y6" s="42">
        <f t="shared" si="0"/>
        <v>45461</v>
      </c>
      <c r="Z6" s="42">
        <f t="shared" si="0"/>
        <v>27174</v>
      </c>
      <c r="AA6" s="42">
        <f t="shared" si="0"/>
        <v>149</v>
      </c>
      <c r="AB6" s="42">
        <f t="shared" si="0"/>
        <v>0</v>
      </c>
      <c r="AC6" s="42">
        <f t="shared" si="0"/>
        <v>257</v>
      </c>
      <c r="AD6" s="42">
        <f t="shared" si="0"/>
        <v>39</v>
      </c>
      <c r="AE6" s="42">
        <f t="shared" si="0"/>
        <v>74169.5</v>
      </c>
      <c r="AF6" s="42">
        <f t="shared" si="0"/>
        <v>45461</v>
      </c>
      <c r="AG6" s="42">
        <f t="shared" si="0"/>
        <v>27174</v>
      </c>
      <c r="AH6" s="42">
        <f t="shared" si="0"/>
        <v>149</v>
      </c>
      <c r="AI6" s="42">
        <f t="shared" si="0"/>
        <v>0</v>
      </c>
      <c r="AJ6" s="42">
        <f t="shared" si="0"/>
        <v>257</v>
      </c>
      <c r="AK6" s="42">
        <f t="shared" si="0"/>
        <v>0</v>
      </c>
      <c r="AL6" s="42">
        <f t="shared" si="0"/>
        <v>0</v>
      </c>
      <c r="AM6" s="42">
        <f t="shared" si="0"/>
        <v>0</v>
      </c>
      <c r="AN6" s="42">
        <f t="shared" si="0"/>
        <v>0</v>
      </c>
      <c r="AO6" s="42">
        <f t="shared" si="0"/>
        <v>0</v>
      </c>
      <c r="AP6" s="42">
        <f t="shared" si="0"/>
        <v>0</v>
      </c>
      <c r="AQ6" s="42">
        <f t="shared" si="0"/>
        <v>0</v>
      </c>
      <c r="AR6" s="42">
        <f t="shared" si="0"/>
        <v>0</v>
      </c>
      <c r="AS6" s="42">
        <f t="shared" si="0"/>
        <v>0</v>
      </c>
      <c r="AT6" s="42">
        <f t="shared" si="0"/>
        <v>0</v>
      </c>
      <c r="AU6" s="42">
        <f t="shared" si="0"/>
        <v>0</v>
      </c>
      <c r="AV6" s="42">
        <f t="shared" si="0"/>
        <v>0</v>
      </c>
      <c r="AW6" s="42">
        <f t="shared" si="0"/>
        <v>0</v>
      </c>
      <c r="AX6" s="42">
        <f t="shared" si="0"/>
        <v>0</v>
      </c>
      <c r="AY6" s="42">
        <f t="shared" si="0"/>
        <v>605</v>
      </c>
      <c r="AZ6" s="42">
        <f t="shared" si="0"/>
        <v>6292001.1616947372</v>
      </c>
      <c r="BA6" s="42">
        <f t="shared" si="0"/>
        <v>2442104.6490347367</v>
      </c>
      <c r="BB6" s="42">
        <f t="shared" si="0"/>
        <v>960919.81266000005</v>
      </c>
      <c r="BC6" s="42">
        <f t="shared" si="0"/>
        <v>163354</v>
      </c>
      <c r="BD6" s="42">
        <f t="shared" si="0"/>
        <v>117995</v>
      </c>
      <c r="BE6" s="42">
        <f t="shared" si="0"/>
        <v>14117</v>
      </c>
      <c r="BF6" s="42">
        <f t="shared" si="0"/>
        <v>131</v>
      </c>
      <c r="BG6" s="42">
        <f t="shared" si="0"/>
        <v>1770195.8</v>
      </c>
      <c r="BH6" s="42">
        <f t="shared" si="0"/>
        <v>567027</v>
      </c>
      <c r="BI6" s="42">
        <f t="shared" si="0"/>
        <v>474900</v>
      </c>
      <c r="BJ6" s="42">
        <f t="shared" ref="BJ6:BL6" si="1">+BJ7+BJ11+BJ15+BJ19+BJ22+BJ25</f>
        <v>49946</v>
      </c>
      <c r="BK6" s="42">
        <f t="shared" si="1"/>
        <v>21400</v>
      </c>
      <c r="BL6" s="42">
        <f t="shared" si="1"/>
        <v>4488</v>
      </c>
    </row>
    <row r="7" spans="1:64" s="3" customFormat="1" ht="35.25" customHeight="1" thickBot="1">
      <c r="A7" s="148" t="s">
        <v>1771</v>
      </c>
      <c r="B7" s="149"/>
      <c r="C7" s="41">
        <f>+SUM(C8:C10)</f>
        <v>320</v>
      </c>
      <c r="D7" s="41">
        <f t="shared" ref="D7:BI7" si="2">+SUM(D8:D10)</f>
        <v>2345491</v>
      </c>
      <c r="E7" s="41">
        <f t="shared" si="2"/>
        <v>911529</v>
      </c>
      <c r="F7" s="41">
        <f t="shared" si="2"/>
        <v>678110</v>
      </c>
      <c r="G7" s="41">
        <f t="shared" si="2"/>
        <v>64110</v>
      </c>
      <c r="H7" s="41">
        <f t="shared" si="2"/>
        <v>12210</v>
      </c>
      <c r="I7" s="41">
        <f t="shared" si="2"/>
        <v>6909</v>
      </c>
      <c r="J7" s="41">
        <f t="shared" si="2"/>
        <v>164</v>
      </c>
      <c r="K7" s="41">
        <f t="shared" si="2"/>
        <v>335688.68</v>
      </c>
      <c r="L7" s="41">
        <f t="shared" si="2"/>
        <v>29557.1</v>
      </c>
      <c r="M7" s="41">
        <f t="shared" si="2"/>
        <v>83104.5</v>
      </c>
      <c r="N7" s="41">
        <f t="shared" si="2"/>
        <v>21879.9</v>
      </c>
      <c r="O7" s="41">
        <f t="shared" si="2"/>
        <v>0</v>
      </c>
      <c r="P7" s="41">
        <f t="shared" si="2"/>
        <v>226</v>
      </c>
      <c r="Q7" s="41">
        <f t="shared" si="2"/>
        <v>1477575.2000000002</v>
      </c>
      <c r="R7" s="41">
        <f t="shared" si="2"/>
        <v>597227</v>
      </c>
      <c r="S7" s="41">
        <f t="shared" si="2"/>
        <v>341435</v>
      </c>
      <c r="T7" s="41">
        <f t="shared" si="2"/>
        <v>45744</v>
      </c>
      <c r="U7" s="41">
        <f t="shared" si="2"/>
        <v>9810</v>
      </c>
      <c r="V7" s="41">
        <f t="shared" si="2"/>
        <v>3852</v>
      </c>
      <c r="W7" s="41">
        <f t="shared" si="2"/>
        <v>15</v>
      </c>
      <c r="X7" s="41">
        <f t="shared" si="2"/>
        <v>9527</v>
      </c>
      <c r="Y7" s="41">
        <f t="shared" si="2"/>
        <v>6420</v>
      </c>
      <c r="Z7" s="41">
        <f t="shared" si="2"/>
        <v>3107</v>
      </c>
      <c r="AA7" s="41">
        <f t="shared" si="2"/>
        <v>0</v>
      </c>
      <c r="AB7" s="41">
        <f t="shared" si="2"/>
        <v>0</v>
      </c>
      <c r="AC7" s="41">
        <f t="shared" si="2"/>
        <v>66</v>
      </c>
      <c r="AD7" s="41">
        <f t="shared" si="2"/>
        <v>15</v>
      </c>
      <c r="AE7" s="41">
        <f t="shared" si="2"/>
        <v>9527</v>
      </c>
      <c r="AF7" s="41">
        <f t="shared" si="2"/>
        <v>6420</v>
      </c>
      <c r="AG7" s="41">
        <f t="shared" si="2"/>
        <v>3107</v>
      </c>
      <c r="AH7" s="41">
        <f t="shared" si="2"/>
        <v>0</v>
      </c>
      <c r="AI7" s="41">
        <f t="shared" si="2"/>
        <v>0</v>
      </c>
      <c r="AJ7" s="41">
        <f t="shared" si="2"/>
        <v>66</v>
      </c>
      <c r="AK7" s="41">
        <f t="shared" si="2"/>
        <v>0</v>
      </c>
      <c r="AL7" s="41">
        <f t="shared" si="2"/>
        <v>0</v>
      </c>
      <c r="AM7" s="41">
        <f t="shared" si="2"/>
        <v>0</v>
      </c>
      <c r="AN7" s="41">
        <f t="shared" si="2"/>
        <v>0</v>
      </c>
      <c r="AO7" s="41">
        <f t="shared" si="2"/>
        <v>0</v>
      </c>
      <c r="AP7" s="41">
        <f t="shared" si="2"/>
        <v>0</v>
      </c>
      <c r="AQ7" s="41">
        <f t="shared" si="2"/>
        <v>0</v>
      </c>
      <c r="AR7" s="41">
        <f t="shared" si="2"/>
        <v>0</v>
      </c>
      <c r="AS7" s="41">
        <f t="shared" si="2"/>
        <v>0</v>
      </c>
      <c r="AT7" s="41">
        <f t="shared" si="2"/>
        <v>0</v>
      </c>
      <c r="AU7" s="41">
        <f t="shared" si="2"/>
        <v>0</v>
      </c>
      <c r="AV7" s="41">
        <f t="shared" si="2"/>
        <v>0</v>
      </c>
      <c r="AW7" s="41">
        <f t="shared" si="2"/>
        <v>0</v>
      </c>
      <c r="AX7" s="41">
        <f t="shared" si="2"/>
        <v>0</v>
      </c>
      <c r="AY7" s="41">
        <f t="shared" si="2"/>
        <v>201</v>
      </c>
      <c r="AZ7" s="41">
        <f t="shared" si="2"/>
        <v>1446466.4000000001</v>
      </c>
      <c r="BA7" s="41">
        <f t="shared" si="2"/>
        <v>581627</v>
      </c>
      <c r="BB7" s="41">
        <f t="shared" si="2"/>
        <v>330005</v>
      </c>
      <c r="BC7" s="41">
        <f t="shared" si="2"/>
        <v>45348</v>
      </c>
      <c r="BD7" s="41">
        <f t="shared" si="2"/>
        <v>9810</v>
      </c>
      <c r="BE7" s="41">
        <f t="shared" si="2"/>
        <v>3715</v>
      </c>
      <c r="BF7" s="41">
        <f t="shared" si="2"/>
        <v>70</v>
      </c>
      <c r="BG7" s="41">
        <f t="shared" si="2"/>
        <v>823921.8</v>
      </c>
      <c r="BH7" s="41">
        <f t="shared" si="2"/>
        <v>298877</v>
      </c>
      <c r="BI7" s="41">
        <f t="shared" si="2"/>
        <v>318650</v>
      </c>
      <c r="BJ7" s="41">
        <f t="shared" ref="BJ7:BL7" si="3">+SUM(BJ8:BJ10)</f>
        <v>18286</v>
      </c>
      <c r="BK7" s="41">
        <f t="shared" si="3"/>
        <v>2400</v>
      </c>
      <c r="BL7" s="43">
        <f t="shared" si="3"/>
        <v>2871</v>
      </c>
    </row>
    <row r="8" spans="1:64" s="3" customFormat="1" ht="35.25" customHeight="1">
      <c r="A8" s="10">
        <v>1</v>
      </c>
      <c r="B8" s="11" t="s">
        <v>183</v>
      </c>
      <c r="C8" s="46">
        <f>+COUNTIFS(манзилли!$D:$D,'свод (сектор)'!$B8)</f>
        <v>66</v>
      </c>
      <c r="D8" s="47">
        <f>(+SUMIFS(манзилли!$K:$K,манзилли!$D:$D,'свод (сектор)'!$B8))</f>
        <v>229473.3</v>
      </c>
      <c r="E8" s="47">
        <f>(+SUMIFS(манзилли!$M:$M,манзилли!$D:$D,'свод (сектор)'!$B8))</f>
        <v>83944</v>
      </c>
      <c r="F8" s="47">
        <f>(+SUMIFS(манзилли!$Q:$Q,манзилли!$D:$D,'свод (сектор)'!$B8))</f>
        <v>45595</v>
      </c>
      <c r="G8" s="47">
        <f>(+SUMIFS(манзилли!$S:$S,манзилли!$D:$D,'свод (сектор)'!$B8))</f>
        <v>8771</v>
      </c>
      <c r="H8" s="47">
        <f>(+SUMIFS(манзилли!$U:$U,манзилли!$D:$D,'свод (сектор)'!$B8))</f>
        <v>0</v>
      </c>
      <c r="I8" s="48">
        <f>+SUMIFS(манзилли!$Y:$Y,манзилли!$D:$D,'свод (сектор)'!$B8)</f>
        <v>1172</v>
      </c>
      <c r="J8" s="46">
        <f>+(COUNTIFS(манзилли!$L:$L,"&gt;0",манзилли!$D:$D,'свод (сектор)'!$B8)+COUNTIFS('Қўшимча ишга тушган'!$T:$T,"&gt;0",'Қўшимча ишга тушган'!$D:$D,'свод (сектор)'!$B8))</f>
        <v>42</v>
      </c>
      <c r="K8" s="47">
        <f>(+SUMIFS(манзилли!$L:$L,манзилли!$D:$D,'свод (сектор)'!$B8)+SUMIFS('Қўшимча ишга тушган'!$T:$T,'Қўшимча ишга тушган'!$D:$D,'свод (сектор)'!$B8))</f>
        <v>54731.6</v>
      </c>
      <c r="L8" s="47">
        <f>+(SUMIFS(манзилли!$N:$N,манзилли!$D:$D,'свод (сектор)'!$B8)+SUMIFS('Қўшимча ишга тушган'!$V:$V,'Қўшимча ишга тушган'!$D:$D,'свод (сектор)'!$B8))</f>
        <v>13132.1</v>
      </c>
      <c r="M8" s="47">
        <f>(+SUMIFS(манзилли!$R:$R,манзилли!$D:$D,'свод (сектор)'!$B8)+SUMIFS('Қўшимча ишга тушган'!$Z:$Z,'Қўшимча ишга тушган'!$D:$D,'свод (сектор)'!$B8))</f>
        <v>18795.5</v>
      </c>
      <c r="N8" s="47">
        <f>(+SUMIFS(манзилли!$T:$T,манзилли!$D:$D,'свод (сектор)'!$B8)+SUMIFS('Қўшимча ишга тушган'!$AB:$AB,'Қўшимча ишга тушган'!$D:$D,'свод (сектор)'!$B8))</f>
        <v>2229.5</v>
      </c>
      <c r="O8" s="48">
        <f>(+SUMIFS(манзилли!$V:$V,манзилли!$D:$D,'свод (сектор)'!$B8)+SUMIFS('Қўшимча ишга тушган'!$AD:$AD,'Қўшимча ишга тушган'!$D:$D,'свод (сектор)'!$B8))</f>
        <v>0</v>
      </c>
      <c r="P8" s="49">
        <f>+COUNTIFS(манзилли!$D:$D,'свод (сектор)'!$B8,манзилли!$AA:$AA,"&gt;31.12.2020",манзилли!$AA:$AA,"&lt;01.01.2022")</f>
        <v>47</v>
      </c>
      <c r="Q8" s="47">
        <f>(+SUMIFS(манзилли!$K:$K,манзилли!$D:$D,'свод (сектор)'!$B8,манзилли!$AA:$AA,"&gt;31.12.2020",манзилли!$AA:$AA,"&lt;01.01.2022"))</f>
        <v>84451.5</v>
      </c>
      <c r="R8" s="47">
        <f>(+SUMIFS(манзилли!$M:$M,манзилли!$D:$D,'свод (сектор)'!$B8,манзилли!$AA:$AA,"&gt;31.12.2020",манзилли!$AA:$AA,"&lt;01.01.2022"))</f>
        <v>34007</v>
      </c>
      <c r="S8" s="47">
        <f>(+SUMIFS(манзилли!$Q:$Q,манзилли!$D:$D,'свод (сектор)'!$B8,манзилли!$AA:$AA,"&gt;31.12.2020",манзилли!$AA:$AA,"&lt;01.01.2022"))</f>
        <v>33295</v>
      </c>
      <c r="T8" s="47">
        <f>(+SUMIFS(манзилли!$S:$S,манзилли!$D:$D,'свод (сектор)'!$B8,манзилли!$AA:$AA,"&gt;31.12.2020",манзилли!$AA:$AA,"&lt;01.01.2022"))</f>
        <v>1665</v>
      </c>
      <c r="U8" s="47">
        <f>(+SUMIFS(манзилли!$U:$U,манзилли!$D:$D,'свод (сектор)'!$B8,манзилли!$AA:$AA,"&gt;31.12.2020",манзилли!$AA:$AA,"&lt;01.01.2022"))</f>
        <v>0</v>
      </c>
      <c r="V8" s="48">
        <f>+SUMIFS(манзилли!$Y:$Y,манзилли!$D:$D,'свод (сектор)'!$B8,манзилли!$AA:$AA,"&gt;31.12.2020",манзилли!$AA:$AA,"&lt;01.01.2022")</f>
        <v>343</v>
      </c>
      <c r="W8" s="46">
        <f t="shared" ref="W8:W27" si="4">+AD8+AK8</f>
        <v>5</v>
      </c>
      <c r="X8" s="47">
        <f t="shared" ref="X8:AC27" si="5">+AE8+AL8</f>
        <v>2762</v>
      </c>
      <c r="Y8" s="47">
        <f t="shared" si="5"/>
        <v>900</v>
      </c>
      <c r="Z8" s="47">
        <f t="shared" si="5"/>
        <v>1862</v>
      </c>
      <c r="AA8" s="47">
        <f t="shared" si="5"/>
        <v>0</v>
      </c>
      <c r="AB8" s="47">
        <f t="shared" si="5"/>
        <v>0</v>
      </c>
      <c r="AC8" s="48">
        <f t="shared" si="5"/>
        <v>33</v>
      </c>
      <c r="AD8" s="46">
        <f>+COUNTIFS(манзилли!$D:$D,'свод (сектор)'!$B8,манзилли!$AB:$AB,"&gt;31.12.2020",манзилли!$AA:$AA,"&gt;31.12.2020",манзилли!$AA:$AA,"&lt;01.01.2022")</f>
        <v>5</v>
      </c>
      <c r="AE8" s="47">
        <f>(+SUMIFS(манзилли!$L:$L,манзилли!$D:$D,'свод (сектор)'!$B8,манзилли!$AB:$AB,"&gt;31.12.2020",манзилли!$AA:$AA,"&gt;31.12.2020",манзилли!$AA:$AA,"&lt;01.01.2022"))</f>
        <v>2762</v>
      </c>
      <c r="AF8" s="47">
        <f>(+SUMIFS(манзилли!$N:$N,манзилли!$D:$D,'свод (сектор)'!$B8,манзилли!$AB:$AB,"&gt;31.12.2020",манзилли!$AA:$AA,"&gt;31.12.2020",манзилли!$AA:$AA,"&lt;01.01.2022"))</f>
        <v>900</v>
      </c>
      <c r="AG8" s="47">
        <f>(+SUMIFS(манзилли!$R:$R,манзилли!$D:$D,'свод (сектор)'!$B8,манзилли!$AB:$AB,"&gt;31.12.2020",манзилли!$AA:$AA,"&gt;31.12.2020",манзилли!$AA:$AA,"&lt;01.01.2022"))</f>
        <v>1862</v>
      </c>
      <c r="AH8" s="47">
        <f>(+SUMIFS(манзилли!$T:$T,манзилли!$D:$D,'свод (сектор)'!$B8,манзилли!$AB:$AB,"&gt;31.12.2020",манзилли!$AA:$AA,"&gt;31.12.2020",манзилли!$AA:$AA,"&lt;01.01.2022"))</f>
        <v>0</v>
      </c>
      <c r="AI8" s="47">
        <f>(+SUMIFS(манзилли!$V:$V,манзилли!$D:$D,'свод (сектор)'!$B8,манзилли!$AB:$AB,"&gt;31.12.2020",манзилли!$AA:$AA,"&gt;31.12.2020",манзилли!$AA:$AA,"&lt;01.01.2022"))</f>
        <v>0</v>
      </c>
      <c r="AJ8" s="48">
        <f>+SUMIFS(манзилли!$Z:$Z,манзилли!$D:$D,'свод (сектор)'!$B8,манзилли!$AB:$AB,"&gt;31.12.2020",манзилли!$AA:$AA,"&gt;31.12.2020",манзилли!$AA:$AA,"&lt;01.01.2022")</f>
        <v>33</v>
      </c>
      <c r="AK8" s="46">
        <f>+COUNTIFS('Қўшимча ишга тушган'!$D:$D,'свод (сектор)'!B8,'Қўшимча ишга тушган'!$AO:$AO,"&lt;01.10.2023")</f>
        <v>0</v>
      </c>
      <c r="AL8" s="47">
        <f>(+SUMIFS('Қўшимча ишга тушган'!$T:$T,'Қўшимча ишга тушган'!$D:$D,'свод (сектор)'!$B8,'Қўшимча ишга тушган'!$AO:$AO,"&lt;01.10.2023"))</f>
        <v>0</v>
      </c>
      <c r="AM8" s="47">
        <f>(+SUMIFS('Қўшимча ишга тушган'!$V:$V,'Қўшимча ишга тушган'!$D:$D,'свод (сектор)'!$B8,'Қўшимча ишга тушган'!$AO:$AO,"&lt;01.10.2023"))</f>
        <v>0</v>
      </c>
      <c r="AN8" s="47">
        <f>(+SUMIFS('Қўшимча ишга тушган'!$Z:$Z,'Қўшимча ишга тушган'!$D:$D,'свод (сектор)'!$B8,'Қўшимча ишга тушган'!$AO:$AO,"&lt;01.10.2023"))</f>
        <v>0</v>
      </c>
      <c r="AO8" s="47">
        <f>(+SUMIFS('Қўшимча ишга тушган'!$AB:$AB,'Қўшимча ишга тушган'!$D:$D,'свод (сектор)'!$B8,'Қўшимча ишга тушган'!$AO:$AO,"&lt;01.10.2023"))</f>
        <v>0</v>
      </c>
      <c r="AP8" s="47">
        <f>(+SUMIFS('Қўшимча ишга тушган'!$AD:$AD,'Қўшимча ишга тушган'!$D:$D,'свод (сектор)'!$B8,'Қўшимча ишга тушган'!$AO:$AO,"&lt;01.10.2023"))</f>
        <v>0</v>
      </c>
      <c r="AQ8" s="48">
        <f>+SUMIFS('Қўшимча ишга тушган'!$AM:$AM,'Қўшимча ишга тушган'!$D:$D,'свод (сектор)'!$B8,'Қўшимча ишга тушган'!$AO:$AO,"&lt;01.10.2023")</f>
        <v>0</v>
      </c>
      <c r="AR8" s="46">
        <f>+COUNTIFS(манзилли!$D:$D,'свод (сектор)'!$B8,манзилли!$AA:$AA,"&lt;01.02.2021",манзилли!$AB:$AB,"")</f>
        <v>0</v>
      </c>
      <c r="AS8" s="47">
        <f>(+SUMIFS(манзилли!$K:$K,манзилли!$D:$D,'свод (сектор)'!$B8,манзилли!$AA:$AA,"&lt;01.02.2021",манзилли!$AB:$AB,""))</f>
        <v>0</v>
      </c>
      <c r="AT8" s="47">
        <f>(+SUMIFS(манзилли!$M:$M,манзилли!$D:$D,'свод (сектор)'!$B8,манзилли!$AA:$AA,"&lt;01.02.2021",манзилли!$AB:$AB,""))</f>
        <v>0</v>
      </c>
      <c r="AU8" s="47">
        <f>(+SUMIFS(манзилли!$Q:$Q,манзилли!$D:$D,'свод (сектор)'!$B8,манзилли!$AA:$AA,"&lt;01.02.2021",манзилли!$AB:$AB,""))</f>
        <v>0</v>
      </c>
      <c r="AV8" s="47">
        <f>(+SUMIFS(манзилли!$S:$S,манзилли!$D:$D,'свод (сектор)'!$B8,манзилли!$AA:$AA,"&lt;01.02.2021",манзилли!$AB:$AB,""))</f>
        <v>0</v>
      </c>
      <c r="AW8" s="47">
        <f>(+SUMIFS(манзилли!$U:$U,манзилли!$D:$D,'свод (сектор)'!$B8,манзилли!$AA:$AA,"&lt;01.02.2021",манзилли!$AB:$AB,""))</f>
        <v>0</v>
      </c>
      <c r="AX8" s="48">
        <f>+SUMIFS(манзилли!$Y:$Y,манзилли!$D:$D,'свод (сектор)'!$B8,манзилли!$AA:$AA,"&lt;01.02.2021",манзилли!$AB:$AB,"")</f>
        <v>0</v>
      </c>
      <c r="AY8" s="46">
        <f>+COUNTIFS(манзилли!$D:$D,'свод (сектор)'!$B8,манзилли!$AA:$AA,"&lt;01.01.2022",манзилли!$AB:$AB,"")</f>
        <v>39</v>
      </c>
      <c r="AZ8" s="47">
        <f>(+SUMIFS(манзилли!$K:$K,манзилли!$D:$D,'свод (сектор)'!$B8,манзилли!$AA:$AA,"&lt;01.01.2022",манзилли!$AB:$AB,""))</f>
        <v>75051.5</v>
      </c>
      <c r="BA8" s="47">
        <f>(+SUMIFS(манзилли!$M:$M,манзилли!$D:$D,'свод (сектор)'!$B8,манзилли!$AA:$AA,"&lt;01.01.2022",манзилли!$AB:$AB,""))</f>
        <v>29707</v>
      </c>
      <c r="BB8" s="47">
        <f>(+SUMIFS(манзилли!$Q:$Q,манзилли!$D:$D,'свод (сектор)'!$B8,манзилли!$AA:$AA,"&lt;01.01.2022",манзилли!$AB:$AB,""))</f>
        <v>28195</v>
      </c>
      <c r="BC8" s="47">
        <f>(+SUMIFS(манзилли!$S:$S,манзилли!$D:$D,'свод (сектор)'!$B8,манзилли!$AA:$AA,"&lt;01.01.2022",манзилли!$AB:$AB,""))</f>
        <v>1665</v>
      </c>
      <c r="BD8" s="47">
        <f>(+SUMIFS(манзилли!$U:$U,манзилли!$D:$D,'свод (сектор)'!$B8,манзилли!$AA:$AA,"&lt;01.01.2022",манзилли!$AB:$AB,""))</f>
        <v>0</v>
      </c>
      <c r="BE8" s="48">
        <f>+SUMIFS(манзилли!$Y:$Y,манзилли!$D:$D,'свод (сектор)'!$B8,манзилли!$AA:$AA,"&lt;01.01.2022",манзилли!$AB:$AB,"")</f>
        <v>284</v>
      </c>
      <c r="BF8" s="46">
        <f>+COUNTIFS(манзилли!$D:$D,'свод (сектор)'!$B8,манзилли!$AA:$AA,"&lt;01.01.2023",манзилли!$AA:$AA,"&gt;=01.01.2022")</f>
        <v>10</v>
      </c>
      <c r="BG8" s="47">
        <f>(+SUMIFS(манзилли!$K:$K,манзилли!$D:$D,'свод (сектор)'!$B8,манзилли!$AA:$AA,"&lt;01.01.2023",манзилли!$AA:$AA,"&gt;=01.01.2022"))</f>
        <v>127291.8</v>
      </c>
      <c r="BH8" s="47">
        <f>(+SUMIFS(манзилли!$M:$M,манзилли!$D:$D,'свод (сектор)'!$B8,манзилли!$AA:$AA,"&lt;01.01.2023",манзилли!$AA:$AA,"&gt;=01.01.2022"))</f>
        <v>46727</v>
      </c>
      <c r="BI8" s="47">
        <f>(+SUMIFS(манзилли!$Q:$Q,манзилли!$D:$D,'свод (сектор)'!$B8,манзилли!$AA:$AA,"&lt;01.01.2023",манзилли!$AA:$AA,"&gt;=01.01.2022"))</f>
        <v>7500</v>
      </c>
      <c r="BJ8" s="47">
        <f>(+SUMIFS(манзилли!$S:$S,манзилли!$D:$D,'свод (сектор)'!$B8,манзилли!$AA:$AA,"&lt;01.01.2023",манзилли!$AA:$AA,"&gt;=01.01.2022"))</f>
        <v>7106</v>
      </c>
      <c r="BK8" s="47">
        <f>(+SUMIFS(манзилли!$U:$U,манзилли!$D:$D,'свод (сектор)'!$B8,манзилли!$AA:$AA,"&lt;01.01.2023",манзилли!$AA:$AA,"&gt;=01.01.2022"))</f>
        <v>0</v>
      </c>
      <c r="BL8" s="48">
        <f>+SUMIFS(манзилли!$Y:$Y,манзилли!$D:$D,'свод (сектор)'!$B8,манзилли!$AA:$AA,"&lt;01.01.2023",манзилли!$AA:$AA,"&gt;=01.01.2022")</f>
        <v>760</v>
      </c>
    </row>
    <row r="9" spans="1:64" s="3" customFormat="1" ht="35.25" customHeight="1">
      <c r="A9" s="12">
        <f>+A8+1</f>
        <v>2</v>
      </c>
      <c r="B9" s="13" t="s">
        <v>210</v>
      </c>
      <c r="C9" s="28">
        <f>+COUNTIFS(манзилли!$D:$D,'свод (сектор)'!$B9)</f>
        <v>210</v>
      </c>
      <c r="D9" s="29">
        <f>(+SUMIFS(манзилли!$K:$K,манзилли!$D:$D,'свод (сектор)'!$B9))</f>
        <v>1860707.3</v>
      </c>
      <c r="E9" s="29">
        <f>(+SUMIFS(манзилли!$M:$M,манзилли!$D:$D,'свод (сектор)'!$B9))</f>
        <v>694827</v>
      </c>
      <c r="F9" s="29">
        <f>(+SUMIFS(манзилли!$Q:$Q,манзилли!$D:$D,'свод (сектор)'!$B9))</f>
        <v>573390</v>
      </c>
      <c r="G9" s="29">
        <f>(+SUMIFS(манзилли!$S:$S,манзилли!$D:$D,'свод (сектор)'!$B9))</f>
        <v>49281</v>
      </c>
      <c r="H9" s="29">
        <f>(+SUMIFS(манзилли!$U:$U,манзилли!$D:$D,'свод (сектор)'!$B9))</f>
        <v>12110</v>
      </c>
      <c r="I9" s="30">
        <f>+SUMIFS(манзилли!$Y:$Y,манзилли!$D:$D,'свод (сектор)'!$B9)</f>
        <v>4769</v>
      </c>
      <c r="J9" s="28">
        <f>+(COUNTIFS(манзилли!$L:$L,"&gt;0",манзилли!$D:$D,'свод (сектор)'!$B9)+COUNTIFS('Қўшимча ишга тушган'!$T:$T,"&gt;0",'Қўшимча ишга тушган'!$D:$D,'свод (сектор)'!$B9))</f>
        <v>95</v>
      </c>
      <c r="K9" s="29">
        <f>(+SUMIFS(манзилли!$L:$L,манзилли!$D:$D,'свод (сектор)'!$B9)+SUMIFS('Қўшимча ишга тушган'!$T:$T,'Қўшимча ишга тушган'!$D:$D,'свод (сектор)'!$B9))</f>
        <v>215949.17999999996</v>
      </c>
      <c r="L9" s="29">
        <f>+(SUMIFS(манзилли!$N:$N,манзилли!$D:$D,'свод (сектор)'!$B9)+SUMIFS('Қўшимча ишга тушган'!$V:$V,'Қўшимча ишга тушган'!$D:$D,'свод (сектор)'!$B9))</f>
        <v>8220</v>
      </c>
      <c r="M9" s="29">
        <f>(+SUMIFS(манзилли!$R:$R,манзилли!$D:$D,'свод (сектор)'!$B9)+SUMIFS('Қўшимча ишга тушган'!$Z:$Z,'Қўшимча ишга тушган'!$D:$D,'свод (сектор)'!$B9))</f>
        <v>53011</v>
      </c>
      <c r="N9" s="29">
        <f>(+SUMIFS(манзилли!$T:$T,манзилли!$D:$D,'свод (сектор)'!$B9)+SUMIFS('Қўшимча ишга тушган'!$AB:$AB,'Қўшимча ишга тушган'!$D:$D,'свод (сектор)'!$B9))</f>
        <v>15166.9</v>
      </c>
      <c r="O9" s="30">
        <f>(+SUMIFS(манзилли!$V:$V,манзилли!$D:$D,'свод (сектор)'!$B9)+SUMIFS('Қўшимча ишга тушган'!$AD:$AD,'Қўшимча ишга тушган'!$D:$D,'свод (сектор)'!$B9))</f>
        <v>0</v>
      </c>
      <c r="P9" s="31">
        <f>+COUNTIFS(манзилли!$D:$D,'свод (сектор)'!$B9,манзилли!$AA:$AA,"&gt;31.12.2020",манзилли!$AA:$AA,"&lt;01.01.2022")</f>
        <v>149</v>
      </c>
      <c r="Q9" s="29">
        <f>(+SUMIFS(манзилли!$K:$K,манзилли!$D:$D,'свод (сектор)'!$B9,манзилли!$AA:$AA,"&gt;31.12.2020",манзилли!$AA:$AA,"&lt;01.01.2022"))</f>
        <v>1238187.3</v>
      </c>
      <c r="R9" s="29">
        <f>(+SUMIFS(манзилли!$M:$M,манзилли!$D:$D,'свод (сектор)'!$B9,манзилли!$AA:$AA,"&gt;31.12.2020",манзилли!$AA:$AA,"&lt;01.01.2022"))</f>
        <v>463087</v>
      </c>
      <c r="S9" s="29">
        <f>(+SUMIFS(манзилли!$Q:$Q,манзилли!$D:$D,'свод (сектор)'!$B9,манзилли!$AA:$AA,"&gt;31.12.2020",манзилли!$AA:$AA,"&lt;01.01.2022"))</f>
        <v>274740</v>
      </c>
      <c r="T9" s="29">
        <f>(+SUMIFS(манзилли!$S:$S,манзилли!$D:$D,'свод (сектор)'!$B9,манзилли!$AA:$AA,"&gt;31.12.2020",манзилли!$AA:$AA,"&lt;01.01.2022"))</f>
        <v>42101</v>
      </c>
      <c r="U9" s="29">
        <f>(+SUMIFS(манзилли!$U:$U,манзилли!$D:$D,'свод (сектор)'!$B9,манзилли!$AA:$AA,"&gt;31.12.2020",манзилли!$AA:$AA,"&lt;01.01.2022"))</f>
        <v>9710</v>
      </c>
      <c r="V9" s="30">
        <f>+SUMIFS(манзилли!$Y:$Y,манзилли!$D:$D,'свод (сектор)'!$B9,манзилли!$AA:$AA,"&gt;31.12.2020",манзилли!$AA:$AA,"&lt;01.01.2022")</f>
        <v>3162</v>
      </c>
      <c r="W9" s="28">
        <f t="shared" si="4"/>
        <v>7</v>
      </c>
      <c r="X9" s="29">
        <f t="shared" si="5"/>
        <v>5185</v>
      </c>
      <c r="Y9" s="29">
        <f t="shared" si="5"/>
        <v>4370</v>
      </c>
      <c r="Z9" s="29">
        <f t="shared" si="5"/>
        <v>815</v>
      </c>
      <c r="AA9" s="29">
        <f t="shared" si="5"/>
        <v>0</v>
      </c>
      <c r="AB9" s="29">
        <f t="shared" si="5"/>
        <v>0</v>
      </c>
      <c r="AC9" s="30">
        <f t="shared" si="5"/>
        <v>26</v>
      </c>
      <c r="AD9" s="28">
        <f>+COUNTIFS(манзилли!$D:$D,'свод (сектор)'!$B9,манзилли!$AB:$AB,"&gt;31.12.2020",манзилли!$AA:$AA,"&gt;31.12.2020",манзилли!$AA:$AA,"&lt;01.01.2022")</f>
        <v>7</v>
      </c>
      <c r="AE9" s="29">
        <f>(+SUMIFS(манзилли!$L:$L,манзилли!$D:$D,'свод (сектор)'!$B9,манзилли!$AB:$AB,"&gt;31.12.2020",манзилли!$AA:$AA,"&gt;31.12.2020",манзилли!$AA:$AA,"&lt;01.01.2022"))</f>
        <v>5185</v>
      </c>
      <c r="AF9" s="29">
        <f>(+SUMIFS(манзилли!$N:$N,манзилли!$D:$D,'свод (сектор)'!$B9,манзилли!$AB:$AB,"&gt;31.12.2020",манзилли!$AA:$AA,"&gt;31.12.2020",манзилли!$AA:$AA,"&lt;01.01.2022"))</f>
        <v>4370</v>
      </c>
      <c r="AG9" s="29">
        <f>(+SUMIFS(манзилли!$R:$R,манзилли!$D:$D,'свод (сектор)'!$B9,манзилли!$AB:$AB,"&gt;31.12.2020",манзилли!$AA:$AA,"&gt;31.12.2020",манзилли!$AA:$AA,"&lt;01.01.2022"))</f>
        <v>815</v>
      </c>
      <c r="AH9" s="29">
        <f>(+SUMIFS(манзилли!$T:$T,манзилли!$D:$D,'свод (сектор)'!$B9,манзилли!$AB:$AB,"&gt;31.12.2020",манзилли!$AA:$AA,"&gt;31.12.2020",манзилли!$AA:$AA,"&lt;01.01.2022"))</f>
        <v>0</v>
      </c>
      <c r="AI9" s="29">
        <f>(+SUMIFS(манзилли!$V:$V,манзилли!$D:$D,'свод (сектор)'!$B9,манзилли!$AB:$AB,"&gt;31.12.2020",манзилли!$AA:$AA,"&gt;31.12.2020",манзилли!$AA:$AA,"&lt;01.01.2022"))</f>
        <v>0</v>
      </c>
      <c r="AJ9" s="30">
        <f>+SUMIFS(манзилли!$Z:$Z,манзилли!$D:$D,'свод (сектор)'!$B9,манзилли!$AB:$AB,"&gt;31.12.2020",манзилли!$AA:$AA,"&gt;31.12.2020",манзилли!$AA:$AA,"&lt;01.01.2022")</f>
        <v>26</v>
      </c>
      <c r="AK9" s="28">
        <f>+COUNTIFS('Қўшимча ишга тушган'!$D:$D,'свод (сектор)'!B9,'Қўшимча ишга тушган'!$AO:$AO,"&lt;01.10.2023")</f>
        <v>0</v>
      </c>
      <c r="AL9" s="29">
        <f>(+SUMIFS('Қўшимча ишга тушган'!$T:$T,'Қўшимча ишга тушган'!$D:$D,'свод (сектор)'!$B9,'Қўшимча ишга тушган'!$AO:$AO,"&lt;01.10.2023"))</f>
        <v>0</v>
      </c>
      <c r="AM9" s="29">
        <f>(+SUMIFS('Қўшимча ишга тушган'!$V:$V,'Қўшимча ишга тушган'!$D:$D,'свод (сектор)'!$B9,'Қўшимча ишга тушган'!$AO:$AO,"&lt;01.10.2023"))</f>
        <v>0</v>
      </c>
      <c r="AN9" s="29">
        <f>(+SUMIFS('Қўшимча ишга тушган'!$Z:$Z,'Қўшимча ишга тушган'!$D:$D,'свод (сектор)'!$B9,'Қўшимча ишга тушган'!$AO:$AO,"&lt;01.10.2023"))</f>
        <v>0</v>
      </c>
      <c r="AO9" s="29">
        <f>(+SUMIFS('Қўшимча ишга тушган'!$AB:$AB,'Қўшимча ишга тушган'!$D:$D,'свод (сектор)'!$B9,'Қўшимча ишга тушган'!$AO:$AO,"&lt;01.10.2023"))</f>
        <v>0</v>
      </c>
      <c r="AP9" s="29">
        <f>(+SUMIFS('Қўшимча ишга тушган'!$AD:$AD,'Қўшимча ишга тушган'!$D:$D,'свод (сектор)'!$B9,'Қўшимча ишга тушган'!$AO:$AO,"&lt;01.10.2023"))</f>
        <v>0</v>
      </c>
      <c r="AQ9" s="30">
        <f>+SUMIFS('Қўшимча ишга тушган'!$AM:$AM,'Қўшимча ишга тушган'!$D:$D,'свод (сектор)'!$B9,'Қўшимча ишга тушган'!$AO:$AO,"&lt;01.10.2023")</f>
        <v>0</v>
      </c>
      <c r="AR9" s="28">
        <f>+COUNTIFS(манзилли!$D:$D,'свод (сектор)'!$B9,манзилли!$AA:$AA,"&lt;01.02.2021",манзилли!$AB:$AB,"")</f>
        <v>0</v>
      </c>
      <c r="AS9" s="29">
        <f>(+SUMIFS(манзилли!$K:$K,манзилли!$D:$D,'свод (сектор)'!$B9,манзилли!$AA:$AA,"&lt;01.02.2021",манзилли!$AB:$AB,""))</f>
        <v>0</v>
      </c>
      <c r="AT9" s="29">
        <f>(+SUMIFS(манзилли!$M:$M,манзилли!$D:$D,'свод (сектор)'!$B9,манзилли!$AA:$AA,"&lt;01.02.2021",манзилли!$AB:$AB,""))</f>
        <v>0</v>
      </c>
      <c r="AU9" s="29">
        <f>(+SUMIFS(манзилли!$Q:$Q,манзилли!$D:$D,'свод (сектор)'!$B9,манзилли!$AA:$AA,"&lt;01.02.2021",манзилли!$AB:$AB,""))</f>
        <v>0</v>
      </c>
      <c r="AV9" s="29">
        <f>(+SUMIFS(манзилли!$S:$S,манзилли!$D:$D,'свод (сектор)'!$B9,манзилли!$AA:$AA,"&lt;01.02.2021",манзилли!$AB:$AB,""))</f>
        <v>0</v>
      </c>
      <c r="AW9" s="29">
        <f>(+SUMIFS(манзилли!$U:$U,манзилли!$D:$D,'свод (сектор)'!$B9,манзилли!$AA:$AA,"&lt;01.02.2021",манзилли!$AB:$AB,""))</f>
        <v>0</v>
      </c>
      <c r="AX9" s="30">
        <f>+SUMIFS(манзилли!$Y:$Y,манзилли!$D:$D,'свод (сектор)'!$B9,манзилли!$AA:$AA,"&lt;01.02.2021",манзилли!$AB:$AB,"")</f>
        <v>0</v>
      </c>
      <c r="AY9" s="28">
        <f>+COUNTIFS(манзилли!$D:$D,'свод (сектор)'!$B9,манзилли!$AA:$AA,"&lt;01.01.2022",манзилли!$AB:$AB,"")</f>
        <v>141</v>
      </c>
      <c r="AZ9" s="29">
        <f>(+SUMIFS(манзилли!$K:$K,манзилли!$D:$D,'свод (сектор)'!$B9,манзилли!$AA:$AA,"&lt;01.01.2022",манзилли!$AB:$AB,""))</f>
        <v>1228387.3</v>
      </c>
      <c r="BA9" s="29">
        <f>(+SUMIFS(манзилли!$M:$M,манзилли!$D:$D,'свод (сектор)'!$B9,манзилли!$AA:$AA,"&lt;01.01.2022",манзилли!$AB:$AB,""))</f>
        <v>456687</v>
      </c>
      <c r="BB9" s="29">
        <f>(+SUMIFS(манзилли!$Q:$Q,манзилли!$D:$D,'свод (сектор)'!$B9,манзилли!$AA:$AA,"&lt;01.01.2022",манзилли!$AB:$AB,""))</f>
        <v>271340</v>
      </c>
      <c r="BC9" s="29">
        <f>(+SUMIFS(манзилли!$S:$S,манзилли!$D:$D,'свод (сектор)'!$B9,манзилли!$AA:$AA,"&lt;01.01.2022",манзилли!$AB:$AB,""))</f>
        <v>42101</v>
      </c>
      <c r="BD9" s="29">
        <f>(+SUMIFS(манзилли!$U:$U,манзилли!$D:$D,'свод (сектор)'!$B9,манзилли!$AA:$AA,"&lt;01.01.2022",манзилли!$AB:$AB,""))</f>
        <v>9710</v>
      </c>
      <c r="BE9" s="30">
        <f>+SUMIFS(манзилли!$Y:$Y,манзилли!$D:$D,'свод (сектор)'!$B9,манзилли!$AA:$AA,"&lt;01.01.2022",манзилли!$AB:$AB,"")</f>
        <v>3125</v>
      </c>
      <c r="BF9" s="28">
        <f>+COUNTIFS(манзилли!$D:$D,'свод (сектор)'!$B9,манзилли!$AA:$AA,"&lt;01.01.2023",манзилли!$AA:$AA,"&gt;=01.01.2022")</f>
        <v>55</v>
      </c>
      <c r="BG9" s="29">
        <f>(+SUMIFS(манзилли!$K:$K,манзилли!$D:$D,'свод (сектор)'!$B9,манзилли!$AA:$AA,"&lt;01.01.2023",манзилли!$AA:$AA,"&gt;=01.01.2022"))</f>
        <v>605570</v>
      </c>
      <c r="BH9" s="29">
        <f>(+SUMIFS(манзилли!$M:$M,манзилли!$D:$D,'свод (сектор)'!$B9,манзилли!$AA:$AA,"&lt;01.01.2023",манзилли!$AA:$AA,"&gt;=01.01.2022"))</f>
        <v>223290</v>
      </c>
      <c r="BI9" s="29">
        <f>(+SUMIFS(манзилли!$Q:$Q,манзилли!$D:$D,'свод (сектор)'!$B9,манзилли!$AA:$AA,"&lt;01.01.2023",манзилли!$AA:$AA,"&gt;=01.01.2022"))</f>
        <v>290150</v>
      </c>
      <c r="BJ9" s="29">
        <f>(+SUMIFS(манзилли!$S:$S,манзилли!$D:$D,'свод (сектор)'!$B9,манзилли!$AA:$AA,"&lt;01.01.2023",манзилли!$AA:$AA,"&gt;=01.01.2022"))</f>
        <v>7180</v>
      </c>
      <c r="BK9" s="29">
        <f>(+SUMIFS(манзилли!$U:$U,манзилли!$D:$D,'свод (сектор)'!$B9,манзилли!$AA:$AA,"&lt;01.01.2023",манзилли!$AA:$AA,"&gt;=01.01.2022"))</f>
        <v>2400</v>
      </c>
      <c r="BL9" s="30">
        <f>+SUMIFS(манзилли!$Y:$Y,манзилли!$D:$D,'свод (сектор)'!$B9,манзилли!$AA:$AA,"&lt;01.01.2023",манзилли!$AA:$AA,"&gt;=01.01.2022")</f>
        <v>1541</v>
      </c>
    </row>
    <row r="10" spans="1:64" s="3" customFormat="1" ht="35.25" customHeight="1" thickBot="1">
      <c r="A10" s="12">
        <f t="shared" ref="A10:A27" si="6">+A9+1</f>
        <v>3</v>
      </c>
      <c r="B10" s="14" t="s">
        <v>227</v>
      </c>
      <c r="C10" s="28">
        <f>+COUNTIFS(манзилли!$D:$D,'свод (сектор)'!$B10)</f>
        <v>44</v>
      </c>
      <c r="D10" s="29">
        <f>(+SUMIFS(манзилли!$K:$K,манзилли!$D:$D,'свод (сектор)'!$B10))</f>
        <v>255310.40000000002</v>
      </c>
      <c r="E10" s="29">
        <f>(+SUMIFS(манзилли!$M:$M,манзилли!$D:$D,'свод (сектор)'!$B10))</f>
        <v>132758</v>
      </c>
      <c r="F10" s="29">
        <f>(+SUMIFS(манзилли!$Q:$Q,манзилли!$D:$D,'свод (сектор)'!$B10))</f>
        <v>59125</v>
      </c>
      <c r="G10" s="29">
        <f>(+SUMIFS(манзилли!$S:$S,манзилли!$D:$D,'свод (сектор)'!$B10))</f>
        <v>6058</v>
      </c>
      <c r="H10" s="29">
        <f>(+SUMIFS(манзилли!$U:$U,манзилли!$D:$D,'свод (сектор)'!$B10))</f>
        <v>100</v>
      </c>
      <c r="I10" s="30">
        <f>+SUMIFS(манзилли!$Y:$Y,манзилли!$D:$D,'свод (сектор)'!$B10)</f>
        <v>968</v>
      </c>
      <c r="J10" s="28">
        <f>+(COUNTIFS(манзилли!$L:$L,"&gt;0",манзилли!$D:$D,'свод (сектор)'!$B10)+COUNTIFS('Қўшимча ишга тушган'!$T:$T,"&gt;0",'Қўшимча ишга тушган'!$D:$D,'свод (сектор)'!$B10))</f>
        <v>27</v>
      </c>
      <c r="K10" s="29">
        <f>(+SUMIFS(манзилли!$L:$L,манзилли!$D:$D,'свод (сектор)'!$B10)+SUMIFS('Қўшимча ишга тушган'!$T:$T,'Қўшимча ишга тушган'!$D:$D,'свод (сектор)'!$B10))</f>
        <v>65007.9</v>
      </c>
      <c r="L10" s="29">
        <f>+(SUMIFS(манзилли!$N:$N,манзилли!$D:$D,'свод (сектор)'!$B10)+SUMIFS('Қўшимча ишга тушган'!$V:$V,'Қўшимча ишга тушган'!$D:$D,'свод (сектор)'!$B10))</f>
        <v>8205</v>
      </c>
      <c r="M10" s="29">
        <f>(+SUMIFS(манзилли!$R:$R,манзилли!$D:$D,'свод (сектор)'!$B10)+SUMIFS('Қўшимча ишга тушган'!$Z:$Z,'Қўшимча ишга тушган'!$D:$D,'свод (сектор)'!$B10))</f>
        <v>11298</v>
      </c>
      <c r="N10" s="29">
        <f>(+SUMIFS(манзилли!$T:$T,манзилли!$D:$D,'свод (сектор)'!$B10)+SUMIFS('Қўшимча ишга тушган'!$AB:$AB,'Қўшимча ишга тушган'!$D:$D,'свод (сектор)'!$B10))</f>
        <v>4483.5</v>
      </c>
      <c r="O10" s="30">
        <f>(+SUMIFS(манзилли!$V:$V,манзилли!$D:$D,'свод (сектор)'!$B10)+SUMIFS('Қўшимча ишга тушган'!$AD:$AD,'Қўшимча ишга тушган'!$D:$D,'свод (сектор)'!$B10))</f>
        <v>0</v>
      </c>
      <c r="P10" s="31">
        <f>+COUNTIFS(манзилли!$D:$D,'свод (сектор)'!$B10,манзилли!$AA:$AA,"&gt;31.12.2020",манзилли!$AA:$AA,"&lt;01.01.2022")</f>
        <v>30</v>
      </c>
      <c r="Q10" s="29">
        <f>(+SUMIFS(манзилли!$K:$K,манзилли!$D:$D,'свод (сектор)'!$B10,манзилли!$AA:$AA,"&gt;31.12.2020",манзилли!$AA:$AA,"&lt;01.01.2022"))</f>
        <v>154936.40000000002</v>
      </c>
      <c r="R10" s="29">
        <f>(+SUMIFS(манзилли!$M:$M,манзилли!$D:$D,'свод (сектор)'!$B10,манзилли!$AA:$AA,"&gt;31.12.2020",манзилли!$AA:$AA,"&lt;01.01.2022"))</f>
        <v>100133</v>
      </c>
      <c r="S10" s="29">
        <f>(+SUMIFS(манзилли!$Q:$Q,манзилли!$D:$D,'свод (сектор)'!$B10,манзилли!$AA:$AA,"&gt;31.12.2020",манзилли!$AA:$AA,"&lt;01.01.2022"))</f>
        <v>33400</v>
      </c>
      <c r="T10" s="29">
        <f>(+SUMIFS(манзилли!$S:$S,манзилли!$D:$D,'свод (сектор)'!$B10,манзилли!$AA:$AA,"&gt;31.12.2020",манзилли!$AA:$AA,"&lt;01.01.2022"))</f>
        <v>1978</v>
      </c>
      <c r="U10" s="29">
        <f>(+SUMIFS(манзилли!$U:$U,манзилли!$D:$D,'свод (сектор)'!$B10,манзилли!$AA:$AA,"&gt;31.12.2020",манзилли!$AA:$AA,"&lt;01.01.2022"))</f>
        <v>100</v>
      </c>
      <c r="V10" s="30">
        <f>+SUMIFS(манзилли!$Y:$Y,манзилли!$D:$D,'свод (сектор)'!$B10,манзилли!$AA:$AA,"&gt;31.12.2020",манзилли!$AA:$AA,"&lt;01.01.2022")</f>
        <v>347</v>
      </c>
      <c r="W10" s="28">
        <f t="shared" si="4"/>
        <v>3</v>
      </c>
      <c r="X10" s="29">
        <f t="shared" si="5"/>
        <v>1580</v>
      </c>
      <c r="Y10" s="29">
        <f t="shared" si="5"/>
        <v>1150</v>
      </c>
      <c r="Z10" s="29">
        <f t="shared" si="5"/>
        <v>430</v>
      </c>
      <c r="AA10" s="29">
        <f t="shared" si="5"/>
        <v>0</v>
      </c>
      <c r="AB10" s="29">
        <f t="shared" si="5"/>
        <v>0</v>
      </c>
      <c r="AC10" s="30">
        <f t="shared" si="5"/>
        <v>7</v>
      </c>
      <c r="AD10" s="28">
        <f>+COUNTIFS(манзилли!$D:$D,'свод (сектор)'!$B10,манзилли!$AB:$AB,"&gt;31.12.2020",манзилли!$AA:$AA,"&gt;31.12.2020",манзилли!$AA:$AA,"&lt;01.01.2022")</f>
        <v>3</v>
      </c>
      <c r="AE10" s="29">
        <f>(+SUMIFS(манзилли!$L:$L,манзилли!$D:$D,'свод (сектор)'!$B10,манзилли!$AB:$AB,"&gt;31.12.2020",манзилли!$AA:$AA,"&gt;31.12.2020",манзилли!$AA:$AA,"&lt;01.01.2022"))</f>
        <v>1580</v>
      </c>
      <c r="AF10" s="29">
        <f>(+SUMIFS(манзилли!$N:$N,манзилли!$D:$D,'свод (сектор)'!$B10,манзилли!$AB:$AB,"&gt;31.12.2020",манзилли!$AA:$AA,"&gt;31.12.2020",манзилли!$AA:$AA,"&lt;01.01.2022"))</f>
        <v>1150</v>
      </c>
      <c r="AG10" s="29">
        <f>(+SUMIFS(манзилли!$R:$R,манзилли!$D:$D,'свод (сектор)'!$B10,манзилли!$AB:$AB,"&gt;31.12.2020",манзилли!$AA:$AA,"&gt;31.12.2020",манзилли!$AA:$AA,"&lt;01.01.2022"))</f>
        <v>430</v>
      </c>
      <c r="AH10" s="29">
        <f>(+SUMIFS(манзилли!$T:$T,манзилли!$D:$D,'свод (сектор)'!$B10,манзилли!$AB:$AB,"&gt;31.12.2020",манзилли!$AA:$AA,"&gt;31.12.2020",манзилли!$AA:$AA,"&lt;01.01.2022"))</f>
        <v>0</v>
      </c>
      <c r="AI10" s="29">
        <f>(+SUMIFS(манзилли!$V:$V,манзилли!$D:$D,'свод (сектор)'!$B10,манзилли!$AB:$AB,"&gt;31.12.2020",манзилли!$AA:$AA,"&gt;31.12.2020",манзилли!$AA:$AA,"&lt;01.01.2022"))</f>
        <v>0</v>
      </c>
      <c r="AJ10" s="30">
        <f>+SUMIFS(манзилли!$Z:$Z,манзилли!$D:$D,'свод (сектор)'!$B10,манзилли!$AB:$AB,"&gt;31.12.2020",манзилли!$AA:$AA,"&gt;31.12.2020",манзилли!$AA:$AA,"&lt;01.01.2022")</f>
        <v>7</v>
      </c>
      <c r="AK10" s="28">
        <f>+COUNTIFS('Қўшимча ишга тушган'!$D:$D,'свод (сектор)'!B10,'Қўшимча ишга тушган'!$AO:$AO,"&lt;01.10.2023")</f>
        <v>0</v>
      </c>
      <c r="AL10" s="29">
        <f>(+SUMIFS('Қўшимча ишга тушган'!$T:$T,'Қўшимча ишга тушган'!$D:$D,'свод (сектор)'!$B10,'Қўшимча ишга тушган'!$AO:$AO,"&lt;01.10.2023"))</f>
        <v>0</v>
      </c>
      <c r="AM10" s="29">
        <f>(+SUMIFS('Қўшимча ишга тушган'!$V:$V,'Қўшимча ишга тушган'!$D:$D,'свод (сектор)'!$B10,'Қўшимча ишга тушган'!$AO:$AO,"&lt;01.10.2023"))</f>
        <v>0</v>
      </c>
      <c r="AN10" s="29">
        <f>(+SUMIFS('Қўшимча ишга тушган'!$Z:$Z,'Қўшимча ишга тушган'!$D:$D,'свод (сектор)'!$B10,'Қўшимча ишга тушган'!$AO:$AO,"&lt;01.10.2023"))</f>
        <v>0</v>
      </c>
      <c r="AO10" s="29">
        <f>(+SUMIFS('Қўшимча ишга тушган'!$AB:$AB,'Қўшимча ишга тушган'!$D:$D,'свод (сектор)'!$B10,'Қўшимча ишга тушган'!$AO:$AO,"&lt;01.10.2023"))</f>
        <v>0</v>
      </c>
      <c r="AP10" s="29">
        <f>(+SUMIFS('Қўшимча ишга тушган'!$AD:$AD,'Қўшимча ишга тушган'!$D:$D,'свод (сектор)'!$B10,'Қўшимча ишга тушган'!$AO:$AO,"&lt;01.10.2023"))</f>
        <v>0</v>
      </c>
      <c r="AQ10" s="30">
        <f>+SUMIFS('Қўшимча ишга тушган'!$AM:$AM,'Қўшимча ишга тушган'!$D:$D,'свод (сектор)'!$B10,'Қўшимча ишга тушган'!$AO:$AO,"&lt;01.10.2023")</f>
        <v>0</v>
      </c>
      <c r="AR10" s="28">
        <f>+COUNTIFS(манзилли!$D:$D,'свод (сектор)'!$B10,манзилли!$AA:$AA,"&lt;01.02.2021",манзилли!$AB:$AB,"")</f>
        <v>0</v>
      </c>
      <c r="AS10" s="29">
        <f>(+SUMIFS(манзилли!$K:$K,манзилли!$D:$D,'свод (сектор)'!$B10,манзилли!$AA:$AA,"&lt;01.02.2021",манзилли!$AB:$AB,""))</f>
        <v>0</v>
      </c>
      <c r="AT10" s="29">
        <f>(+SUMIFS(манзилли!$M:$M,манзилли!$D:$D,'свод (сектор)'!$B10,манзилли!$AA:$AA,"&lt;01.02.2021",манзилли!$AB:$AB,""))</f>
        <v>0</v>
      </c>
      <c r="AU10" s="29">
        <f>(+SUMIFS(манзилли!$Q:$Q,манзилли!$D:$D,'свод (сектор)'!$B10,манзилли!$AA:$AA,"&lt;01.02.2021",манзилли!$AB:$AB,""))</f>
        <v>0</v>
      </c>
      <c r="AV10" s="29">
        <f>(+SUMIFS(манзилли!$S:$S,манзилли!$D:$D,'свод (сектор)'!$B10,манзилли!$AA:$AA,"&lt;01.02.2021",манзилли!$AB:$AB,""))</f>
        <v>0</v>
      </c>
      <c r="AW10" s="29">
        <f>(+SUMIFS(манзилли!$U:$U,манзилли!$D:$D,'свод (сектор)'!$B10,манзилли!$AA:$AA,"&lt;01.02.2021",манзилли!$AB:$AB,""))</f>
        <v>0</v>
      </c>
      <c r="AX10" s="30">
        <f>+SUMIFS(манзилли!$Y:$Y,манзилли!$D:$D,'свод (сектор)'!$B10,манзилли!$AA:$AA,"&lt;01.02.2021",манзилли!$AB:$AB,"")</f>
        <v>0</v>
      </c>
      <c r="AY10" s="28">
        <f>+COUNTIFS(манзилли!$D:$D,'свод (сектор)'!$B10,манзилли!$AA:$AA,"&lt;01.01.2022",манзилли!$AB:$AB,"")</f>
        <v>21</v>
      </c>
      <c r="AZ10" s="29">
        <f>(+SUMIFS(манзилли!$K:$K,манзилли!$D:$D,'свод (сектор)'!$B10,манзилли!$AA:$AA,"&lt;01.01.2022",манзилли!$AB:$AB,""))</f>
        <v>143027.6</v>
      </c>
      <c r="BA10" s="29">
        <f>(+SUMIFS(манзилли!$M:$M,манзилли!$D:$D,'свод (сектор)'!$B10,манзилли!$AA:$AA,"&lt;01.01.2022",манзилли!$AB:$AB,""))</f>
        <v>95233</v>
      </c>
      <c r="BB10" s="29">
        <f>(+SUMIFS(манзилли!$Q:$Q,манзилли!$D:$D,'свод (сектор)'!$B10,манзилли!$AA:$AA,"&lt;01.01.2022",манзилли!$AB:$AB,""))</f>
        <v>30470</v>
      </c>
      <c r="BC10" s="29">
        <f>(+SUMIFS(манзилли!$S:$S,манзилли!$D:$D,'свод (сектор)'!$B10,манзилли!$AA:$AA,"&lt;01.01.2022",манзилли!$AB:$AB,""))</f>
        <v>1582</v>
      </c>
      <c r="BD10" s="29">
        <f>(+SUMIFS(манзилли!$U:$U,манзилли!$D:$D,'свод (сектор)'!$B10,манзилли!$AA:$AA,"&lt;01.01.2022",манзилли!$AB:$AB,""))</f>
        <v>100</v>
      </c>
      <c r="BE10" s="30">
        <f>+SUMIFS(манзилли!$Y:$Y,манзилли!$D:$D,'свод (сектор)'!$B10,манзилли!$AA:$AA,"&lt;01.01.2022",манзилли!$AB:$AB,"")</f>
        <v>306</v>
      </c>
      <c r="BF10" s="28">
        <f>+COUNTIFS(манзилли!$D:$D,'свод (сектор)'!$B10,манзилли!$AA:$AA,"&lt;01.01.2023",манзилли!$AA:$AA,"&gt;=01.01.2022")</f>
        <v>5</v>
      </c>
      <c r="BG10" s="29">
        <f>(+SUMIFS(манзилли!$K:$K,манзилли!$D:$D,'свод (сектор)'!$B10,манзилли!$AA:$AA,"&lt;01.01.2023",манзилли!$AA:$AA,"&gt;=01.01.2022"))</f>
        <v>91060</v>
      </c>
      <c r="BH10" s="29">
        <f>(+SUMIFS(манзилли!$M:$M,манзилли!$D:$D,'свод (сектор)'!$B10,манзилли!$AA:$AA,"&lt;01.01.2023",манзилли!$AA:$AA,"&gt;=01.01.2022"))</f>
        <v>28860</v>
      </c>
      <c r="BI10" s="29">
        <f>(+SUMIFS(манзилли!$Q:$Q,манзилли!$D:$D,'свод (сектор)'!$B10,манзилли!$AA:$AA,"&lt;01.01.2023",манзилли!$AA:$AA,"&gt;=01.01.2022"))</f>
        <v>21000</v>
      </c>
      <c r="BJ10" s="29">
        <f>(+SUMIFS(манзилли!$S:$S,манзилли!$D:$D,'свод (сектор)'!$B10,манзилли!$AA:$AA,"&lt;01.01.2023",манзилли!$AA:$AA,"&gt;=01.01.2022"))</f>
        <v>4000</v>
      </c>
      <c r="BK10" s="29">
        <f>(+SUMIFS(манзилли!$U:$U,манзилли!$D:$D,'свод (сектор)'!$B10,манзилли!$AA:$AA,"&lt;01.01.2023",манзилли!$AA:$AA,"&gt;=01.01.2022"))</f>
        <v>0</v>
      </c>
      <c r="BL10" s="30">
        <f>+SUMIFS(манзилли!$Y:$Y,манзилли!$D:$D,'свод (сектор)'!$B10,манзилли!$AA:$AA,"&lt;01.01.2023",манзилли!$AA:$AA,"&gt;=01.01.2022")</f>
        <v>570</v>
      </c>
    </row>
    <row r="11" spans="1:64" s="3" customFormat="1" ht="35.25" customHeight="1" thickBot="1">
      <c r="A11" s="148" t="s">
        <v>1772</v>
      </c>
      <c r="B11" s="149"/>
      <c r="C11" s="41">
        <f>+SUM(C12:C14)</f>
        <v>184</v>
      </c>
      <c r="D11" s="41">
        <f t="shared" ref="D11" si="7">+SUM(D12:D14)</f>
        <v>1638144.1</v>
      </c>
      <c r="E11" s="41">
        <f t="shared" ref="E11" si="8">+SUM(E12:E14)</f>
        <v>648282</v>
      </c>
      <c r="F11" s="41">
        <f t="shared" ref="F11" si="9">+SUM(F12:F14)</f>
        <v>244486</v>
      </c>
      <c r="G11" s="41">
        <f t="shared" ref="G11" si="10">+SUM(G12:G14)</f>
        <v>24032</v>
      </c>
      <c r="H11" s="41">
        <f t="shared" ref="H11" si="11">+SUM(H12:H14)</f>
        <v>45685</v>
      </c>
      <c r="I11" s="41">
        <f t="shared" ref="I11" si="12">+SUM(I12:I14)</f>
        <v>2759</v>
      </c>
      <c r="J11" s="41">
        <f t="shared" ref="J11" si="13">+SUM(J12:J14)</f>
        <v>133</v>
      </c>
      <c r="K11" s="41">
        <f t="shared" ref="K11" si="14">+SUM(K12:K14)</f>
        <v>199322.8</v>
      </c>
      <c r="L11" s="41">
        <f t="shared" ref="L11" si="15">+SUM(L12:L14)</f>
        <v>39112</v>
      </c>
      <c r="M11" s="41">
        <f t="shared" ref="M11" si="16">+SUM(M12:M14)</f>
        <v>88945.5</v>
      </c>
      <c r="N11" s="41">
        <f t="shared" ref="N11" si="17">+SUM(N12:N14)</f>
        <v>6998</v>
      </c>
      <c r="O11" s="41">
        <f t="shared" ref="O11" si="18">+SUM(O12:O14)</f>
        <v>0</v>
      </c>
      <c r="P11" s="41">
        <f t="shared" ref="P11" si="19">+SUM(P12:P14)</f>
        <v>150</v>
      </c>
      <c r="Q11" s="41">
        <f t="shared" ref="Q11" si="20">+SUM(Q12:Q14)</f>
        <v>1336873.6000000001</v>
      </c>
      <c r="R11" s="41">
        <f t="shared" ref="R11" si="21">+SUM(R12:R14)</f>
        <v>578314</v>
      </c>
      <c r="S11" s="41">
        <f t="shared" ref="S11" si="22">+SUM(S12:S14)</f>
        <v>167329</v>
      </c>
      <c r="T11" s="41">
        <f t="shared" ref="T11" si="23">+SUM(T12:T14)</f>
        <v>18267</v>
      </c>
      <c r="U11" s="41">
        <f t="shared" ref="U11" si="24">+SUM(U12:U14)</f>
        <v>36685</v>
      </c>
      <c r="V11" s="41">
        <f t="shared" ref="V11" si="25">+SUM(V12:V14)</f>
        <v>2213</v>
      </c>
      <c r="W11" s="41">
        <f t="shared" ref="W11" si="26">+SUM(W12:W14)</f>
        <v>14</v>
      </c>
      <c r="X11" s="41">
        <f t="shared" ref="X11" si="27">+SUM(X12:X14)</f>
        <v>33634.5</v>
      </c>
      <c r="Y11" s="41">
        <f t="shared" ref="Y11" si="28">+SUM(Y12:Y14)</f>
        <v>23500</v>
      </c>
      <c r="Z11" s="41">
        <f t="shared" ref="Z11" si="29">+SUM(Z12:Z14)</f>
        <v>8600</v>
      </c>
      <c r="AA11" s="41">
        <f t="shared" ref="AA11" si="30">+SUM(AA12:AA14)</f>
        <v>149</v>
      </c>
      <c r="AB11" s="41">
        <f t="shared" ref="AB11" si="31">+SUM(AB12:AB14)</f>
        <v>0</v>
      </c>
      <c r="AC11" s="41">
        <f t="shared" ref="AC11" si="32">+SUM(AC12:AC14)</f>
        <v>104</v>
      </c>
      <c r="AD11" s="41">
        <f t="shared" ref="AD11" si="33">+SUM(AD12:AD14)</f>
        <v>14</v>
      </c>
      <c r="AE11" s="41">
        <f t="shared" ref="AE11" si="34">+SUM(AE12:AE14)</f>
        <v>33634.5</v>
      </c>
      <c r="AF11" s="41">
        <f t="shared" ref="AF11" si="35">+SUM(AF12:AF14)</f>
        <v>23500</v>
      </c>
      <c r="AG11" s="41">
        <f t="shared" ref="AG11" si="36">+SUM(AG12:AG14)</f>
        <v>8600</v>
      </c>
      <c r="AH11" s="41">
        <f t="shared" ref="AH11" si="37">+SUM(AH12:AH14)</f>
        <v>149</v>
      </c>
      <c r="AI11" s="41">
        <f t="shared" ref="AI11" si="38">+SUM(AI12:AI14)</f>
        <v>0</v>
      </c>
      <c r="AJ11" s="41">
        <f t="shared" ref="AJ11" si="39">+SUM(AJ12:AJ14)</f>
        <v>104</v>
      </c>
      <c r="AK11" s="41">
        <f t="shared" ref="AK11" si="40">+SUM(AK12:AK14)</f>
        <v>0</v>
      </c>
      <c r="AL11" s="41">
        <f t="shared" ref="AL11" si="41">+SUM(AL12:AL14)</f>
        <v>0</v>
      </c>
      <c r="AM11" s="41">
        <f t="shared" ref="AM11" si="42">+SUM(AM12:AM14)</f>
        <v>0</v>
      </c>
      <c r="AN11" s="41">
        <f t="shared" ref="AN11" si="43">+SUM(AN12:AN14)</f>
        <v>0</v>
      </c>
      <c r="AO11" s="41">
        <f t="shared" ref="AO11" si="44">+SUM(AO12:AO14)</f>
        <v>0</v>
      </c>
      <c r="AP11" s="41">
        <f t="shared" ref="AP11" si="45">+SUM(AP12:AP14)</f>
        <v>0</v>
      </c>
      <c r="AQ11" s="41">
        <f t="shared" ref="AQ11" si="46">+SUM(AQ12:AQ14)</f>
        <v>0</v>
      </c>
      <c r="AR11" s="41">
        <f t="shared" ref="AR11" si="47">+SUM(AR12:AR14)</f>
        <v>0</v>
      </c>
      <c r="AS11" s="41">
        <f t="shared" ref="AS11" si="48">+SUM(AS12:AS14)</f>
        <v>0</v>
      </c>
      <c r="AT11" s="41">
        <f t="shared" ref="AT11" si="49">+SUM(AT12:AT14)</f>
        <v>0</v>
      </c>
      <c r="AU11" s="41">
        <f t="shared" ref="AU11" si="50">+SUM(AU12:AU14)</f>
        <v>0</v>
      </c>
      <c r="AV11" s="41">
        <f t="shared" ref="AV11" si="51">+SUM(AV12:AV14)</f>
        <v>0</v>
      </c>
      <c r="AW11" s="41">
        <f t="shared" ref="AW11" si="52">+SUM(AW12:AW14)</f>
        <v>0</v>
      </c>
      <c r="AX11" s="41">
        <f t="shared" ref="AX11" si="53">+SUM(AX12:AX14)</f>
        <v>0</v>
      </c>
      <c r="AY11" s="41">
        <f t="shared" ref="AY11" si="54">+SUM(AY12:AY14)</f>
        <v>124</v>
      </c>
      <c r="AZ11" s="41">
        <f t="shared" ref="AZ11" si="55">+SUM(AZ12:AZ14)</f>
        <v>1286262.6000000001</v>
      </c>
      <c r="BA11" s="41">
        <f t="shared" ref="BA11" si="56">+SUM(BA12:BA14)</f>
        <v>555114</v>
      </c>
      <c r="BB11" s="41">
        <f t="shared" ref="BB11" si="57">+SUM(BB12:BB14)</f>
        <v>143240</v>
      </c>
      <c r="BC11" s="41">
        <f t="shared" ref="BC11" si="58">+SUM(BC12:BC14)</f>
        <v>18027</v>
      </c>
      <c r="BD11" s="41">
        <f t="shared" ref="BD11" si="59">+SUM(BD12:BD14)</f>
        <v>36685</v>
      </c>
      <c r="BE11" s="41">
        <f t="shared" ref="BE11" si="60">+SUM(BE12:BE14)</f>
        <v>2017</v>
      </c>
      <c r="BF11" s="41">
        <f t="shared" ref="BF11" si="61">+SUM(BF12:BF14)</f>
        <v>16</v>
      </c>
      <c r="BG11" s="41">
        <f t="shared" ref="BG11" si="62">+SUM(BG12:BG14)</f>
        <v>281386</v>
      </c>
      <c r="BH11" s="41">
        <f t="shared" ref="BH11" si="63">+SUM(BH12:BH14)</f>
        <v>63900</v>
      </c>
      <c r="BI11" s="41">
        <f t="shared" ref="BI11" si="64">+SUM(BI12:BI14)</f>
        <v>66000</v>
      </c>
      <c r="BJ11" s="41">
        <f t="shared" ref="BJ11" si="65">+SUM(BJ12:BJ14)</f>
        <v>5700</v>
      </c>
      <c r="BK11" s="41">
        <f t="shared" ref="BK11" si="66">+SUM(BK12:BK14)</f>
        <v>9000</v>
      </c>
      <c r="BL11" s="43">
        <f t="shared" ref="BL11" si="67">+SUM(BL12:BL14)</f>
        <v>461</v>
      </c>
    </row>
    <row r="12" spans="1:64" s="3" customFormat="1" ht="35.25" customHeight="1">
      <c r="A12" s="12">
        <f>+A10+1</f>
        <v>4</v>
      </c>
      <c r="B12" s="11" t="s">
        <v>212</v>
      </c>
      <c r="C12" s="28">
        <f>+COUNTIFS(манзилли!$D:$D,'свод (сектор)'!$B12)</f>
        <v>52</v>
      </c>
      <c r="D12" s="29">
        <f>(+SUMIFS(манзилли!$K:$K,манзилли!$D:$D,'свод (сектор)'!$B12))</f>
        <v>245577.5</v>
      </c>
      <c r="E12" s="29">
        <f>(+SUMIFS(манзилли!$M:$M,манзилли!$D:$D,'свод (сектор)'!$B12))</f>
        <v>67534</v>
      </c>
      <c r="F12" s="29">
        <f>(+SUMIFS(манзилли!$Q:$Q,манзилли!$D:$D,'свод (сектор)'!$B12))</f>
        <v>59644</v>
      </c>
      <c r="G12" s="29">
        <f>(+SUMIFS(манзилли!$S:$S,манзилли!$D:$D,'свод (сектор)'!$B12))</f>
        <v>8365</v>
      </c>
      <c r="H12" s="29">
        <f>(+SUMIFS(манзилли!$U:$U,манзилли!$D:$D,'свод (сектор)'!$B12))</f>
        <v>500</v>
      </c>
      <c r="I12" s="30">
        <f>+SUMIFS(манзилли!$Y:$Y,манзилли!$D:$D,'свод (сектор)'!$B12)</f>
        <v>400</v>
      </c>
      <c r="J12" s="28">
        <f>+(COUNTIFS(манзилли!$L:$L,"&gt;0",манзилли!$D:$D,'свод (сектор)'!$B12)+COUNTIFS('Қўшимча ишга тушган'!$T:$T,"&gt;0",'Қўшимча ишга тушган'!$D:$D,'свод (сектор)'!$B12))</f>
        <v>40</v>
      </c>
      <c r="K12" s="29">
        <f>(+SUMIFS(манзилли!$L:$L,манзилли!$D:$D,'свод (сектор)'!$B12)+SUMIFS('Қўшимча ишга тушган'!$T:$T,'Қўшимча ишга тушган'!$D:$D,'свод (сектор)'!$B12))</f>
        <v>75847.7</v>
      </c>
      <c r="L12" s="29">
        <f>+(SUMIFS(манзилли!$N:$N,манзилли!$D:$D,'свод (сектор)'!$B12)+SUMIFS('Қўшимча ишга тушган'!$V:$V,'Қўшимча ишга тушган'!$D:$D,'свод (сектор)'!$B12))</f>
        <v>20467</v>
      </c>
      <c r="M12" s="29">
        <f>(+SUMIFS(манзилли!$R:$R,манзилли!$D:$D,'свод (сектор)'!$B12)+SUMIFS('Қўшимча ишга тушган'!$Z:$Z,'Қўшимча ишга тушган'!$D:$D,'свод (сектор)'!$B12))</f>
        <v>34695.5</v>
      </c>
      <c r="N12" s="29">
        <f>(+SUMIFS(манзилли!$T:$T,манзилли!$D:$D,'свод (сектор)'!$B12)+SUMIFS('Қўшимча ишга тушган'!$AB:$AB,'Қўшимча ишга тушган'!$D:$D,'свод (сектор)'!$B12))</f>
        <v>2021</v>
      </c>
      <c r="O12" s="30">
        <f>(+SUMIFS(манзилли!$V:$V,манзилли!$D:$D,'свод (сектор)'!$B12)+SUMIFS('Қўшимча ишга тушган'!$AD:$AD,'Қўшимча ишга тушган'!$D:$D,'свод (сектор)'!$B12))</f>
        <v>0</v>
      </c>
      <c r="P12" s="31">
        <f>+COUNTIFS(манзилли!$D:$D,'свод (сектор)'!$B12,манзилли!$AA:$AA,"&gt;31.12.2020",манзилли!$AA:$AA,"&lt;01.01.2022")</f>
        <v>45</v>
      </c>
      <c r="Q12" s="29">
        <f>(+SUMIFS(манзилли!$K:$K,манзилли!$D:$D,'свод (сектор)'!$B12,манзилли!$AA:$AA,"&gt;31.12.2020",манзилли!$AA:$AA,"&lt;01.01.2022"))</f>
        <v>190108</v>
      </c>
      <c r="R12" s="29">
        <f>(+SUMIFS(манзилли!$M:$M,манзилли!$D:$D,'свод (сектор)'!$B12,манзилли!$AA:$AA,"&gt;31.12.2020",манзилли!$AA:$AA,"&lt;01.01.2022"))</f>
        <v>53834</v>
      </c>
      <c r="S12" s="29">
        <f>(+SUMIFS(манзилли!$Q:$Q,манзилли!$D:$D,'свод (сектор)'!$B12,манзилли!$AA:$AA,"&gt;31.12.2020",манзилли!$AA:$AA,"&lt;01.01.2022"))</f>
        <v>58644</v>
      </c>
      <c r="T12" s="29">
        <f>(+SUMIFS(манзилли!$S:$S,манзилли!$D:$D,'свод (сектор)'!$B12,манзилли!$AA:$AA,"&gt;31.12.2020",манзилли!$AA:$AA,"&lt;01.01.2022"))</f>
        <v>5100</v>
      </c>
      <c r="U12" s="29">
        <f>(+SUMIFS(манзилли!$U:$U,манзилли!$D:$D,'свод (сектор)'!$B12,манзилли!$AA:$AA,"&gt;31.12.2020",манзилли!$AA:$AA,"&lt;01.01.2022"))</f>
        <v>0</v>
      </c>
      <c r="V12" s="30">
        <f>+SUMIFS(манзилли!$Y:$Y,манзилли!$D:$D,'свод (сектор)'!$B12,манзилли!$AA:$AA,"&gt;31.12.2020",манзилли!$AA:$AA,"&lt;01.01.2022")</f>
        <v>280</v>
      </c>
      <c r="W12" s="28">
        <f t="shared" si="4"/>
        <v>3</v>
      </c>
      <c r="X12" s="29">
        <f t="shared" si="5"/>
        <v>21350</v>
      </c>
      <c r="Y12" s="29">
        <f t="shared" si="5"/>
        <v>16400</v>
      </c>
      <c r="Z12" s="29">
        <f t="shared" si="5"/>
        <v>4950</v>
      </c>
      <c r="AA12" s="29">
        <f t="shared" si="5"/>
        <v>0</v>
      </c>
      <c r="AB12" s="29">
        <f t="shared" si="5"/>
        <v>0</v>
      </c>
      <c r="AC12" s="30">
        <f t="shared" si="5"/>
        <v>42</v>
      </c>
      <c r="AD12" s="28">
        <f>+COUNTIFS(манзилли!$D:$D,'свод (сектор)'!$B12,манзилли!$AB:$AB,"&gt;31.12.2020",манзилли!$AA:$AA,"&gt;31.12.2020",манзилли!$AA:$AA,"&lt;01.01.2022")</f>
        <v>3</v>
      </c>
      <c r="AE12" s="29">
        <f>(+SUMIFS(манзилли!$L:$L,манзилли!$D:$D,'свод (сектор)'!$B12,манзилли!$AB:$AB,"&gt;31.12.2020",манзилли!$AA:$AA,"&gt;31.12.2020",манзилли!$AA:$AA,"&lt;01.01.2022"))</f>
        <v>21350</v>
      </c>
      <c r="AF12" s="29">
        <f>(+SUMIFS(манзилли!$N:$N,манзилли!$D:$D,'свод (сектор)'!$B12,манзилли!$AB:$AB,"&gt;31.12.2020",манзилли!$AA:$AA,"&gt;31.12.2020",манзилли!$AA:$AA,"&lt;01.01.2022"))</f>
        <v>16400</v>
      </c>
      <c r="AG12" s="29">
        <f>(+SUMIFS(манзилли!$R:$R,манзилли!$D:$D,'свод (сектор)'!$B12,манзилли!$AB:$AB,"&gt;31.12.2020",манзилли!$AA:$AA,"&gt;31.12.2020",манзилли!$AA:$AA,"&lt;01.01.2022"))</f>
        <v>4950</v>
      </c>
      <c r="AH12" s="29">
        <f>(+SUMIFS(манзилли!$T:$T,манзилли!$D:$D,'свод (сектор)'!$B12,манзилли!$AB:$AB,"&gt;31.12.2020",манзилли!$AA:$AA,"&gt;31.12.2020",манзилли!$AA:$AA,"&lt;01.01.2022"))</f>
        <v>0</v>
      </c>
      <c r="AI12" s="29">
        <f>(+SUMIFS(манзилли!$V:$V,манзилли!$D:$D,'свод (сектор)'!$B12,манзилли!$AB:$AB,"&gt;31.12.2020",манзилли!$AA:$AA,"&gt;31.12.2020",манзилли!$AA:$AA,"&lt;01.01.2022"))</f>
        <v>0</v>
      </c>
      <c r="AJ12" s="30">
        <f>+SUMIFS(манзилли!$Z:$Z,манзилли!$D:$D,'свод (сектор)'!$B12,манзилли!$AB:$AB,"&gt;31.12.2020",манзилли!$AA:$AA,"&gt;31.12.2020",манзилли!$AA:$AA,"&lt;01.01.2022")</f>
        <v>42</v>
      </c>
      <c r="AK12" s="28">
        <f>+COUNTIFS('Қўшимча ишга тушган'!$D:$D,'свод (сектор)'!B12,'Қўшимча ишга тушган'!$AO:$AO,"&lt;01.10.2023")</f>
        <v>0</v>
      </c>
      <c r="AL12" s="29">
        <f>(+SUMIFS('Қўшимча ишга тушган'!$T:$T,'Қўшимча ишга тушган'!$D:$D,'свод (сектор)'!$B12,'Қўшимча ишга тушган'!$AO:$AO,"&lt;01.10.2023"))</f>
        <v>0</v>
      </c>
      <c r="AM12" s="29">
        <f>(+SUMIFS('Қўшимча ишга тушган'!$V:$V,'Қўшимча ишга тушган'!$D:$D,'свод (сектор)'!$B12,'Қўшимча ишга тушган'!$AO:$AO,"&lt;01.10.2023"))</f>
        <v>0</v>
      </c>
      <c r="AN12" s="29">
        <f>(+SUMIFS('Қўшимча ишга тушган'!$Z:$Z,'Қўшимча ишга тушган'!$D:$D,'свод (сектор)'!$B12,'Қўшимча ишга тушган'!$AO:$AO,"&lt;01.10.2023"))</f>
        <v>0</v>
      </c>
      <c r="AO12" s="29">
        <f>(+SUMIFS('Қўшимча ишга тушган'!$AB:$AB,'Қўшимча ишга тушган'!$D:$D,'свод (сектор)'!$B12,'Қўшимча ишга тушган'!$AO:$AO,"&lt;01.10.2023"))</f>
        <v>0</v>
      </c>
      <c r="AP12" s="29">
        <f>(+SUMIFS('Қўшимча ишга тушган'!$AD:$AD,'Қўшимча ишга тушган'!$D:$D,'свод (сектор)'!$B12,'Қўшимча ишга тушган'!$AO:$AO,"&lt;01.10.2023"))</f>
        <v>0</v>
      </c>
      <c r="AQ12" s="30">
        <f>+SUMIFS('Қўшимча ишга тушган'!$AM:$AM,'Қўшимча ишга тушган'!$D:$D,'свод (сектор)'!$B12,'Қўшимча ишга тушган'!$AO:$AO,"&lt;01.10.2023")</f>
        <v>0</v>
      </c>
      <c r="AR12" s="28">
        <f>+COUNTIFS(манзилли!$D:$D,'свод (сектор)'!$B12,манзилли!$AA:$AA,"&lt;01.02.2021",манзилли!$AB:$AB,"")</f>
        <v>0</v>
      </c>
      <c r="AS12" s="29">
        <f>(+SUMIFS(манзилли!$K:$K,манзилли!$D:$D,'свод (сектор)'!$B12,манзилли!$AA:$AA,"&lt;01.02.2021",манзилли!$AB:$AB,""))</f>
        <v>0</v>
      </c>
      <c r="AT12" s="29">
        <f>(+SUMIFS(манзилли!$M:$M,манзилли!$D:$D,'свод (сектор)'!$B12,манзилли!$AA:$AA,"&lt;01.02.2021",манзилли!$AB:$AB,""))</f>
        <v>0</v>
      </c>
      <c r="AU12" s="29">
        <f>(+SUMIFS(манзилли!$Q:$Q,манзилли!$D:$D,'свод (сектор)'!$B12,манзилли!$AA:$AA,"&lt;01.02.2021",манзилли!$AB:$AB,""))</f>
        <v>0</v>
      </c>
      <c r="AV12" s="29">
        <f>(+SUMIFS(манзилли!$S:$S,манзилли!$D:$D,'свод (сектор)'!$B12,манзилли!$AA:$AA,"&lt;01.02.2021",манзилли!$AB:$AB,""))</f>
        <v>0</v>
      </c>
      <c r="AW12" s="29">
        <f>(+SUMIFS(манзилли!$U:$U,манзилли!$D:$D,'свод (сектор)'!$B12,манзилли!$AA:$AA,"&lt;01.02.2021",манзилли!$AB:$AB,""))</f>
        <v>0</v>
      </c>
      <c r="AX12" s="30">
        <f>+SUMIFS(манзилли!$Y:$Y,манзилли!$D:$D,'свод (сектор)'!$B12,манзилли!$AA:$AA,"&lt;01.02.2021",манзилли!$AB:$AB,"")</f>
        <v>0</v>
      </c>
      <c r="AY12" s="28">
        <f>+COUNTIFS(манзилли!$D:$D,'свод (сектор)'!$B12,манзилли!$AA:$AA,"&lt;01.01.2022",манзилли!$AB:$AB,"")</f>
        <v>40</v>
      </c>
      <c r="AZ12" s="29">
        <f>(+SUMIFS(манзилли!$K:$K,манзилли!$D:$D,'свод (сектор)'!$B12,манзилли!$AA:$AA,"&lt;01.01.2022",манзилли!$AB:$AB,""))</f>
        <v>166299</v>
      </c>
      <c r="BA12" s="29">
        <f>(+SUMIFS(манзилли!$M:$M,манзилли!$D:$D,'свод (сектор)'!$B12,манзилли!$AA:$AA,"&lt;01.01.2022",манзилли!$AB:$AB,""))</f>
        <v>43234</v>
      </c>
      <c r="BB12" s="29">
        <f>(+SUMIFS(манзилли!$Q:$Q,манзилли!$D:$D,'свод (сектор)'!$B12,манзилли!$AA:$AA,"&lt;01.01.2022",манзилли!$AB:$AB,""))</f>
        <v>46285</v>
      </c>
      <c r="BC12" s="29">
        <f>(+SUMIFS(манзилли!$S:$S,манзилли!$D:$D,'свод (сектор)'!$B12,манзилли!$AA:$AA,"&lt;01.01.2022",манзилли!$AB:$AB,""))</f>
        <v>5100</v>
      </c>
      <c r="BD12" s="29">
        <f>(+SUMIFS(манзилли!$U:$U,манзилли!$D:$D,'свод (сектор)'!$B12,манзилли!$AA:$AA,"&lt;01.01.2022",манзилли!$AB:$AB,""))</f>
        <v>0</v>
      </c>
      <c r="BE12" s="30">
        <f>+SUMIFS(манзилли!$Y:$Y,манзилли!$D:$D,'свод (сектор)'!$B12,манзилли!$AA:$AA,"&lt;01.01.2022",манзилли!$AB:$AB,"")</f>
        <v>228</v>
      </c>
      <c r="BF12" s="28">
        <f>+COUNTIFS(манзилли!$D:$D,'свод (сектор)'!$B12,манзилли!$AA:$AA,"&lt;01.01.2023",манзилли!$AA:$AA,"&gt;=01.01.2022")</f>
        <v>2</v>
      </c>
      <c r="BG12" s="29">
        <f>(+SUMIFS(манзилли!$K:$K,манзилли!$D:$D,'свод (сектор)'!$B12,манзилли!$AA:$AA,"&lt;01.01.2023",манзилли!$AA:$AA,"&gt;=01.01.2022"))</f>
        <v>51110</v>
      </c>
      <c r="BH12" s="29">
        <f>(+SUMIFS(манзилли!$M:$M,манзилли!$D:$D,'свод (сектор)'!$B12,манзилли!$AA:$AA,"&lt;01.01.2023",манзилли!$AA:$AA,"&gt;=01.01.2022"))</f>
        <v>13000</v>
      </c>
      <c r="BI12" s="29">
        <f>(+SUMIFS(манзилли!$Q:$Q,манзилли!$D:$D,'свод (сектор)'!$B12,манзилли!$AA:$AA,"&lt;01.01.2023",манзилли!$AA:$AA,"&gt;=01.01.2022"))</f>
        <v>0</v>
      </c>
      <c r="BJ12" s="29">
        <f>(+SUMIFS(манзилли!$S:$S,манзилли!$D:$D,'свод (сектор)'!$B12,манзилли!$AA:$AA,"&lt;01.01.2023",манзилли!$AA:$AA,"&gt;=01.01.2022"))</f>
        <v>3200</v>
      </c>
      <c r="BK12" s="29">
        <f>(+SUMIFS(манзилли!$U:$U,манзилли!$D:$D,'свод (сектор)'!$B12,манзилли!$AA:$AA,"&lt;01.01.2023",манзилли!$AA:$AA,"&gt;=01.01.2022"))</f>
        <v>500</v>
      </c>
      <c r="BL12" s="30">
        <f>+SUMIFS(манзилли!$Y:$Y,манзилли!$D:$D,'свод (сектор)'!$B12,манзилли!$AA:$AA,"&lt;01.01.2023",манзилли!$AA:$AA,"&gt;=01.01.2022")</f>
        <v>110</v>
      </c>
    </row>
    <row r="13" spans="1:64" s="3" customFormat="1" ht="35.25" customHeight="1">
      <c r="A13" s="12">
        <f t="shared" si="6"/>
        <v>5</v>
      </c>
      <c r="B13" s="13" t="s">
        <v>243</v>
      </c>
      <c r="C13" s="28">
        <f>+COUNTIFS(манзилли!$D:$D,'свод (сектор)'!$B13)</f>
        <v>87</v>
      </c>
      <c r="D13" s="29">
        <f>(+SUMIFS(манзилли!$K:$K,манзилли!$D:$D,'свод (сектор)'!$B13))</f>
        <v>1096004.1000000001</v>
      </c>
      <c r="E13" s="29">
        <f>(+SUMIFS(манзилли!$M:$M,манзилли!$D:$D,'свод (сектор)'!$B13))</f>
        <v>483180</v>
      </c>
      <c r="F13" s="29">
        <f>(+SUMIFS(манзилли!$Q:$Q,манзилли!$D:$D,'свод (сектор)'!$B13))</f>
        <v>130305</v>
      </c>
      <c r="G13" s="29">
        <f>(+SUMIFS(манзилли!$S:$S,манзилли!$D:$D,'свод (сектор)'!$B13))</f>
        <v>9242</v>
      </c>
      <c r="H13" s="29">
        <f>(+SUMIFS(манзилли!$U:$U,манзилли!$D:$D,'свод (сектор)'!$B13))</f>
        <v>37585</v>
      </c>
      <c r="I13" s="30">
        <f>+SUMIFS(манзилли!$Y:$Y,манзилли!$D:$D,'свод (сектор)'!$B13)</f>
        <v>1449</v>
      </c>
      <c r="J13" s="28">
        <f>+(COUNTIFS(манзилли!$L:$L,"&gt;0",манзилли!$D:$D,'свод (сектор)'!$B13)+COUNTIFS('Қўшимча ишга тушган'!$T:$T,"&gt;0",'Қўшимча ишга тушган'!$D:$D,'свод (сектор)'!$B13))</f>
        <v>65</v>
      </c>
      <c r="K13" s="29">
        <f>(+SUMIFS(манзилли!$L:$L,манзилли!$D:$D,'свод (сектор)'!$B13)+SUMIFS('Қўшимча ишга тушган'!$T:$T,'Қўшимча ишга тушган'!$D:$D,'свод (сектор)'!$B13))</f>
        <v>76249.819999999992</v>
      </c>
      <c r="L13" s="29">
        <f>+(SUMIFS(манзилли!$N:$N,манзилли!$D:$D,'свод (сектор)'!$B13)+SUMIFS('Қўшимча ишга тушган'!$V:$V,'Қўшимча ишга тушган'!$D:$D,'свод (сектор)'!$B13))</f>
        <v>10980</v>
      </c>
      <c r="M13" s="29">
        <f>(+SUMIFS(манзилли!$R:$R,манзилли!$D:$D,'свод (сектор)'!$B13)+SUMIFS('Қўшимча ишга тушган'!$Z:$Z,'Қўшимча ишга тушган'!$D:$D,'свод (сектор)'!$B13))</f>
        <v>27509</v>
      </c>
      <c r="N13" s="29">
        <f>(+SUMIFS(манзилли!$T:$T,манзилли!$D:$D,'свод (сектор)'!$B13)+SUMIFS('Қўшимча ишга тушган'!$AB:$AB,'Қўшимча ишга тушган'!$D:$D,'свод (сектор)'!$B13))</f>
        <v>3700.6</v>
      </c>
      <c r="O13" s="30">
        <f>(+SUMIFS(манзилли!$V:$V,манзилли!$D:$D,'свод (сектор)'!$B13)+SUMIFS('Қўшимча ишга тушган'!$AD:$AD,'Қўшимча ишга тушган'!$D:$D,'свод (сектор)'!$B13))</f>
        <v>0</v>
      </c>
      <c r="P13" s="31">
        <f>+COUNTIFS(манзилли!$D:$D,'свод (сектор)'!$B13,манзилли!$AA:$AA,"&gt;31.12.2020",манзилли!$AA:$AA,"&lt;01.01.2022")</f>
        <v>75</v>
      </c>
      <c r="Q13" s="29">
        <f>(+SUMIFS(манзилли!$K:$K,манзилли!$D:$D,'свод (сектор)'!$B13,манзилли!$AA:$AA,"&gt;31.12.2020",манзилли!$AA:$AA,"&lt;01.01.2022"))</f>
        <v>966818.1</v>
      </c>
      <c r="R13" s="29">
        <f>(+SUMIFS(манзилли!$M:$M,манзилли!$D:$D,'свод (сектор)'!$B13,манзилли!$AA:$AA,"&gt;31.12.2020",манзилли!$AA:$AA,"&lt;01.01.2022"))</f>
        <v>442850</v>
      </c>
      <c r="S13" s="29">
        <f>(+SUMIFS(манзилли!$Q:$Q,манзилли!$D:$D,'свод (сектор)'!$B13,манзилли!$AA:$AA,"&gt;31.12.2020",манзилли!$AA:$AA,"&lt;01.01.2022"))</f>
        <v>86845</v>
      </c>
      <c r="T13" s="29">
        <f>(+SUMIFS(манзилли!$S:$S,манзилли!$D:$D,'свод (сектор)'!$B13,манзилли!$AA:$AA,"&gt;31.12.2020",манзилли!$AA:$AA,"&lt;01.01.2022"))</f>
        <v>7342</v>
      </c>
      <c r="U13" s="29">
        <f>(+SUMIFS(манзилли!$U:$U,манзилли!$D:$D,'свод (сектор)'!$B13,манзилли!$AA:$AA,"&gt;31.12.2020",манзилли!$AA:$AA,"&lt;01.01.2022"))</f>
        <v>35085</v>
      </c>
      <c r="V13" s="30">
        <f>+SUMIFS(манзилли!$Y:$Y,манзилли!$D:$D,'свод (сектор)'!$B13,манзилли!$AA:$AA,"&gt;31.12.2020",манзилли!$AA:$AA,"&lt;01.01.2022")</f>
        <v>1237</v>
      </c>
      <c r="W13" s="28">
        <f t="shared" si="4"/>
        <v>11</v>
      </c>
      <c r="X13" s="29">
        <f t="shared" si="5"/>
        <v>12284.5</v>
      </c>
      <c r="Y13" s="29">
        <f t="shared" si="5"/>
        <v>7100</v>
      </c>
      <c r="Z13" s="29">
        <f t="shared" si="5"/>
        <v>3650</v>
      </c>
      <c r="AA13" s="29">
        <f t="shared" si="5"/>
        <v>149</v>
      </c>
      <c r="AB13" s="29">
        <f t="shared" si="5"/>
        <v>0</v>
      </c>
      <c r="AC13" s="30">
        <f t="shared" si="5"/>
        <v>62</v>
      </c>
      <c r="AD13" s="28">
        <f>+COUNTIFS(манзилли!$D:$D,'свод (сектор)'!$B13,манзилли!$AB:$AB,"&gt;31.12.2020",манзилли!$AA:$AA,"&gt;31.12.2020",манзилли!$AA:$AA,"&lt;01.01.2022")</f>
        <v>11</v>
      </c>
      <c r="AE13" s="29">
        <f>(+SUMIFS(манзилли!$L:$L,манзилли!$D:$D,'свод (сектор)'!$B13,манзилли!$AB:$AB,"&gt;31.12.2020",манзилли!$AA:$AA,"&gt;31.12.2020",манзилли!$AA:$AA,"&lt;01.01.2022"))</f>
        <v>12284.5</v>
      </c>
      <c r="AF13" s="29">
        <f>(+SUMIFS(манзилли!$N:$N,манзилли!$D:$D,'свод (сектор)'!$B13,манзилли!$AB:$AB,"&gt;31.12.2020",манзилли!$AA:$AA,"&gt;31.12.2020",манзилли!$AA:$AA,"&lt;01.01.2022"))</f>
        <v>7100</v>
      </c>
      <c r="AG13" s="29">
        <f>(+SUMIFS(манзилли!$R:$R,манзилли!$D:$D,'свод (сектор)'!$B13,манзилли!$AB:$AB,"&gt;31.12.2020",манзилли!$AA:$AA,"&gt;31.12.2020",манзилли!$AA:$AA,"&lt;01.01.2022"))</f>
        <v>3650</v>
      </c>
      <c r="AH13" s="29">
        <f>(+SUMIFS(манзилли!$T:$T,манзилли!$D:$D,'свод (сектор)'!$B13,манзилли!$AB:$AB,"&gt;31.12.2020",манзилли!$AA:$AA,"&gt;31.12.2020",манзилли!$AA:$AA,"&lt;01.01.2022"))</f>
        <v>149</v>
      </c>
      <c r="AI13" s="29">
        <f>(+SUMIFS(манзилли!$V:$V,манзилли!$D:$D,'свод (сектор)'!$B13,манзилли!$AB:$AB,"&gt;31.12.2020",манзилли!$AA:$AA,"&gt;31.12.2020",манзилли!$AA:$AA,"&lt;01.01.2022"))</f>
        <v>0</v>
      </c>
      <c r="AJ13" s="30">
        <f>+SUMIFS(манзилли!$Z:$Z,манзилли!$D:$D,'свод (сектор)'!$B13,манзилли!$AB:$AB,"&gt;31.12.2020",манзилли!$AA:$AA,"&gt;31.12.2020",манзилли!$AA:$AA,"&lt;01.01.2022")</f>
        <v>62</v>
      </c>
      <c r="AK13" s="28">
        <f>+COUNTIFS('Қўшимча ишга тушган'!$D:$D,'свод (сектор)'!B13,'Қўшимча ишга тушган'!$AO:$AO,"&lt;01.10.2023")</f>
        <v>0</v>
      </c>
      <c r="AL13" s="29">
        <f>(+SUMIFS('Қўшимча ишга тушган'!$T:$T,'Қўшимча ишга тушган'!$D:$D,'свод (сектор)'!$B13,'Қўшимча ишга тушган'!$AO:$AO,"&lt;01.10.2023"))</f>
        <v>0</v>
      </c>
      <c r="AM13" s="29">
        <f>(+SUMIFS('Қўшимча ишга тушган'!$V:$V,'Қўшимча ишга тушган'!$D:$D,'свод (сектор)'!$B13,'Қўшимча ишга тушган'!$AO:$AO,"&lt;01.10.2023"))</f>
        <v>0</v>
      </c>
      <c r="AN13" s="29">
        <f>(+SUMIFS('Қўшимча ишга тушган'!$Z:$Z,'Қўшимча ишга тушган'!$D:$D,'свод (сектор)'!$B13,'Қўшимча ишга тушган'!$AO:$AO,"&lt;01.10.2023"))</f>
        <v>0</v>
      </c>
      <c r="AO13" s="29">
        <f>(+SUMIFS('Қўшимча ишга тушган'!$AB:$AB,'Қўшимча ишга тушган'!$D:$D,'свод (сектор)'!$B13,'Қўшимча ишга тушган'!$AO:$AO,"&lt;01.10.2023"))</f>
        <v>0</v>
      </c>
      <c r="AP13" s="29">
        <f>(+SUMIFS('Қўшимча ишга тушган'!$AD:$AD,'Қўшимча ишга тушган'!$D:$D,'свод (сектор)'!$B13,'Қўшимча ишга тушган'!$AO:$AO,"&lt;01.10.2023"))</f>
        <v>0</v>
      </c>
      <c r="AQ13" s="30">
        <f>+SUMIFS('Қўшимча ишга тушган'!$AM:$AM,'Қўшимча ишга тушган'!$D:$D,'свод (сектор)'!$B13,'Қўшимча ишга тушган'!$AO:$AO,"&lt;01.10.2023")</f>
        <v>0</v>
      </c>
      <c r="AR13" s="28">
        <f>+COUNTIFS(манзилли!$D:$D,'свод (сектор)'!$B13,манзилли!$AA:$AA,"&lt;01.02.2021",манзилли!$AB:$AB,"")</f>
        <v>0</v>
      </c>
      <c r="AS13" s="29">
        <f>(+SUMIFS(манзилли!$K:$K,манзилли!$D:$D,'свод (сектор)'!$B13,манзилли!$AA:$AA,"&lt;01.02.2021",манзилли!$AB:$AB,""))</f>
        <v>0</v>
      </c>
      <c r="AT13" s="29">
        <f>(+SUMIFS(манзилли!$M:$M,манзилли!$D:$D,'свод (сектор)'!$B13,манзилли!$AA:$AA,"&lt;01.02.2021",манзилли!$AB:$AB,""))</f>
        <v>0</v>
      </c>
      <c r="AU13" s="29">
        <f>(+SUMIFS(манзилли!$Q:$Q,манзилли!$D:$D,'свод (сектор)'!$B13,манзилли!$AA:$AA,"&lt;01.02.2021",манзилли!$AB:$AB,""))</f>
        <v>0</v>
      </c>
      <c r="AV13" s="29">
        <f>(+SUMIFS(манзилли!$S:$S,манзилли!$D:$D,'свод (сектор)'!$B13,манзилли!$AA:$AA,"&lt;01.02.2021",манзилли!$AB:$AB,""))</f>
        <v>0</v>
      </c>
      <c r="AW13" s="29">
        <f>(+SUMIFS(манзилли!$U:$U,манзилли!$D:$D,'свод (сектор)'!$B13,манзилли!$AA:$AA,"&lt;01.02.2021",манзилли!$AB:$AB,""))</f>
        <v>0</v>
      </c>
      <c r="AX13" s="30">
        <f>+SUMIFS(манзилли!$Y:$Y,манзилли!$D:$D,'свод (сектор)'!$B13,манзилли!$AA:$AA,"&lt;01.02.2021",манзилли!$AB:$AB,"")</f>
        <v>0</v>
      </c>
      <c r="AY13" s="28">
        <f>+COUNTIFS(манзилли!$D:$D,'свод (сектор)'!$B13,манзилли!$AA:$AA,"&lt;01.01.2022",манзилли!$AB:$AB,"")</f>
        <v>58</v>
      </c>
      <c r="AZ13" s="29">
        <f>(+SUMIFS(манзилли!$K:$K,манзилли!$D:$D,'свод (сектор)'!$B13,манзилли!$AA:$AA,"&lt;01.01.2022",манзилли!$AB:$AB,""))</f>
        <v>948131.1</v>
      </c>
      <c r="BA13" s="29">
        <f>(+SUMIFS(манзилли!$M:$M,манзилли!$D:$D,'свод (сектор)'!$B13,манзилли!$AA:$AA,"&lt;01.01.2022",манзилли!$AB:$AB,""))</f>
        <v>436150</v>
      </c>
      <c r="BB13" s="29">
        <f>(+SUMIFS(манзилли!$Q:$Q,манзилли!$D:$D,'свод (сектор)'!$B13,манзилли!$AA:$AA,"&lt;01.01.2022",манзилли!$AB:$AB,""))</f>
        <v>77330</v>
      </c>
      <c r="BC13" s="29">
        <f>(+SUMIFS(манзилли!$S:$S,манзилли!$D:$D,'свод (сектор)'!$B13,манзилли!$AA:$AA,"&lt;01.01.2022",манзилли!$AB:$AB,""))</f>
        <v>7102</v>
      </c>
      <c r="BD13" s="29">
        <f>(+SUMIFS(манзилли!$U:$U,манзилли!$D:$D,'свод (сектор)'!$B13,манзилли!$AA:$AA,"&lt;01.01.2022",манзилли!$AB:$AB,""))</f>
        <v>35085</v>
      </c>
      <c r="BE13" s="30">
        <f>+SUMIFS(манзилли!$Y:$Y,манзилли!$D:$D,'свод (сектор)'!$B13,манзилли!$AA:$AA,"&lt;01.01.2022",манзилли!$AB:$AB,"")</f>
        <v>1122</v>
      </c>
      <c r="BF13" s="28">
        <f>+COUNTIFS(манзилли!$D:$D,'свод (сектор)'!$B13,манзилли!$AA:$AA,"&lt;01.01.2023",манзилли!$AA:$AA,"&gt;=01.01.2022")</f>
        <v>8</v>
      </c>
      <c r="BG13" s="29">
        <f>(+SUMIFS(манзилли!$K:$K,манзилли!$D:$D,'свод (сектор)'!$B13,манзилли!$AA:$AA,"&lt;01.01.2023",манзилли!$AA:$AA,"&gt;=01.01.2022"))</f>
        <v>125896</v>
      </c>
      <c r="BH13" s="29">
        <f>(+SUMIFS(манзилли!$M:$M,манзилли!$D:$D,'свод (сектор)'!$B13,манзилли!$AA:$AA,"&lt;01.01.2023",манзилли!$AA:$AA,"&gt;=01.01.2022"))</f>
        <v>39000</v>
      </c>
      <c r="BI13" s="29">
        <f>(+SUMIFS(манзилли!$Q:$Q,манзилли!$D:$D,'свод (сектор)'!$B13,манзилли!$AA:$AA,"&lt;01.01.2023",манзилли!$AA:$AA,"&gt;=01.01.2022"))</f>
        <v>41500</v>
      </c>
      <c r="BJ13" s="29">
        <f>(+SUMIFS(манзилли!$S:$S,манзилли!$D:$D,'свод (сектор)'!$B13,манзилли!$AA:$AA,"&lt;01.01.2023",манзилли!$AA:$AA,"&gt;=01.01.2022"))</f>
        <v>1900</v>
      </c>
      <c r="BK13" s="29">
        <f>(+SUMIFS(манзилли!$U:$U,манзилли!$D:$D,'свод (сектор)'!$B13,манзилли!$AA:$AA,"&lt;01.01.2023",манзилли!$AA:$AA,"&gt;=01.01.2022"))</f>
        <v>2500</v>
      </c>
      <c r="BL13" s="30">
        <f>+SUMIFS(манзилли!$Y:$Y,манзилли!$D:$D,'свод (сектор)'!$B13,манзилли!$AA:$AA,"&lt;01.01.2023",манзилли!$AA:$AA,"&gt;=01.01.2022")</f>
        <v>191</v>
      </c>
    </row>
    <row r="14" spans="1:64" s="3" customFormat="1" ht="35.25" customHeight="1" thickBot="1">
      <c r="A14" s="12">
        <f t="shared" si="6"/>
        <v>6</v>
      </c>
      <c r="B14" s="14" t="s">
        <v>402</v>
      </c>
      <c r="C14" s="28">
        <f>+COUNTIFS(манзилли!$D:$D,'свод (сектор)'!$B14)</f>
        <v>45</v>
      </c>
      <c r="D14" s="29">
        <f>(+SUMIFS(манзилли!$K:$K,манзилли!$D:$D,'свод (сектор)'!$B14))</f>
        <v>296562.5</v>
      </c>
      <c r="E14" s="29">
        <f>(+SUMIFS(манзилли!$M:$M,манзилли!$D:$D,'свод (сектор)'!$B14))</f>
        <v>97568</v>
      </c>
      <c r="F14" s="29">
        <f>(+SUMIFS(манзилли!$Q:$Q,манзилли!$D:$D,'свод (сектор)'!$B14))</f>
        <v>54537</v>
      </c>
      <c r="G14" s="29">
        <f>(+SUMIFS(манзилли!$S:$S,манзилли!$D:$D,'свод (сектор)'!$B14))</f>
        <v>6425</v>
      </c>
      <c r="H14" s="29">
        <f>(+SUMIFS(манзилли!$U:$U,манзилли!$D:$D,'свод (сектор)'!$B14))</f>
        <v>7600</v>
      </c>
      <c r="I14" s="30">
        <f>+SUMIFS(манзилли!$Y:$Y,манзилли!$D:$D,'свод (сектор)'!$B14)</f>
        <v>910</v>
      </c>
      <c r="J14" s="28">
        <f>+(COUNTIFS(манзилли!$L:$L,"&gt;0",манзилли!$D:$D,'свод (сектор)'!$B14)+COUNTIFS('Қўшимча ишга тушган'!$T:$T,"&gt;0",'Қўшимча ишга тушган'!$D:$D,'свод (сектор)'!$B14))</f>
        <v>28</v>
      </c>
      <c r="K14" s="29">
        <f>(+SUMIFS(манзилли!$L:$L,манзилли!$D:$D,'свод (сектор)'!$B14)+SUMIFS('Қўшимча ишга тушган'!$T:$T,'Қўшимча ишга тушган'!$D:$D,'свод (сектор)'!$B14))</f>
        <v>47225.279999999999</v>
      </c>
      <c r="L14" s="29">
        <f>+(SUMIFS(манзилли!$N:$N,манзилли!$D:$D,'свод (сектор)'!$B14)+SUMIFS('Қўшимча ишга тушган'!$V:$V,'Қўшимча ишга тушган'!$D:$D,'свод (сектор)'!$B14))</f>
        <v>7665</v>
      </c>
      <c r="M14" s="29">
        <f>(+SUMIFS(манзилли!$R:$R,манзилли!$D:$D,'свод (сектор)'!$B14)+SUMIFS('Қўшимча ишга тушган'!$Z:$Z,'Қўшимча ишга тушган'!$D:$D,'свод (сектор)'!$B14))</f>
        <v>26741</v>
      </c>
      <c r="N14" s="29">
        <f>(+SUMIFS(манзилли!$T:$T,манзилли!$D:$D,'свод (сектор)'!$B14)+SUMIFS('Қўшимча ишга тушган'!$AB:$AB,'Қўшимча ишга тушган'!$D:$D,'свод (сектор)'!$B14))</f>
        <v>1276.4000000000001</v>
      </c>
      <c r="O14" s="30">
        <f>(+SUMIFS(манзилли!$V:$V,манзилли!$D:$D,'свод (сектор)'!$B14)+SUMIFS('Қўшимча ишга тушган'!$AD:$AD,'Қўшимча ишга тушган'!$D:$D,'свод (сектор)'!$B14))</f>
        <v>0</v>
      </c>
      <c r="P14" s="31">
        <f>+COUNTIFS(манзилли!$D:$D,'свод (сектор)'!$B14,манзилли!$AA:$AA,"&gt;31.12.2020",манзилли!$AA:$AA,"&lt;01.01.2022")</f>
        <v>30</v>
      </c>
      <c r="Q14" s="29">
        <f>(+SUMIFS(манзилли!$K:$K,манзилли!$D:$D,'свод (сектор)'!$B14,манзилли!$AA:$AA,"&gt;31.12.2020",манзилли!$AA:$AA,"&lt;01.01.2022"))</f>
        <v>179947.5</v>
      </c>
      <c r="R14" s="29">
        <f>(+SUMIFS(манзилли!$M:$M,манзилли!$D:$D,'свод (сектор)'!$B14,манзилли!$AA:$AA,"&gt;31.12.2020",манзилли!$AA:$AA,"&lt;01.01.2022"))</f>
        <v>81630</v>
      </c>
      <c r="S14" s="29">
        <f>(+SUMIFS(манзилли!$Q:$Q,манзилли!$D:$D,'свод (сектор)'!$B14,манзилли!$AA:$AA,"&gt;31.12.2020",манзилли!$AA:$AA,"&lt;01.01.2022"))</f>
        <v>21840</v>
      </c>
      <c r="T14" s="29">
        <f>(+SUMIFS(манзилли!$S:$S,манзилли!$D:$D,'свод (сектор)'!$B14,манзилли!$AA:$AA,"&gt;31.12.2020",манзилли!$AA:$AA,"&lt;01.01.2022"))</f>
        <v>5825</v>
      </c>
      <c r="U14" s="29">
        <f>(+SUMIFS(манзилли!$U:$U,манзилли!$D:$D,'свод (сектор)'!$B14,манзилли!$AA:$AA,"&gt;31.12.2020",манзилли!$AA:$AA,"&lt;01.01.2022"))</f>
        <v>1600</v>
      </c>
      <c r="V14" s="30">
        <f>+SUMIFS(манзилли!$Y:$Y,манзилли!$D:$D,'свод (сектор)'!$B14,манзилли!$AA:$AA,"&gt;31.12.2020",манзилли!$AA:$AA,"&lt;01.01.2022")</f>
        <v>696</v>
      </c>
      <c r="W14" s="28">
        <f t="shared" si="4"/>
        <v>0</v>
      </c>
      <c r="X14" s="29">
        <f t="shared" si="5"/>
        <v>0</v>
      </c>
      <c r="Y14" s="29">
        <f t="shared" si="5"/>
        <v>0</v>
      </c>
      <c r="Z14" s="29">
        <f t="shared" si="5"/>
        <v>0</v>
      </c>
      <c r="AA14" s="29">
        <f t="shared" si="5"/>
        <v>0</v>
      </c>
      <c r="AB14" s="29">
        <f t="shared" si="5"/>
        <v>0</v>
      </c>
      <c r="AC14" s="30">
        <f t="shared" si="5"/>
        <v>0</v>
      </c>
      <c r="AD14" s="28">
        <f>+COUNTIFS(манзилли!$D:$D,'свод (сектор)'!$B14,манзилли!$AB:$AB,"&gt;31.12.2020",манзилли!$AA:$AA,"&gt;31.12.2020",манзилли!$AA:$AA,"&lt;01.01.2022")</f>
        <v>0</v>
      </c>
      <c r="AE14" s="29">
        <f>(+SUMIFS(манзилли!$L:$L,манзилли!$D:$D,'свод (сектор)'!$B14,манзилли!$AB:$AB,"&gt;31.12.2020",манзилли!$AA:$AA,"&gt;31.12.2020",манзилли!$AA:$AA,"&lt;01.01.2022"))</f>
        <v>0</v>
      </c>
      <c r="AF14" s="29">
        <f>(+SUMIFS(манзилли!$N:$N,манзилли!$D:$D,'свод (сектор)'!$B14,манзилли!$AB:$AB,"&gt;31.12.2020",манзилли!$AA:$AA,"&gt;31.12.2020",манзилли!$AA:$AA,"&lt;01.01.2022"))</f>
        <v>0</v>
      </c>
      <c r="AG14" s="29">
        <f>(+SUMIFS(манзилли!$R:$R,манзилли!$D:$D,'свод (сектор)'!$B14,манзилли!$AB:$AB,"&gt;31.12.2020",манзилли!$AA:$AA,"&gt;31.12.2020",манзилли!$AA:$AA,"&lt;01.01.2022"))</f>
        <v>0</v>
      </c>
      <c r="AH14" s="29">
        <f>(+SUMIFS(манзилли!$T:$T,манзилли!$D:$D,'свод (сектор)'!$B14,манзилли!$AB:$AB,"&gt;31.12.2020",манзилли!$AA:$AA,"&gt;31.12.2020",манзилли!$AA:$AA,"&lt;01.01.2022"))</f>
        <v>0</v>
      </c>
      <c r="AI14" s="29">
        <f>(+SUMIFS(манзилли!$V:$V,манзилли!$D:$D,'свод (сектор)'!$B14,манзилли!$AB:$AB,"&gt;31.12.2020",манзилли!$AA:$AA,"&gt;31.12.2020",манзилли!$AA:$AA,"&lt;01.01.2022"))</f>
        <v>0</v>
      </c>
      <c r="AJ14" s="30">
        <f>+SUMIFS(манзилли!$Z:$Z,манзилли!$D:$D,'свод (сектор)'!$B14,манзилли!$AB:$AB,"&gt;31.12.2020",манзилли!$AA:$AA,"&gt;31.12.2020",манзилли!$AA:$AA,"&lt;01.01.2022")</f>
        <v>0</v>
      </c>
      <c r="AK14" s="28">
        <f>+COUNTIFS('Қўшимча ишга тушган'!$D:$D,'свод (сектор)'!B14,'Қўшимча ишга тушган'!$AO:$AO,"&lt;01.10.2023")</f>
        <v>0</v>
      </c>
      <c r="AL14" s="29">
        <f>(+SUMIFS('Қўшимча ишга тушган'!$T:$T,'Қўшимча ишга тушган'!$D:$D,'свод (сектор)'!$B14,'Қўшимча ишга тушган'!$AO:$AO,"&lt;01.10.2023"))</f>
        <v>0</v>
      </c>
      <c r="AM14" s="29">
        <f>(+SUMIFS('Қўшимча ишга тушган'!$V:$V,'Қўшимча ишга тушган'!$D:$D,'свод (сектор)'!$B14,'Қўшимча ишга тушган'!$AO:$AO,"&lt;01.10.2023"))</f>
        <v>0</v>
      </c>
      <c r="AN14" s="29">
        <f>(+SUMIFS('Қўшимча ишга тушган'!$Z:$Z,'Қўшимча ишга тушган'!$D:$D,'свод (сектор)'!$B14,'Қўшимча ишга тушган'!$AO:$AO,"&lt;01.10.2023"))</f>
        <v>0</v>
      </c>
      <c r="AO14" s="29">
        <f>(+SUMIFS('Қўшимча ишга тушган'!$AB:$AB,'Қўшимча ишга тушган'!$D:$D,'свод (сектор)'!$B14,'Қўшимча ишга тушган'!$AO:$AO,"&lt;01.10.2023"))</f>
        <v>0</v>
      </c>
      <c r="AP14" s="29">
        <f>(+SUMIFS('Қўшимча ишга тушган'!$AD:$AD,'Қўшимча ишга тушган'!$D:$D,'свод (сектор)'!$B14,'Қўшимча ишга тушган'!$AO:$AO,"&lt;01.10.2023"))</f>
        <v>0</v>
      </c>
      <c r="AQ14" s="30">
        <f>+SUMIFS('Қўшимча ишга тушган'!$AM:$AM,'Қўшимча ишга тушган'!$D:$D,'свод (сектор)'!$B14,'Қўшимча ишга тушган'!$AO:$AO,"&lt;01.10.2023")</f>
        <v>0</v>
      </c>
      <c r="AR14" s="28">
        <f>+COUNTIFS(манзилли!$D:$D,'свод (сектор)'!$B14,манзилли!$AA:$AA,"&lt;01.02.2021",манзилли!$AB:$AB,"")</f>
        <v>0</v>
      </c>
      <c r="AS14" s="29">
        <f>(+SUMIFS(манзилли!$K:$K,манзилли!$D:$D,'свод (сектор)'!$B14,манзилли!$AA:$AA,"&lt;01.02.2021",манзилли!$AB:$AB,""))</f>
        <v>0</v>
      </c>
      <c r="AT14" s="29">
        <f>(+SUMIFS(манзилли!$M:$M,манзилли!$D:$D,'свод (сектор)'!$B14,манзилли!$AA:$AA,"&lt;01.02.2021",манзилли!$AB:$AB,""))</f>
        <v>0</v>
      </c>
      <c r="AU14" s="29">
        <f>(+SUMIFS(манзилли!$Q:$Q,манзилли!$D:$D,'свод (сектор)'!$B14,манзилли!$AA:$AA,"&lt;01.02.2021",манзилли!$AB:$AB,""))</f>
        <v>0</v>
      </c>
      <c r="AV14" s="29">
        <f>(+SUMIFS(манзилли!$S:$S,манзилли!$D:$D,'свод (сектор)'!$B14,манзилли!$AA:$AA,"&lt;01.02.2021",манзилли!$AB:$AB,""))</f>
        <v>0</v>
      </c>
      <c r="AW14" s="29">
        <f>(+SUMIFS(манзилли!$U:$U,манзилли!$D:$D,'свод (сектор)'!$B14,манзилли!$AA:$AA,"&lt;01.02.2021",манзилли!$AB:$AB,""))</f>
        <v>0</v>
      </c>
      <c r="AX14" s="30">
        <f>+SUMIFS(манзилли!$Y:$Y,манзилли!$D:$D,'свод (сектор)'!$B14,манзилли!$AA:$AA,"&lt;01.02.2021",манзилли!$AB:$AB,"")</f>
        <v>0</v>
      </c>
      <c r="AY14" s="28">
        <f>+COUNTIFS(манзилли!$D:$D,'свод (сектор)'!$B14,манзилли!$AA:$AA,"&lt;01.01.2022",манзилли!$AB:$AB,"")</f>
        <v>26</v>
      </c>
      <c r="AZ14" s="29">
        <f>(+SUMIFS(манзилли!$K:$K,манзилли!$D:$D,'свод (сектор)'!$B14,манзилли!$AA:$AA,"&lt;01.01.2022",манзилли!$AB:$AB,""))</f>
        <v>171832.5</v>
      </c>
      <c r="BA14" s="29">
        <f>(+SUMIFS(манзилли!$M:$M,манзилли!$D:$D,'свод (сектор)'!$B14,манзилли!$AA:$AA,"&lt;01.01.2022",манзилли!$AB:$AB,""))</f>
        <v>75730</v>
      </c>
      <c r="BB14" s="29">
        <f>(+SUMIFS(манзилли!$Q:$Q,манзилли!$D:$D,'свод (сектор)'!$B14,манзилли!$AA:$AA,"&lt;01.01.2022",манзилли!$AB:$AB,""))</f>
        <v>19625</v>
      </c>
      <c r="BC14" s="29">
        <f>(+SUMIFS(манзилли!$S:$S,манзилли!$D:$D,'свод (сектор)'!$B14,манзилли!$AA:$AA,"&lt;01.01.2022",манзилли!$AB:$AB,""))</f>
        <v>5825</v>
      </c>
      <c r="BD14" s="29">
        <f>(+SUMIFS(манзилли!$U:$U,манзилли!$D:$D,'свод (сектор)'!$B14,манзилли!$AA:$AA,"&lt;01.01.2022",манзилли!$AB:$AB,""))</f>
        <v>1600</v>
      </c>
      <c r="BE14" s="30">
        <f>+SUMIFS(манзилли!$Y:$Y,манзилли!$D:$D,'свод (сектор)'!$B14,манзилли!$AA:$AA,"&lt;01.01.2022",манзилли!$AB:$AB,"")</f>
        <v>667</v>
      </c>
      <c r="BF14" s="28">
        <f>+COUNTIFS(манзилли!$D:$D,'свод (сектор)'!$B14,манзилли!$AA:$AA,"&lt;01.01.2023",манзилли!$AA:$AA,"&gt;=01.01.2022")</f>
        <v>6</v>
      </c>
      <c r="BG14" s="29">
        <f>(+SUMIFS(манзилли!$K:$K,манзилли!$D:$D,'свод (сектор)'!$B14,манзилли!$AA:$AA,"&lt;01.01.2023",манзилли!$AA:$AA,"&gt;=01.01.2022"))</f>
        <v>104380</v>
      </c>
      <c r="BH14" s="29">
        <f>(+SUMIFS(манзилли!$M:$M,манзилли!$D:$D,'свод (сектор)'!$B14,манзилли!$AA:$AA,"&lt;01.01.2023",манзилли!$AA:$AA,"&gt;=01.01.2022"))</f>
        <v>11900</v>
      </c>
      <c r="BI14" s="29">
        <f>(+SUMIFS(манзилли!$Q:$Q,манзилли!$D:$D,'свод (сектор)'!$B14,манзилли!$AA:$AA,"&lt;01.01.2023",манзилли!$AA:$AA,"&gt;=01.01.2022"))</f>
        <v>24500</v>
      </c>
      <c r="BJ14" s="29">
        <f>(+SUMIFS(манзилли!$S:$S,манзилли!$D:$D,'свод (сектор)'!$B14,манзилли!$AA:$AA,"&lt;01.01.2023",манзилли!$AA:$AA,"&gt;=01.01.2022"))</f>
        <v>600</v>
      </c>
      <c r="BK14" s="29">
        <f>(+SUMIFS(манзилли!$U:$U,манзилли!$D:$D,'свод (сектор)'!$B14,манзилли!$AA:$AA,"&lt;01.01.2023",манзилли!$AA:$AA,"&gt;=01.01.2022"))</f>
        <v>6000</v>
      </c>
      <c r="BL14" s="30">
        <f>+SUMIFS(манзилли!$Y:$Y,манзилли!$D:$D,'свод (сектор)'!$B14,манзилли!$AA:$AA,"&lt;01.01.2023",манзилли!$AA:$AA,"&gt;=01.01.2022")</f>
        <v>160</v>
      </c>
    </row>
    <row r="15" spans="1:64" s="3" customFormat="1" ht="35.25" customHeight="1" thickBot="1">
      <c r="A15" s="148" t="s">
        <v>1773</v>
      </c>
      <c r="B15" s="149"/>
      <c r="C15" s="41">
        <f>+SUM(C16:C18)</f>
        <v>154</v>
      </c>
      <c r="D15" s="41">
        <f t="shared" ref="D15" si="68">+SUM(D16:D18)</f>
        <v>1786943.7999999998</v>
      </c>
      <c r="E15" s="41">
        <f t="shared" ref="E15" si="69">+SUM(E16:E18)</f>
        <v>777703.3</v>
      </c>
      <c r="F15" s="41">
        <f t="shared" ref="F15" si="70">+SUM(F16:F18)</f>
        <v>274294.3</v>
      </c>
      <c r="G15" s="41">
        <f t="shared" ref="G15" si="71">+SUM(G16:G18)</f>
        <v>40054</v>
      </c>
      <c r="H15" s="41">
        <f t="shared" ref="H15" si="72">+SUM(H16:H18)</f>
        <v>31300</v>
      </c>
      <c r="I15" s="41">
        <f t="shared" ref="I15" si="73">+SUM(I16:I18)</f>
        <v>3517</v>
      </c>
      <c r="J15" s="41">
        <f t="shared" ref="J15" si="74">+SUM(J16:J18)</f>
        <v>107</v>
      </c>
      <c r="K15" s="41">
        <f t="shared" ref="K15" si="75">+SUM(K16:K18)</f>
        <v>311236.5</v>
      </c>
      <c r="L15" s="41">
        <f t="shared" ref="L15" si="76">+SUM(L16:L18)</f>
        <v>42486.1</v>
      </c>
      <c r="M15" s="41">
        <f t="shared" ref="M15" si="77">+SUM(M16:M18)</f>
        <v>159335</v>
      </c>
      <c r="N15" s="41">
        <f t="shared" ref="N15" si="78">+SUM(N16:N18)</f>
        <v>10727</v>
      </c>
      <c r="O15" s="41">
        <f t="shared" ref="O15" si="79">+SUM(O16:O18)</f>
        <v>0</v>
      </c>
      <c r="P15" s="41">
        <f t="shared" ref="P15" si="80">+SUM(P16:P18)</f>
        <v>82</v>
      </c>
      <c r="Q15" s="41">
        <f t="shared" ref="Q15" si="81">+SUM(Q16:Q18)</f>
        <v>1452840.8</v>
      </c>
      <c r="R15" s="41">
        <f t="shared" ref="R15" si="82">+SUM(R16:R18)</f>
        <v>647993.30000000005</v>
      </c>
      <c r="S15" s="41">
        <f t="shared" ref="S15" si="83">+SUM(S16:S18)</f>
        <v>212453.3</v>
      </c>
      <c r="T15" s="41">
        <f t="shared" ref="T15" si="84">+SUM(T16:T18)</f>
        <v>27714</v>
      </c>
      <c r="U15" s="41">
        <f t="shared" ref="U15" si="85">+SUM(U16:U18)</f>
        <v>29800</v>
      </c>
      <c r="V15" s="41">
        <f t="shared" ref="V15" si="86">+SUM(V16:V18)</f>
        <v>2643</v>
      </c>
      <c r="W15" s="41">
        <f t="shared" ref="W15" si="87">+SUM(W16:W18)</f>
        <v>2</v>
      </c>
      <c r="X15" s="41">
        <f t="shared" ref="X15" si="88">+SUM(X16:X18)</f>
        <v>5700</v>
      </c>
      <c r="Y15" s="41">
        <f t="shared" ref="Y15" si="89">+SUM(Y16:Y18)</f>
        <v>2300</v>
      </c>
      <c r="Z15" s="41">
        <f t="shared" ref="Z15" si="90">+SUM(Z16:Z18)</f>
        <v>3400</v>
      </c>
      <c r="AA15" s="41">
        <f t="shared" ref="AA15" si="91">+SUM(AA16:AA18)</f>
        <v>0</v>
      </c>
      <c r="AB15" s="41">
        <f t="shared" ref="AB15" si="92">+SUM(AB16:AB18)</f>
        <v>0</v>
      </c>
      <c r="AC15" s="41">
        <f t="shared" ref="AC15" si="93">+SUM(AC16:AC18)</f>
        <v>15</v>
      </c>
      <c r="AD15" s="41">
        <f t="shared" ref="AD15" si="94">+SUM(AD16:AD18)</f>
        <v>2</v>
      </c>
      <c r="AE15" s="41">
        <f t="shared" ref="AE15" si="95">+SUM(AE16:AE18)</f>
        <v>5700</v>
      </c>
      <c r="AF15" s="41">
        <f t="shared" ref="AF15" si="96">+SUM(AF16:AF18)</f>
        <v>2300</v>
      </c>
      <c r="AG15" s="41">
        <f t="shared" ref="AG15" si="97">+SUM(AG16:AG18)</f>
        <v>3400</v>
      </c>
      <c r="AH15" s="41">
        <f t="shared" ref="AH15" si="98">+SUM(AH16:AH18)</f>
        <v>0</v>
      </c>
      <c r="AI15" s="41">
        <f t="shared" ref="AI15" si="99">+SUM(AI16:AI18)</f>
        <v>0</v>
      </c>
      <c r="AJ15" s="41">
        <f t="shared" ref="AJ15" si="100">+SUM(AJ16:AJ18)</f>
        <v>15</v>
      </c>
      <c r="AK15" s="41">
        <f t="shared" ref="AK15" si="101">+SUM(AK16:AK18)</f>
        <v>0</v>
      </c>
      <c r="AL15" s="41">
        <f t="shared" ref="AL15" si="102">+SUM(AL16:AL18)</f>
        <v>0</v>
      </c>
      <c r="AM15" s="41">
        <f t="shared" ref="AM15" si="103">+SUM(AM16:AM18)</f>
        <v>0</v>
      </c>
      <c r="AN15" s="41">
        <f t="shared" ref="AN15" si="104">+SUM(AN16:AN18)</f>
        <v>0</v>
      </c>
      <c r="AO15" s="41">
        <f t="shared" ref="AO15" si="105">+SUM(AO16:AO18)</f>
        <v>0</v>
      </c>
      <c r="AP15" s="41">
        <f t="shared" ref="AP15" si="106">+SUM(AP16:AP18)</f>
        <v>0</v>
      </c>
      <c r="AQ15" s="41">
        <f t="shared" ref="AQ15" si="107">+SUM(AQ16:AQ18)</f>
        <v>0</v>
      </c>
      <c r="AR15" s="41">
        <f t="shared" ref="AR15" si="108">+SUM(AR16:AR18)</f>
        <v>0</v>
      </c>
      <c r="AS15" s="41">
        <f t="shared" ref="AS15" si="109">+SUM(AS16:AS18)</f>
        <v>0</v>
      </c>
      <c r="AT15" s="41">
        <f t="shared" ref="AT15" si="110">+SUM(AT16:AT18)</f>
        <v>0</v>
      </c>
      <c r="AU15" s="41">
        <f t="shared" ref="AU15" si="111">+SUM(AU16:AU18)</f>
        <v>0</v>
      </c>
      <c r="AV15" s="41">
        <f t="shared" ref="AV15" si="112">+SUM(AV16:AV18)</f>
        <v>0</v>
      </c>
      <c r="AW15" s="41">
        <f t="shared" ref="AW15" si="113">+SUM(AW16:AW18)</f>
        <v>0</v>
      </c>
      <c r="AX15" s="41">
        <f t="shared" ref="AX15" si="114">+SUM(AX16:AX18)</f>
        <v>0</v>
      </c>
      <c r="AY15" s="41">
        <f t="shared" ref="AY15" si="115">+SUM(AY16:AY18)</f>
        <v>69</v>
      </c>
      <c r="AZ15" s="41">
        <f t="shared" ref="AZ15" si="116">+SUM(AZ16:AZ18)</f>
        <v>1425869.7000000002</v>
      </c>
      <c r="BA15" s="41">
        <f t="shared" ref="BA15" si="117">+SUM(BA16:BA18)</f>
        <v>640155.5</v>
      </c>
      <c r="BB15" s="41">
        <f t="shared" ref="BB15" si="118">+SUM(BB16:BB18)</f>
        <v>193320</v>
      </c>
      <c r="BC15" s="41">
        <f t="shared" ref="BC15" si="119">+SUM(BC16:BC18)</f>
        <v>27714</v>
      </c>
      <c r="BD15" s="41">
        <f t="shared" ref="BD15" si="120">+SUM(BD16:BD18)</f>
        <v>29800</v>
      </c>
      <c r="BE15" s="41">
        <f t="shared" ref="BE15" si="121">+SUM(BE16:BE18)</f>
        <v>2531</v>
      </c>
      <c r="BF15" s="41">
        <f t="shared" ref="BF15" si="122">+SUM(BF16:BF18)</f>
        <v>12</v>
      </c>
      <c r="BG15" s="41">
        <f t="shared" ref="BG15" si="123">+SUM(BG16:BG18)</f>
        <v>266635</v>
      </c>
      <c r="BH15" s="41">
        <f t="shared" ref="BH15" si="124">+SUM(BH16:BH18)</f>
        <v>99490</v>
      </c>
      <c r="BI15" s="41">
        <f t="shared" ref="BI15" si="125">+SUM(BI16:BI18)</f>
        <v>26550</v>
      </c>
      <c r="BJ15" s="41">
        <f t="shared" ref="BJ15" si="126">+SUM(BJ16:BJ18)</f>
        <v>12150</v>
      </c>
      <c r="BK15" s="41">
        <f t="shared" ref="BK15" si="127">+SUM(BK16:BK18)</f>
        <v>1500</v>
      </c>
      <c r="BL15" s="43">
        <f t="shared" ref="BL15" si="128">+SUM(BL16:BL18)</f>
        <v>580</v>
      </c>
    </row>
    <row r="16" spans="1:64" s="3" customFormat="1" ht="35.25" customHeight="1">
      <c r="A16" s="12">
        <f>+A14+1</f>
        <v>7</v>
      </c>
      <c r="B16" s="11" t="s">
        <v>167</v>
      </c>
      <c r="C16" s="28">
        <f>+COUNTIFS(манзилли!$D:$D,'свод (сектор)'!$B16)</f>
        <v>57</v>
      </c>
      <c r="D16" s="29">
        <f>(+SUMIFS(манзилли!$K:$K,манзилли!$D:$D,'свод (сектор)'!$B16))</f>
        <v>702735</v>
      </c>
      <c r="E16" s="29">
        <f>(+SUMIFS(манзилли!$M:$M,манзилли!$D:$D,'свод (сектор)'!$B16))</f>
        <v>334334</v>
      </c>
      <c r="F16" s="29">
        <f>(+SUMIFS(манзилли!$Q:$Q,манзилли!$D:$D,'свод (сектор)'!$B16))</f>
        <v>163431</v>
      </c>
      <c r="G16" s="29">
        <f>(+SUMIFS(манзилли!$S:$S,манзилли!$D:$D,'свод (сектор)'!$B16))</f>
        <v>16900</v>
      </c>
      <c r="H16" s="29">
        <f>(+SUMIFS(манзилли!$U:$U,манзилли!$D:$D,'свод (сектор)'!$B16))</f>
        <v>3000</v>
      </c>
      <c r="I16" s="30">
        <f>+SUMIFS(манзилли!$Y:$Y,манзилли!$D:$D,'свод (сектор)'!$B16)</f>
        <v>1318</v>
      </c>
      <c r="J16" s="28">
        <f>+(COUNTIFS(манзилли!$L:$L,"&gt;0",манзилли!$D:$D,'свод (сектор)'!$B16)+COUNTIFS('Қўшимча ишга тушган'!$T:$T,"&gt;0",'Қўшимча ишга тушган'!$D:$D,'свод (сектор)'!$B16))</f>
        <v>40</v>
      </c>
      <c r="K16" s="29">
        <f>(+SUMIFS(манзилли!$L:$L,манзилли!$D:$D,'свод (сектор)'!$B16)+SUMIFS('Қўшимча ишга тушган'!$T:$T,'Қўшимча ишга тушган'!$D:$D,'свод (сектор)'!$B16))</f>
        <v>141469</v>
      </c>
      <c r="L16" s="29">
        <f>+(SUMIFS(манзилли!$N:$N,манзилли!$D:$D,'свод (сектор)'!$B16)+SUMIFS('Қўшимча ишга тушган'!$V:$V,'Қўшимча ишга тушган'!$D:$D,'свод (сектор)'!$B16))</f>
        <v>21610.3</v>
      </c>
      <c r="M16" s="29">
        <f>(+SUMIFS(манзилли!$R:$R,манзилли!$D:$D,'свод (сектор)'!$B16)+SUMIFS('Қўшимча ишга тушган'!$Z:$Z,'Қўшимча ишга тушган'!$D:$D,'свод (сектор)'!$B16))</f>
        <v>104558.7</v>
      </c>
      <c r="N16" s="29">
        <f>(+SUMIFS(манзилли!$T:$T,манзилли!$D:$D,'свод (сектор)'!$B16)+SUMIFS('Қўшимча ишга тушган'!$AB:$AB,'Қўшимча ишга тушган'!$D:$D,'свод (сектор)'!$B16))</f>
        <v>1500</v>
      </c>
      <c r="O16" s="30">
        <f>(+SUMIFS(манзилли!$V:$V,манзилли!$D:$D,'свод (сектор)'!$B16)+SUMIFS('Қўшимча ишга тушган'!$AD:$AD,'Қўшимча ишга тушган'!$D:$D,'свод (сектор)'!$B16))</f>
        <v>0</v>
      </c>
      <c r="P16" s="31">
        <f>+COUNTIFS(манзилли!$D:$D,'свод (сектор)'!$B16,манзилли!$AA:$AA,"&gt;31.12.2020",манзилли!$AA:$AA,"&lt;01.01.2022")</f>
        <v>28</v>
      </c>
      <c r="Q16" s="29">
        <f>(+SUMIFS(манзилли!$K:$K,манзилли!$D:$D,'свод (сектор)'!$B16,манзилли!$AA:$AA,"&gt;31.12.2020",манзилли!$AA:$AA,"&lt;01.01.2022"))</f>
        <v>487424</v>
      </c>
      <c r="R16" s="29">
        <f>(+SUMIFS(манзилли!$M:$M,манзилли!$D:$D,'свод (сектор)'!$B16,манзилли!$AA:$AA,"&gt;31.12.2020",манзилли!$AA:$AA,"&lt;01.01.2022"))</f>
        <v>257024</v>
      </c>
      <c r="S16" s="29">
        <f>(+SUMIFS(манзилли!$Q:$Q,манзилли!$D:$D,'свод (сектор)'!$B16,манзилли!$AA:$AA,"&gt;31.12.2020",манзилли!$AA:$AA,"&lt;01.01.2022"))</f>
        <v>137700</v>
      </c>
      <c r="T16" s="29">
        <f>(+SUMIFS(манзилли!$S:$S,манзилли!$D:$D,'свод (сектор)'!$B16,манзилли!$AA:$AA,"&gt;31.12.2020",манзилли!$AA:$AA,"&lt;01.01.2022"))</f>
        <v>7500</v>
      </c>
      <c r="U16" s="29">
        <f>(+SUMIFS(манзилли!$U:$U,манзилли!$D:$D,'свод (сектор)'!$B16,манзилли!$AA:$AA,"&gt;31.12.2020",манзилли!$AA:$AA,"&lt;01.01.2022"))</f>
        <v>1500</v>
      </c>
      <c r="V16" s="30">
        <f>+SUMIFS(манзилли!$Y:$Y,манзилли!$D:$D,'свод (сектор)'!$B16,манзилли!$AA:$AA,"&gt;31.12.2020",манзилли!$AA:$AA,"&lt;01.01.2022")</f>
        <v>945</v>
      </c>
      <c r="W16" s="28">
        <f t="shared" si="4"/>
        <v>0</v>
      </c>
      <c r="X16" s="29">
        <f t="shared" si="5"/>
        <v>0</v>
      </c>
      <c r="Y16" s="29">
        <f t="shared" si="5"/>
        <v>0</v>
      </c>
      <c r="Z16" s="29">
        <f t="shared" si="5"/>
        <v>0</v>
      </c>
      <c r="AA16" s="29">
        <f t="shared" si="5"/>
        <v>0</v>
      </c>
      <c r="AB16" s="29">
        <f t="shared" si="5"/>
        <v>0</v>
      </c>
      <c r="AC16" s="30">
        <f t="shared" si="5"/>
        <v>0</v>
      </c>
      <c r="AD16" s="28">
        <f>+COUNTIFS(манзилли!$D:$D,'свод (сектор)'!$B16,манзилли!$AB:$AB,"&gt;31.12.2020",манзилли!$AA:$AA,"&gt;31.12.2020",манзилли!$AA:$AA,"&lt;01.01.2022")</f>
        <v>0</v>
      </c>
      <c r="AE16" s="29">
        <f>(+SUMIFS(манзилли!$L:$L,манзилли!$D:$D,'свод (сектор)'!$B16,манзилли!$AB:$AB,"&gt;31.12.2020",манзилли!$AA:$AA,"&gt;31.12.2020",манзилли!$AA:$AA,"&lt;01.01.2022"))</f>
        <v>0</v>
      </c>
      <c r="AF16" s="29">
        <f>(+SUMIFS(манзилли!$N:$N,манзилли!$D:$D,'свод (сектор)'!$B16,манзилли!$AB:$AB,"&gt;31.12.2020",манзилли!$AA:$AA,"&gt;31.12.2020",манзилли!$AA:$AA,"&lt;01.01.2022"))</f>
        <v>0</v>
      </c>
      <c r="AG16" s="29">
        <f>(+SUMIFS(манзилли!$R:$R,манзилли!$D:$D,'свод (сектор)'!$B16,манзилли!$AB:$AB,"&gt;31.12.2020",манзилли!$AA:$AA,"&gt;31.12.2020",манзилли!$AA:$AA,"&lt;01.01.2022"))</f>
        <v>0</v>
      </c>
      <c r="AH16" s="29">
        <f>(+SUMIFS(манзилли!$T:$T,манзилли!$D:$D,'свод (сектор)'!$B16,манзилли!$AB:$AB,"&gt;31.12.2020",манзилли!$AA:$AA,"&gt;31.12.2020",манзилли!$AA:$AA,"&lt;01.01.2022"))</f>
        <v>0</v>
      </c>
      <c r="AI16" s="29">
        <f>(+SUMIFS(манзилли!$V:$V,манзилли!$D:$D,'свод (сектор)'!$B16,манзилли!$AB:$AB,"&gt;31.12.2020",манзилли!$AA:$AA,"&gt;31.12.2020",манзилли!$AA:$AA,"&lt;01.01.2022"))</f>
        <v>0</v>
      </c>
      <c r="AJ16" s="30">
        <f>+SUMIFS(манзилли!$Z:$Z,манзилли!$D:$D,'свод (сектор)'!$B16,манзилли!$AB:$AB,"&gt;31.12.2020",манзилли!$AA:$AA,"&gt;31.12.2020",манзилли!$AA:$AA,"&lt;01.01.2022")</f>
        <v>0</v>
      </c>
      <c r="AK16" s="28">
        <f>+COUNTIFS('Қўшимча ишга тушган'!$D:$D,'свод (сектор)'!B16,'Қўшимча ишга тушган'!$AO:$AO,"&lt;01.10.2023")</f>
        <v>0</v>
      </c>
      <c r="AL16" s="29">
        <f>(+SUMIFS('Қўшимча ишга тушган'!$T:$T,'Қўшимча ишга тушган'!$D:$D,'свод (сектор)'!$B16,'Қўшимча ишга тушган'!$AO:$AO,"&lt;01.10.2023"))</f>
        <v>0</v>
      </c>
      <c r="AM16" s="29">
        <f>(+SUMIFS('Қўшимча ишга тушган'!$V:$V,'Қўшимча ишга тушган'!$D:$D,'свод (сектор)'!$B16,'Қўшимча ишга тушган'!$AO:$AO,"&lt;01.10.2023"))</f>
        <v>0</v>
      </c>
      <c r="AN16" s="29">
        <f>(+SUMIFS('Қўшимча ишга тушган'!$Z:$Z,'Қўшимча ишга тушган'!$D:$D,'свод (сектор)'!$B16,'Қўшимча ишга тушган'!$AO:$AO,"&lt;01.10.2023"))</f>
        <v>0</v>
      </c>
      <c r="AO16" s="29">
        <f>(+SUMIFS('Қўшимча ишга тушган'!$AB:$AB,'Қўшимча ишга тушган'!$D:$D,'свод (сектор)'!$B16,'Қўшимча ишга тушган'!$AO:$AO,"&lt;01.10.2023"))</f>
        <v>0</v>
      </c>
      <c r="AP16" s="29">
        <f>(+SUMIFS('Қўшимча ишга тушган'!$AD:$AD,'Қўшимча ишга тушган'!$D:$D,'свод (сектор)'!$B16,'Қўшимча ишга тушган'!$AO:$AO,"&lt;01.10.2023"))</f>
        <v>0</v>
      </c>
      <c r="AQ16" s="30">
        <f>+SUMIFS('Қўшимча ишга тушган'!$AM:$AM,'Қўшимча ишга тушган'!$D:$D,'свод (сектор)'!$B16,'Қўшимча ишга тушган'!$AO:$AO,"&lt;01.10.2023")</f>
        <v>0</v>
      </c>
      <c r="AR16" s="28">
        <f>+COUNTIFS(манзилли!$D:$D,'свод (сектор)'!$B16,манзилли!$AA:$AA,"&lt;01.02.2021",манзилли!$AB:$AB,"")</f>
        <v>0</v>
      </c>
      <c r="AS16" s="29">
        <f>(+SUMIFS(манзилли!$K:$K,манзилли!$D:$D,'свод (сектор)'!$B16,манзилли!$AA:$AA,"&lt;01.02.2021",манзилли!$AB:$AB,""))</f>
        <v>0</v>
      </c>
      <c r="AT16" s="29">
        <f>(+SUMIFS(манзилли!$M:$M,манзилли!$D:$D,'свод (сектор)'!$B16,манзилли!$AA:$AA,"&lt;01.02.2021",манзилли!$AB:$AB,""))</f>
        <v>0</v>
      </c>
      <c r="AU16" s="29">
        <f>(+SUMIFS(манзилли!$Q:$Q,манзилли!$D:$D,'свод (сектор)'!$B16,манзилли!$AA:$AA,"&lt;01.02.2021",манзилли!$AB:$AB,""))</f>
        <v>0</v>
      </c>
      <c r="AV16" s="29">
        <f>(+SUMIFS(манзилли!$S:$S,манзилли!$D:$D,'свод (сектор)'!$B16,манзилли!$AA:$AA,"&lt;01.02.2021",манзилли!$AB:$AB,""))</f>
        <v>0</v>
      </c>
      <c r="AW16" s="29">
        <f>(+SUMIFS(манзилли!$U:$U,манзилли!$D:$D,'свод (сектор)'!$B16,манзилли!$AA:$AA,"&lt;01.02.2021",манзилли!$AB:$AB,""))</f>
        <v>0</v>
      </c>
      <c r="AX16" s="30">
        <f>+SUMIFS(манзилли!$Y:$Y,манзилли!$D:$D,'свод (сектор)'!$B16,манзилли!$AA:$AA,"&lt;01.02.2021",манзилли!$AB:$AB,"")</f>
        <v>0</v>
      </c>
      <c r="AY16" s="28">
        <f>+COUNTIFS(манзилли!$D:$D,'свод (сектор)'!$B16,манзилли!$AA:$AA,"&lt;01.01.2022",манзилли!$AB:$AB,"")</f>
        <v>24</v>
      </c>
      <c r="AZ16" s="29">
        <f>(+SUMIFS(манзилли!$K:$K,манзилли!$D:$D,'свод (сектор)'!$B16,манзилли!$AA:$AA,"&lt;01.01.2022",манзилли!$AB:$AB,""))</f>
        <v>483484</v>
      </c>
      <c r="BA16" s="29">
        <f>(+SUMIFS(манзилли!$M:$M,манзилли!$D:$D,'свод (сектор)'!$B16,манзилли!$AA:$AA,"&lt;01.01.2022",манзилли!$AB:$AB,""))</f>
        <v>255784</v>
      </c>
      <c r="BB16" s="29">
        <f>(+SUMIFS(манзилли!$Q:$Q,манзилли!$D:$D,'свод (сектор)'!$B16,манзилли!$AA:$AA,"&lt;01.01.2022",манзилли!$AB:$AB,""))</f>
        <v>135000</v>
      </c>
      <c r="BC16" s="29">
        <f>(+SUMIFS(манзилли!$S:$S,манзилли!$D:$D,'свод (сектор)'!$B16,манзилли!$AA:$AA,"&lt;01.01.2022",манзилли!$AB:$AB,""))</f>
        <v>7500</v>
      </c>
      <c r="BD16" s="29">
        <f>(+SUMIFS(манзилли!$U:$U,манзилли!$D:$D,'свод (сектор)'!$B16,манзилли!$AA:$AA,"&lt;01.01.2022",манзилли!$AB:$AB,""))</f>
        <v>1500</v>
      </c>
      <c r="BE16" s="30">
        <f>+SUMIFS(манзилли!$Y:$Y,манзилли!$D:$D,'свод (сектор)'!$B16,манзилли!$AA:$AA,"&lt;01.01.2022",манзилли!$AB:$AB,"")</f>
        <v>922</v>
      </c>
      <c r="BF16" s="28">
        <f>+COUNTIFS(манзилли!$D:$D,'свод (сектор)'!$B16,манзилли!$AA:$AA,"&lt;01.01.2023",манзилли!$AA:$AA,"&gt;=01.01.2022")</f>
        <v>5</v>
      </c>
      <c r="BG16" s="29">
        <f>(+SUMIFS(манзилли!$K:$K,манзилли!$D:$D,'свод (сектор)'!$B16,манзилли!$AA:$AA,"&lt;01.01.2023",манзилли!$AA:$AA,"&gt;=01.01.2022"))</f>
        <v>181110</v>
      </c>
      <c r="BH16" s="29">
        <f>(+SUMIFS(манзилли!$M:$M,манзилли!$D:$D,'свод (сектор)'!$B16,манзилли!$AA:$AA,"&lt;01.01.2023",манзилли!$AA:$AA,"&gt;=01.01.2022"))</f>
        <v>59090</v>
      </c>
      <c r="BI16" s="29">
        <f>(+SUMIFS(манзилли!$Q:$Q,манзилли!$D:$D,'свод (сектор)'!$B16,манзилли!$AA:$AA,"&lt;01.01.2023",манзилли!$AA:$AA,"&gt;=01.01.2022"))</f>
        <v>9750</v>
      </c>
      <c r="BJ16" s="29">
        <f>(+SUMIFS(манзилли!$S:$S,манзилли!$D:$D,'свод (сектор)'!$B16,манзилли!$AA:$AA,"&lt;01.01.2023",манзилли!$AA:$AA,"&gt;=01.01.2022"))</f>
        <v>9400</v>
      </c>
      <c r="BK16" s="29">
        <f>(+SUMIFS(манзилли!$U:$U,манзилли!$D:$D,'свод (сектор)'!$B16,манзилли!$AA:$AA,"&lt;01.01.2023",манзилли!$AA:$AA,"&gt;=01.01.2022"))</f>
        <v>1500</v>
      </c>
      <c r="BL16" s="30">
        <f>+SUMIFS(манзилли!$Y:$Y,манзилли!$D:$D,'свод (сектор)'!$B16,манзилли!$AA:$AA,"&lt;01.01.2023",манзилли!$AA:$AA,"&gt;=01.01.2022")</f>
        <v>261</v>
      </c>
    </row>
    <row r="17" spans="1:64" s="3" customFormat="1" ht="35.25" customHeight="1">
      <c r="A17" s="12">
        <f t="shared" si="6"/>
        <v>8</v>
      </c>
      <c r="B17" s="13" t="s">
        <v>281</v>
      </c>
      <c r="C17" s="28">
        <f>+COUNTIFS(манзилли!$D:$D,'свод (сектор)'!$B17)</f>
        <v>46</v>
      </c>
      <c r="D17" s="29">
        <f>(+SUMIFS(манзилли!$K:$K,манзилли!$D:$D,'свод (сектор)'!$B17))</f>
        <v>787695.2</v>
      </c>
      <c r="E17" s="29">
        <f>(+SUMIFS(манзилли!$M:$M,манзилли!$D:$D,'свод (сектор)'!$B17))</f>
        <v>313292.3</v>
      </c>
      <c r="F17" s="29">
        <f>(+SUMIFS(манзилли!$Q:$Q,манзилли!$D:$D,'свод (сектор)'!$B17))</f>
        <v>36323.300000000003</v>
      </c>
      <c r="G17" s="29">
        <f>(+SUMIFS(манзилли!$S:$S,манзилли!$D:$D,'свод (сектор)'!$B17))</f>
        <v>17532</v>
      </c>
      <c r="H17" s="29">
        <f>(+SUMIFS(манзилли!$U:$U,манзилли!$D:$D,'свод (сектор)'!$B17))</f>
        <v>25000</v>
      </c>
      <c r="I17" s="30">
        <f>+SUMIFS(манзилли!$Y:$Y,манзилли!$D:$D,'свод (сектор)'!$B17)</f>
        <v>1314</v>
      </c>
      <c r="J17" s="28">
        <f>+(COUNTIFS(манзилли!$L:$L,"&gt;0",манзилли!$D:$D,'свод (сектор)'!$B17)+COUNTIFS('Қўшимча ишга тушган'!$T:$T,"&gt;0",'Қўшимча ишга тушган'!$D:$D,'свод (сектор)'!$B17))</f>
        <v>38</v>
      </c>
      <c r="K17" s="29">
        <f>(+SUMIFS(манзилли!$L:$L,манзилли!$D:$D,'свод (сектор)'!$B17)+SUMIFS('Қўшимча ишга тушган'!$T:$T,'Қўшимча ишга тушган'!$D:$D,'свод (сектор)'!$B17))</f>
        <v>122984.5</v>
      </c>
      <c r="L17" s="29">
        <f>+(SUMIFS(манзилли!$N:$N,манзилли!$D:$D,'свод (сектор)'!$B17)+SUMIFS('Қўшимча ишга тушган'!$V:$V,'Қўшимча ишга тушган'!$D:$D,'свод (сектор)'!$B17))</f>
        <v>12547.8</v>
      </c>
      <c r="M17" s="29">
        <f>(+SUMIFS(манзилли!$R:$R,манзилли!$D:$D,'свод (сектор)'!$B17)+SUMIFS('Қўшимча ишга тушган'!$Z:$Z,'Қўшимча ишга тушган'!$D:$D,'свод (сектор)'!$B17))</f>
        <v>23563.3</v>
      </c>
      <c r="N17" s="29">
        <f>(+SUMIFS(манзилли!$T:$T,манзилли!$D:$D,'свод (сектор)'!$B17)+SUMIFS('Қўшимча ишга тушган'!$AB:$AB,'Қўшимча ишга тушган'!$D:$D,'свод (сектор)'!$B17))</f>
        <v>8517</v>
      </c>
      <c r="O17" s="30">
        <f>(+SUMIFS(манзилли!$V:$V,манзилли!$D:$D,'свод (сектор)'!$B17)+SUMIFS('Қўшимча ишга тушган'!$AD:$AD,'Қўшимча ишга тушган'!$D:$D,'свод (сектор)'!$B17))</f>
        <v>0</v>
      </c>
      <c r="P17" s="31">
        <f>+COUNTIFS(манзилли!$D:$D,'свод (сектор)'!$B17,манзилли!$AA:$AA,"&gt;31.12.2020",манзилли!$AA:$AA,"&lt;01.01.2022")</f>
        <v>17</v>
      </c>
      <c r="Q17" s="29">
        <f>(+SUMIFS(манзилли!$K:$K,манзилли!$D:$D,'свод (сектор)'!$B17,манзилли!$AA:$AA,"&gt;31.12.2020",манзилли!$AA:$AA,"&lt;01.01.2022"))</f>
        <v>764608.2</v>
      </c>
      <c r="R17" s="29">
        <f>(+SUMIFS(манзилли!$M:$M,манзилли!$D:$D,'свод (сектор)'!$B17,манзилли!$AA:$AA,"&gt;31.12.2020",манзилли!$AA:$AA,"&lt;01.01.2022"))</f>
        <v>306532.3</v>
      </c>
      <c r="S17" s="29">
        <f>(+SUMIFS(манзилли!$Q:$Q,манзилли!$D:$D,'свод (сектор)'!$B17,манзилли!$AA:$AA,"&gt;31.12.2020",манзилли!$AA:$AA,"&lt;01.01.2022"))</f>
        <v>21953.3</v>
      </c>
      <c r="T17" s="29">
        <f>(+SUMIFS(манзилли!$S:$S,манзилли!$D:$D,'свод (сектор)'!$B17,манзилли!$AA:$AA,"&gt;31.12.2020",манзилли!$AA:$AA,"&lt;01.01.2022"))</f>
        <v>17342</v>
      </c>
      <c r="U17" s="29">
        <f>(+SUMIFS(манзилли!$U:$U,манзилли!$D:$D,'свод (сектор)'!$B17,манзилли!$AA:$AA,"&gt;31.12.2020",манзилли!$AA:$AA,"&lt;01.01.2022"))</f>
        <v>25000</v>
      </c>
      <c r="V17" s="30">
        <f>+SUMIFS(манзилли!$Y:$Y,манзилли!$D:$D,'свод (сектор)'!$B17,манзилли!$AA:$AA,"&gt;31.12.2020",манзилли!$AA:$AA,"&lt;01.01.2022")</f>
        <v>1171</v>
      </c>
      <c r="W17" s="28">
        <f t="shared" ref="W17:W24" si="129">+AD17+AK17</f>
        <v>1</v>
      </c>
      <c r="X17" s="29">
        <f t="shared" ref="X17:X24" si="130">+AE17+AL17</f>
        <v>4500</v>
      </c>
      <c r="Y17" s="29">
        <f t="shared" ref="Y17:Y24" si="131">+AF17+AM17</f>
        <v>1500</v>
      </c>
      <c r="Z17" s="29">
        <f t="shared" ref="Z17:Z24" si="132">+AG17+AN17</f>
        <v>3000</v>
      </c>
      <c r="AA17" s="29">
        <f t="shared" ref="AA17:AA24" si="133">+AH17+AO17</f>
        <v>0</v>
      </c>
      <c r="AB17" s="29">
        <f t="shared" ref="AB17:AB24" si="134">+AI17+AP17</f>
        <v>0</v>
      </c>
      <c r="AC17" s="30">
        <f t="shared" ref="AC17:AC24" si="135">+AJ17+AQ17</f>
        <v>10</v>
      </c>
      <c r="AD17" s="28">
        <f>+COUNTIFS(манзилли!$D:$D,'свод (сектор)'!$B17,манзилли!$AB:$AB,"&gt;31.12.2020",манзилли!$AA:$AA,"&gt;31.12.2020",манзилли!$AA:$AA,"&lt;01.01.2022")</f>
        <v>1</v>
      </c>
      <c r="AE17" s="29">
        <f>(+SUMIFS(манзилли!$L:$L,манзилли!$D:$D,'свод (сектор)'!$B17,манзилли!$AB:$AB,"&gt;31.12.2020",манзилли!$AA:$AA,"&gt;31.12.2020",манзилли!$AA:$AA,"&lt;01.01.2022"))</f>
        <v>4500</v>
      </c>
      <c r="AF17" s="29">
        <f>(+SUMIFS(манзилли!$N:$N,манзилли!$D:$D,'свод (сектор)'!$B17,манзилли!$AB:$AB,"&gt;31.12.2020",манзилли!$AA:$AA,"&gt;31.12.2020",манзилли!$AA:$AA,"&lt;01.01.2022"))</f>
        <v>1500</v>
      </c>
      <c r="AG17" s="29">
        <f>(+SUMIFS(манзилли!$R:$R,манзилли!$D:$D,'свод (сектор)'!$B17,манзилли!$AB:$AB,"&gt;31.12.2020",манзилли!$AA:$AA,"&gt;31.12.2020",манзилли!$AA:$AA,"&lt;01.01.2022"))</f>
        <v>3000</v>
      </c>
      <c r="AH17" s="29">
        <f>(+SUMIFS(манзилли!$T:$T,манзилли!$D:$D,'свод (сектор)'!$B17,манзилли!$AB:$AB,"&gt;31.12.2020",манзилли!$AA:$AA,"&gt;31.12.2020",манзилли!$AA:$AA,"&lt;01.01.2022"))</f>
        <v>0</v>
      </c>
      <c r="AI17" s="29">
        <f>(+SUMIFS(манзилли!$V:$V,манзилли!$D:$D,'свод (сектор)'!$B17,манзилли!$AB:$AB,"&gt;31.12.2020",манзилли!$AA:$AA,"&gt;31.12.2020",манзилли!$AA:$AA,"&lt;01.01.2022"))</f>
        <v>0</v>
      </c>
      <c r="AJ17" s="30">
        <f>+SUMIFS(манзилли!$Z:$Z,манзилли!$D:$D,'свод (сектор)'!$B17,манзилли!$AB:$AB,"&gt;31.12.2020",манзилли!$AA:$AA,"&gt;31.12.2020",манзилли!$AA:$AA,"&lt;01.01.2022")</f>
        <v>10</v>
      </c>
      <c r="AK17" s="28">
        <f>+COUNTIFS('Қўшимча ишга тушган'!$D:$D,'свод (сектор)'!B17,'Қўшимча ишга тушган'!$AO:$AO,"&lt;01.10.2023")</f>
        <v>0</v>
      </c>
      <c r="AL17" s="29">
        <f>(+SUMIFS('Қўшимча ишга тушган'!$T:$T,'Қўшимча ишга тушган'!$D:$D,'свод (сектор)'!$B17,'Қўшимча ишга тушган'!$AO:$AO,"&lt;01.10.2023"))</f>
        <v>0</v>
      </c>
      <c r="AM17" s="29">
        <f>(+SUMIFS('Қўшимча ишга тушган'!$V:$V,'Қўшимча ишга тушган'!$D:$D,'свод (сектор)'!$B17,'Қўшимча ишга тушган'!$AO:$AO,"&lt;01.10.2023"))</f>
        <v>0</v>
      </c>
      <c r="AN17" s="29">
        <f>(+SUMIFS('Қўшимча ишга тушган'!$Z:$Z,'Қўшимча ишга тушган'!$D:$D,'свод (сектор)'!$B17,'Қўшимча ишга тушган'!$AO:$AO,"&lt;01.10.2023"))</f>
        <v>0</v>
      </c>
      <c r="AO17" s="29">
        <f>(+SUMIFS('Қўшимча ишга тушган'!$AB:$AB,'Қўшимча ишга тушган'!$D:$D,'свод (сектор)'!$B17,'Қўшимча ишга тушган'!$AO:$AO,"&lt;01.10.2023"))</f>
        <v>0</v>
      </c>
      <c r="AP17" s="29">
        <f>(+SUMIFS('Қўшимча ишга тушган'!$AD:$AD,'Қўшимча ишга тушган'!$D:$D,'свод (сектор)'!$B17,'Қўшимча ишга тушган'!$AO:$AO,"&lt;01.10.2023"))</f>
        <v>0</v>
      </c>
      <c r="AQ17" s="30">
        <f>+SUMIFS('Қўшимча ишга тушган'!$AM:$AM,'Қўшимча ишга тушган'!$D:$D,'свод (сектор)'!$B17,'Қўшимча ишга тушган'!$AO:$AO,"&lt;01.10.2023")</f>
        <v>0</v>
      </c>
      <c r="AR17" s="28">
        <f>+COUNTIFS(манзилли!$D:$D,'свод (сектор)'!$B17,манзилли!$AA:$AA,"&lt;01.02.2021",манзилли!$AB:$AB,"")</f>
        <v>0</v>
      </c>
      <c r="AS17" s="29">
        <f>(+SUMIFS(манзилли!$K:$K,манзилли!$D:$D,'свод (сектор)'!$B17,манзилли!$AA:$AA,"&lt;01.02.2021",манзилли!$AB:$AB,""))</f>
        <v>0</v>
      </c>
      <c r="AT17" s="29">
        <f>(+SUMIFS(манзилли!$M:$M,манзилли!$D:$D,'свод (сектор)'!$B17,манзилли!$AA:$AA,"&lt;01.02.2021",манзилли!$AB:$AB,""))</f>
        <v>0</v>
      </c>
      <c r="AU17" s="29">
        <f>(+SUMIFS(манзилли!$Q:$Q,манзилли!$D:$D,'свод (сектор)'!$B17,манзилли!$AA:$AA,"&lt;01.02.2021",манзилли!$AB:$AB,""))</f>
        <v>0</v>
      </c>
      <c r="AV17" s="29">
        <f>(+SUMIFS(манзилли!$S:$S,манзилли!$D:$D,'свод (сектор)'!$B17,манзилли!$AA:$AA,"&lt;01.02.2021",манзилли!$AB:$AB,""))</f>
        <v>0</v>
      </c>
      <c r="AW17" s="29">
        <f>(+SUMIFS(манзилли!$U:$U,манзилли!$D:$D,'свод (сектор)'!$B17,манзилли!$AA:$AA,"&lt;01.02.2021",манзилли!$AB:$AB,""))</f>
        <v>0</v>
      </c>
      <c r="AX17" s="30">
        <f>+SUMIFS(манзилли!$Y:$Y,манзилли!$D:$D,'свод (сектор)'!$B17,манзилли!$AA:$AA,"&lt;01.02.2021",манзилли!$AB:$AB,"")</f>
        <v>0</v>
      </c>
      <c r="AY17" s="28">
        <f>+COUNTIFS(манзилли!$D:$D,'свод (сектор)'!$B17,манзилли!$AA:$AA,"&lt;01.01.2022",манзилли!$AB:$AB,"")</f>
        <v>14</v>
      </c>
      <c r="AZ17" s="29">
        <f>(+SUMIFS(манзилли!$K:$K,манзилли!$D:$D,'свод (сектор)'!$B17,манзилли!$AA:$AA,"&lt;01.01.2022",манзилли!$AB:$AB,""))</f>
        <v>753027.1</v>
      </c>
      <c r="BA17" s="29">
        <f>(+SUMIFS(манзилли!$M:$M,манзилли!$D:$D,'свод (сектор)'!$B17,манзилли!$AA:$AA,"&lt;01.01.2022",манзилли!$AB:$AB,""))</f>
        <v>302684.5</v>
      </c>
      <c r="BB17" s="29">
        <f>(+SUMIFS(манзилли!$Q:$Q,манзилли!$D:$D,'свод (сектор)'!$B17,манзилли!$AA:$AA,"&lt;01.01.2022",манзилли!$AB:$AB,""))</f>
        <v>14220</v>
      </c>
      <c r="BC17" s="29">
        <f>(+SUMIFS(манзилли!$S:$S,манзилли!$D:$D,'свод (сектор)'!$B17,манзилли!$AA:$AA,"&lt;01.01.2022",манзилли!$AB:$AB,""))</f>
        <v>17342</v>
      </c>
      <c r="BD17" s="29">
        <f>(+SUMIFS(манзилли!$U:$U,манзилли!$D:$D,'свод (сектор)'!$B17,манзилли!$AA:$AA,"&lt;01.01.2022",манзилли!$AB:$AB,""))</f>
        <v>25000</v>
      </c>
      <c r="BE17" s="30">
        <f>+SUMIFS(манзилли!$Y:$Y,манзилли!$D:$D,'свод (сектор)'!$B17,манзилли!$AA:$AA,"&lt;01.01.2022",манзилли!$AB:$AB,"")</f>
        <v>1135</v>
      </c>
      <c r="BF17" s="28">
        <f>+COUNTIFS(манзилли!$D:$D,'свод (сектор)'!$B17,манзилли!$AA:$AA,"&lt;01.01.2023",манзилли!$AA:$AA,"&gt;=01.01.2022")</f>
        <v>0</v>
      </c>
      <c r="BG17" s="29">
        <f>(+SUMIFS(манзилли!$K:$K,манзилли!$D:$D,'свод (сектор)'!$B17,манзилли!$AA:$AA,"&lt;01.01.2023",манзилли!$AA:$AA,"&gt;=01.01.2022"))</f>
        <v>0</v>
      </c>
      <c r="BH17" s="29">
        <f>(+SUMIFS(манзилли!$M:$M,манзилли!$D:$D,'свод (сектор)'!$B17,манзилли!$AA:$AA,"&lt;01.01.2023",манзилли!$AA:$AA,"&gt;=01.01.2022"))</f>
        <v>0</v>
      </c>
      <c r="BI17" s="29">
        <f>(+SUMIFS(манзилли!$Q:$Q,манзилли!$D:$D,'свод (сектор)'!$B17,манзилли!$AA:$AA,"&lt;01.01.2023",манзилли!$AA:$AA,"&gt;=01.01.2022"))</f>
        <v>0</v>
      </c>
      <c r="BJ17" s="29">
        <f>(+SUMIFS(манзилли!$S:$S,манзилли!$D:$D,'свод (сектор)'!$B17,манзилли!$AA:$AA,"&lt;01.01.2023",манзилли!$AA:$AA,"&gt;=01.01.2022"))</f>
        <v>0</v>
      </c>
      <c r="BK17" s="29">
        <f>(+SUMIFS(манзилли!$U:$U,манзилли!$D:$D,'свод (сектор)'!$B17,манзилли!$AA:$AA,"&lt;01.01.2023",манзилли!$AA:$AA,"&gt;=01.01.2022"))</f>
        <v>0</v>
      </c>
      <c r="BL17" s="30">
        <f>+SUMIFS(манзилли!$Y:$Y,манзилли!$D:$D,'свод (сектор)'!$B17,манзилли!$AA:$AA,"&lt;01.01.2023",манзилли!$AA:$AA,"&gt;=01.01.2022")</f>
        <v>0</v>
      </c>
    </row>
    <row r="18" spans="1:64" s="3" customFormat="1" ht="35.25" customHeight="1" thickBot="1">
      <c r="A18" s="12">
        <f t="shared" si="6"/>
        <v>9</v>
      </c>
      <c r="B18" s="14" t="s">
        <v>360</v>
      </c>
      <c r="C18" s="28">
        <f>+COUNTIFS(манзилли!$D:$D,'свод (сектор)'!$B18)</f>
        <v>51</v>
      </c>
      <c r="D18" s="29">
        <f>(+SUMIFS(манзилли!$K:$K,манзилли!$D:$D,'свод (сектор)'!$B18))</f>
        <v>296513.59999999998</v>
      </c>
      <c r="E18" s="29">
        <f>(+SUMIFS(манзилли!$M:$M,манзилли!$D:$D,'свод (сектор)'!$B18))</f>
        <v>130077</v>
      </c>
      <c r="F18" s="29">
        <f>(+SUMIFS(манзилли!$Q:$Q,манзилли!$D:$D,'свод (сектор)'!$B18))</f>
        <v>74540</v>
      </c>
      <c r="G18" s="29">
        <f>(+SUMIFS(манзилли!$S:$S,манзилли!$D:$D,'свод (сектор)'!$B18))</f>
        <v>5622</v>
      </c>
      <c r="H18" s="29">
        <f>(+SUMIFS(манзилли!$U:$U,манзилли!$D:$D,'свод (сектор)'!$B18))</f>
        <v>3300</v>
      </c>
      <c r="I18" s="30">
        <f>+SUMIFS(манзилли!$Y:$Y,манзилли!$D:$D,'свод (сектор)'!$B18)</f>
        <v>885</v>
      </c>
      <c r="J18" s="28">
        <f>+(COUNTIFS(манзилли!$L:$L,"&gt;0",манзилли!$D:$D,'свод (сектор)'!$B18)+COUNTIFS('Қўшимча ишга тушган'!$T:$T,"&gt;0",'Қўшимча ишга тушган'!$D:$D,'свод (сектор)'!$B18))</f>
        <v>29</v>
      </c>
      <c r="K18" s="29">
        <f>(+SUMIFS(манзилли!$L:$L,манзилли!$D:$D,'свод (сектор)'!$B18)+SUMIFS('Қўшимча ишга тушган'!$T:$T,'Қўшимча ишга тушган'!$D:$D,'свод (сектор)'!$B18))</f>
        <v>46783</v>
      </c>
      <c r="L18" s="29">
        <f>+(SUMIFS(манзилли!$N:$N,манзилли!$D:$D,'свод (сектор)'!$B18)+SUMIFS('Қўшимча ишга тушган'!$V:$V,'Қўшимча ишга тушган'!$D:$D,'свод (сектор)'!$B18))</f>
        <v>8328</v>
      </c>
      <c r="M18" s="29">
        <f>(+SUMIFS(манзилли!$R:$R,манзилли!$D:$D,'свод (сектор)'!$B18)+SUMIFS('Қўшимча ишга тушган'!$Z:$Z,'Қўшимча ишга тушган'!$D:$D,'свод (сектор)'!$B18))</f>
        <v>31213</v>
      </c>
      <c r="N18" s="29">
        <f>(+SUMIFS(манзилли!$T:$T,манзилли!$D:$D,'свод (сектор)'!$B18)+SUMIFS('Қўшимча ишга тушган'!$AB:$AB,'Қўшимча ишга тушган'!$D:$D,'свод (сектор)'!$B18))</f>
        <v>710</v>
      </c>
      <c r="O18" s="30">
        <f>(+SUMIFS(манзилли!$V:$V,манзилли!$D:$D,'свод (сектор)'!$B18)+SUMIFS('Қўшимча ишга тушган'!$AD:$AD,'Қўшимча ишга тушган'!$D:$D,'свод (сектор)'!$B18))</f>
        <v>0</v>
      </c>
      <c r="P18" s="31">
        <f>+COUNTIFS(манзилли!$D:$D,'свод (сектор)'!$B18,манзилли!$AA:$AA,"&gt;31.12.2020",манзилли!$AA:$AA,"&lt;01.01.2022")</f>
        <v>37</v>
      </c>
      <c r="Q18" s="29">
        <f>(+SUMIFS(манзилли!$K:$K,манзилли!$D:$D,'свод (сектор)'!$B18,манзилли!$AA:$AA,"&gt;31.12.2020",манзилли!$AA:$AA,"&lt;01.01.2022"))</f>
        <v>200808.6</v>
      </c>
      <c r="R18" s="29">
        <f>(+SUMIFS(манзилли!$M:$M,манзилли!$D:$D,'свод (сектор)'!$B18,манзилли!$AA:$AA,"&gt;31.12.2020",манзилли!$AA:$AA,"&lt;01.01.2022"))</f>
        <v>84437</v>
      </c>
      <c r="S18" s="29">
        <f>(+SUMIFS(манзилли!$Q:$Q,манзилли!$D:$D,'свод (сектор)'!$B18,манзилли!$AA:$AA,"&gt;31.12.2020",манзилли!$AA:$AA,"&lt;01.01.2022"))</f>
        <v>52800</v>
      </c>
      <c r="T18" s="29">
        <f>(+SUMIFS(манзилли!$S:$S,манзилли!$D:$D,'свод (сектор)'!$B18,манзилли!$AA:$AA,"&gt;31.12.2020",манзилли!$AA:$AA,"&lt;01.01.2022"))</f>
        <v>2872</v>
      </c>
      <c r="U18" s="29">
        <f>(+SUMIFS(манзилли!$U:$U,манзилли!$D:$D,'свод (сектор)'!$B18,манзилли!$AA:$AA,"&gt;31.12.2020",манзилли!$AA:$AA,"&lt;01.01.2022"))</f>
        <v>3300</v>
      </c>
      <c r="V18" s="30">
        <f>+SUMIFS(манзилли!$Y:$Y,манзилли!$D:$D,'свод (сектор)'!$B18,манзилли!$AA:$AA,"&gt;31.12.2020",манзилли!$AA:$AA,"&lt;01.01.2022")</f>
        <v>527</v>
      </c>
      <c r="W18" s="28">
        <f t="shared" si="129"/>
        <v>1</v>
      </c>
      <c r="X18" s="29">
        <f t="shared" si="130"/>
        <v>1200</v>
      </c>
      <c r="Y18" s="29">
        <f t="shared" si="131"/>
        <v>800</v>
      </c>
      <c r="Z18" s="29">
        <f t="shared" si="132"/>
        <v>400</v>
      </c>
      <c r="AA18" s="29">
        <f t="shared" si="133"/>
        <v>0</v>
      </c>
      <c r="AB18" s="29">
        <f t="shared" si="134"/>
        <v>0</v>
      </c>
      <c r="AC18" s="30">
        <f t="shared" si="135"/>
        <v>5</v>
      </c>
      <c r="AD18" s="28">
        <f>+COUNTIFS(манзилли!$D:$D,'свод (сектор)'!$B18,манзилли!$AB:$AB,"&gt;31.12.2020",манзилли!$AA:$AA,"&gt;31.12.2020",манзилли!$AA:$AA,"&lt;01.01.2022")</f>
        <v>1</v>
      </c>
      <c r="AE18" s="29">
        <f>(+SUMIFS(манзилли!$L:$L,манзилли!$D:$D,'свод (сектор)'!$B18,манзилли!$AB:$AB,"&gt;31.12.2020",манзилли!$AA:$AA,"&gt;31.12.2020",манзилли!$AA:$AA,"&lt;01.01.2022"))</f>
        <v>1200</v>
      </c>
      <c r="AF18" s="29">
        <f>(+SUMIFS(манзилли!$N:$N,манзилли!$D:$D,'свод (сектор)'!$B18,манзилли!$AB:$AB,"&gt;31.12.2020",манзилли!$AA:$AA,"&gt;31.12.2020",манзилли!$AA:$AA,"&lt;01.01.2022"))</f>
        <v>800</v>
      </c>
      <c r="AG18" s="29">
        <f>(+SUMIFS(манзилли!$R:$R,манзилли!$D:$D,'свод (сектор)'!$B18,манзилли!$AB:$AB,"&gt;31.12.2020",манзилли!$AA:$AA,"&gt;31.12.2020",манзилли!$AA:$AA,"&lt;01.01.2022"))</f>
        <v>400</v>
      </c>
      <c r="AH18" s="29">
        <f>(+SUMIFS(манзилли!$T:$T,манзилли!$D:$D,'свод (сектор)'!$B18,манзилли!$AB:$AB,"&gt;31.12.2020",манзилли!$AA:$AA,"&gt;31.12.2020",манзилли!$AA:$AA,"&lt;01.01.2022"))</f>
        <v>0</v>
      </c>
      <c r="AI18" s="29">
        <f>(+SUMIFS(манзилли!$V:$V,манзилли!$D:$D,'свод (сектор)'!$B18,манзилли!$AB:$AB,"&gt;31.12.2020",манзилли!$AA:$AA,"&gt;31.12.2020",манзилли!$AA:$AA,"&lt;01.01.2022"))</f>
        <v>0</v>
      </c>
      <c r="AJ18" s="30">
        <f>+SUMIFS(манзилли!$Z:$Z,манзилли!$D:$D,'свод (сектор)'!$B18,манзилли!$AB:$AB,"&gt;31.12.2020",манзилли!$AA:$AA,"&gt;31.12.2020",манзилли!$AA:$AA,"&lt;01.01.2022")</f>
        <v>5</v>
      </c>
      <c r="AK18" s="28">
        <f>+COUNTIFS('Қўшимча ишга тушган'!$D:$D,'свод (сектор)'!B18,'Қўшимча ишга тушган'!$AO:$AO,"&lt;01.10.2023")</f>
        <v>0</v>
      </c>
      <c r="AL18" s="29">
        <f>(+SUMIFS('Қўшимча ишга тушган'!$T:$T,'Қўшимча ишга тушган'!$D:$D,'свод (сектор)'!$B18,'Қўшимча ишга тушган'!$AO:$AO,"&lt;01.10.2023"))</f>
        <v>0</v>
      </c>
      <c r="AM18" s="29">
        <f>(+SUMIFS('Қўшимча ишга тушган'!$V:$V,'Қўшимча ишга тушган'!$D:$D,'свод (сектор)'!$B18,'Қўшимча ишга тушган'!$AO:$AO,"&lt;01.10.2023"))</f>
        <v>0</v>
      </c>
      <c r="AN18" s="29">
        <f>(+SUMIFS('Қўшимча ишга тушган'!$Z:$Z,'Қўшимча ишга тушган'!$D:$D,'свод (сектор)'!$B18,'Қўшимча ишга тушган'!$AO:$AO,"&lt;01.10.2023"))</f>
        <v>0</v>
      </c>
      <c r="AO18" s="29">
        <f>(+SUMIFS('Қўшимча ишга тушган'!$AB:$AB,'Қўшимча ишга тушган'!$D:$D,'свод (сектор)'!$B18,'Қўшимча ишга тушган'!$AO:$AO,"&lt;01.10.2023"))</f>
        <v>0</v>
      </c>
      <c r="AP18" s="29">
        <f>(+SUMIFS('Қўшимча ишга тушган'!$AD:$AD,'Қўшимча ишга тушган'!$D:$D,'свод (сектор)'!$B18,'Қўшимча ишга тушган'!$AO:$AO,"&lt;01.10.2023"))</f>
        <v>0</v>
      </c>
      <c r="AQ18" s="30">
        <f>+SUMIFS('Қўшимча ишга тушган'!$AM:$AM,'Қўшимча ишга тушган'!$D:$D,'свод (сектор)'!$B18,'Қўшимча ишга тушган'!$AO:$AO,"&lt;01.10.2023")</f>
        <v>0</v>
      </c>
      <c r="AR18" s="28">
        <f>+COUNTIFS(манзилли!$D:$D,'свод (сектор)'!$B18,манзилли!$AA:$AA,"&lt;01.02.2021",манзилли!$AB:$AB,"")</f>
        <v>0</v>
      </c>
      <c r="AS18" s="29">
        <f>(+SUMIFS(манзилли!$K:$K,манзилли!$D:$D,'свод (сектор)'!$B18,манзилли!$AA:$AA,"&lt;01.02.2021",манзилли!$AB:$AB,""))</f>
        <v>0</v>
      </c>
      <c r="AT18" s="29">
        <f>(+SUMIFS(манзилли!$M:$M,манзилли!$D:$D,'свод (сектор)'!$B18,манзилли!$AA:$AA,"&lt;01.02.2021",манзилли!$AB:$AB,""))</f>
        <v>0</v>
      </c>
      <c r="AU18" s="29">
        <f>(+SUMIFS(манзилли!$Q:$Q,манзилли!$D:$D,'свод (сектор)'!$B18,манзилли!$AA:$AA,"&lt;01.02.2021",манзилли!$AB:$AB,""))</f>
        <v>0</v>
      </c>
      <c r="AV18" s="29">
        <f>(+SUMIFS(манзилли!$S:$S,манзилли!$D:$D,'свод (сектор)'!$B18,манзилли!$AA:$AA,"&lt;01.02.2021",манзилли!$AB:$AB,""))</f>
        <v>0</v>
      </c>
      <c r="AW18" s="29">
        <f>(+SUMIFS(манзилли!$U:$U,манзилли!$D:$D,'свод (сектор)'!$B18,манзилли!$AA:$AA,"&lt;01.02.2021",манзилли!$AB:$AB,""))</f>
        <v>0</v>
      </c>
      <c r="AX18" s="30">
        <f>+SUMIFS(манзилли!$Y:$Y,манзилли!$D:$D,'свод (сектор)'!$B18,манзилли!$AA:$AA,"&lt;01.02.2021",манзилли!$AB:$AB,"")</f>
        <v>0</v>
      </c>
      <c r="AY18" s="28">
        <f>+COUNTIFS(манзилли!$D:$D,'свод (сектор)'!$B18,манзилли!$AA:$AA,"&lt;01.01.2022",манзилли!$AB:$AB,"")</f>
        <v>31</v>
      </c>
      <c r="AZ18" s="29">
        <f>(+SUMIFS(манзилли!$K:$K,манзилли!$D:$D,'свод (сектор)'!$B18,манзилли!$AA:$AA,"&lt;01.01.2022",манзилли!$AB:$AB,""))</f>
        <v>189358.6</v>
      </c>
      <c r="BA18" s="29">
        <f>(+SUMIFS(манзилли!$M:$M,манзилли!$D:$D,'свод (сектор)'!$B18,манзилли!$AA:$AA,"&lt;01.01.2022",манзилли!$AB:$AB,""))</f>
        <v>81687</v>
      </c>
      <c r="BB18" s="29">
        <f>(+SUMIFS(манзилли!$Q:$Q,манзилли!$D:$D,'свод (сектор)'!$B18,манзилли!$AA:$AA,"&lt;01.01.2022",манзилли!$AB:$AB,""))</f>
        <v>44100</v>
      </c>
      <c r="BC18" s="29">
        <f>(+SUMIFS(манзилли!$S:$S,манзилли!$D:$D,'свод (сектор)'!$B18,манзилли!$AA:$AA,"&lt;01.01.2022",манзилли!$AB:$AB,""))</f>
        <v>2872</v>
      </c>
      <c r="BD18" s="29">
        <f>(+SUMIFS(манзилли!$U:$U,манзилли!$D:$D,'свод (сектор)'!$B18,манзилли!$AA:$AA,"&lt;01.01.2022",манзилли!$AB:$AB,""))</f>
        <v>3300</v>
      </c>
      <c r="BE18" s="30">
        <f>+SUMIFS(манзилли!$Y:$Y,манзилли!$D:$D,'свод (сектор)'!$B18,манзилли!$AA:$AA,"&lt;01.01.2022",манзилли!$AB:$AB,"")</f>
        <v>474</v>
      </c>
      <c r="BF18" s="28">
        <f>+COUNTIFS(манзилли!$D:$D,'свод (сектор)'!$B18,манзилли!$AA:$AA,"&lt;01.01.2023",манзилли!$AA:$AA,"&gt;=01.01.2022")</f>
        <v>7</v>
      </c>
      <c r="BG18" s="29">
        <f>(+SUMIFS(манзилли!$K:$K,манзилли!$D:$D,'свод (сектор)'!$B18,манзилли!$AA:$AA,"&lt;01.01.2023",манзилли!$AA:$AA,"&gt;=01.01.2022"))</f>
        <v>85525</v>
      </c>
      <c r="BH18" s="29">
        <f>(+SUMIFS(манзилли!$M:$M,манзилли!$D:$D,'свод (сектор)'!$B18,манзилли!$AA:$AA,"&lt;01.01.2023",манзилли!$AA:$AA,"&gt;=01.01.2022"))</f>
        <v>40400</v>
      </c>
      <c r="BI18" s="29">
        <f>(+SUMIFS(манзилли!$Q:$Q,манзилли!$D:$D,'свод (сектор)'!$B18,манзилли!$AA:$AA,"&lt;01.01.2023",манзилли!$AA:$AA,"&gt;=01.01.2022"))</f>
        <v>16800</v>
      </c>
      <c r="BJ18" s="29">
        <f>(+SUMIFS(манзилли!$S:$S,манзилли!$D:$D,'свод (сектор)'!$B18,манзилли!$AA:$AA,"&lt;01.01.2023",манзилли!$AA:$AA,"&gt;=01.01.2022"))</f>
        <v>2750</v>
      </c>
      <c r="BK18" s="29">
        <f>(+SUMIFS(манзилли!$U:$U,манзилли!$D:$D,'свод (сектор)'!$B18,манзилли!$AA:$AA,"&lt;01.01.2023",манзилли!$AA:$AA,"&gt;=01.01.2022"))</f>
        <v>0</v>
      </c>
      <c r="BL18" s="30">
        <f>+SUMIFS(манзилли!$Y:$Y,манзилли!$D:$D,'свод (сектор)'!$B18,манзилли!$AA:$AA,"&lt;01.01.2023",манзилли!$AA:$AA,"&gt;=01.01.2022")</f>
        <v>319</v>
      </c>
    </row>
    <row r="19" spans="1:64" s="3" customFormat="1" ht="35.25" customHeight="1" thickBot="1">
      <c r="A19" s="148" t="s">
        <v>1774</v>
      </c>
      <c r="B19" s="149"/>
      <c r="C19" s="41">
        <f>+SUM(C20:C21)</f>
        <v>127</v>
      </c>
      <c r="D19" s="41">
        <f t="shared" ref="D19:BI19" si="136">+SUM(D20:D21)</f>
        <v>547154.9</v>
      </c>
      <c r="E19" s="41">
        <f t="shared" si="136"/>
        <v>261320</v>
      </c>
      <c r="F19" s="41">
        <f t="shared" si="136"/>
        <v>149535</v>
      </c>
      <c r="G19" s="41">
        <f t="shared" si="136"/>
        <v>10233</v>
      </c>
      <c r="H19" s="41">
        <f t="shared" si="136"/>
        <v>3000</v>
      </c>
      <c r="I19" s="41">
        <f t="shared" si="136"/>
        <v>1190</v>
      </c>
      <c r="J19" s="41">
        <f t="shared" si="136"/>
        <v>71</v>
      </c>
      <c r="K19" s="41">
        <f t="shared" si="136"/>
        <v>103555.44</v>
      </c>
      <c r="L19" s="41">
        <f t="shared" si="136"/>
        <v>13290</v>
      </c>
      <c r="M19" s="41">
        <f t="shared" si="136"/>
        <v>63523</v>
      </c>
      <c r="N19" s="41">
        <f t="shared" si="136"/>
        <v>2620.1999999999998</v>
      </c>
      <c r="O19" s="41">
        <f t="shared" si="136"/>
        <v>0</v>
      </c>
      <c r="P19" s="41">
        <f t="shared" si="136"/>
        <v>88</v>
      </c>
      <c r="Q19" s="41">
        <f t="shared" si="136"/>
        <v>371374.9</v>
      </c>
      <c r="R19" s="41">
        <f t="shared" si="136"/>
        <v>199990</v>
      </c>
      <c r="S19" s="41">
        <f t="shared" si="136"/>
        <v>101005</v>
      </c>
      <c r="T19" s="41">
        <f t="shared" si="136"/>
        <v>3833</v>
      </c>
      <c r="U19" s="41">
        <f t="shared" si="136"/>
        <v>3000</v>
      </c>
      <c r="V19" s="41">
        <f t="shared" si="136"/>
        <v>862</v>
      </c>
      <c r="W19" s="41">
        <f t="shared" si="136"/>
        <v>1</v>
      </c>
      <c r="X19" s="41">
        <f t="shared" si="136"/>
        <v>4000</v>
      </c>
      <c r="Y19" s="41">
        <f t="shared" si="136"/>
        <v>3300</v>
      </c>
      <c r="Z19" s="41">
        <f t="shared" si="136"/>
        <v>700</v>
      </c>
      <c r="AA19" s="41">
        <f t="shared" si="136"/>
        <v>0</v>
      </c>
      <c r="AB19" s="41">
        <f t="shared" si="136"/>
        <v>0</v>
      </c>
      <c r="AC19" s="41">
        <f t="shared" si="136"/>
        <v>4</v>
      </c>
      <c r="AD19" s="41">
        <f t="shared" si="136"/>
        <v>1</v>
      </c>
      <c r="AE19" s="41">
        <f t="shared" si="136"/>
        <v>4000</v>
      </c>
      <c r="AF19" s="41">
        <f t="shared" si="136"/>
        <v>3300</v>
      </c>
      <c r="AG19" s="41">
        <f t="shared" si="136"/>
        <v>700</v>
      </c>
      <c r="AH19" s="41">
        <f t="shared" si="136"/>
        <v>0</v>
      </c>
      <c r="AI19" s="41">
        <f t="shared" si="136"/>
        <v>0</v>
      </c>
      <c r="AJ19" s="41">
        <f t="shared" si="136"/>
        <v>4</v>
      </c>
      <c r="AK19" s="41">
        <f t="shared" si="136"/>
        <v>0</v>
      </c>
      <c r="AL19" s="41">
        <f t="shared" si="136"/>
        <v>0</v>
      </c>
      <c r="AM19" s="41">
        <f t="shared" si="136"/>
        <v>0</v>
      </c>
      <c r="AN19" s="41">
        <f t="shared" si="136"/>
        <v>0</v>
      </c>
      <c r="AO19" s="41">
        <f t="shared" si="136"/>
        <v>0</v>
      </c>
      <c r="AP19" s="41">
        <f t="shared" si="136"/>
        <v>0</v>
      </c>
      <c r="AQ19" s="41">
        <f t="shared" si="136"/>
        <v>0</v>
      </c>
      <c r="AR19" s="41">
        <f t="shared" si="136"/>
        <v>0</v>
      </c>
      <c r="AS19" s="41">
        <f t="shared" si="136"/>
        <v>0</v>
      </c>
      <c r="AT19" s="41">
        <f t="shared" si="136"/>
        <v>0</v>
      </c>
      <c r="AU19" s="41">
        <f t="shared" si="136"/>
        <v>0</v>
      </c>
      <c r="AV19" s="41">
        <f t="shared" si="136"/>
        <v>0</v>
      </c>
      <c r="AW19" s="41">
        <f t="shared" si="136"/>
        <v>0</v>
      </c>
      <c r="AX19" s="41">
        <f t="shared" si="136"/>
        <v>0</v>
      </c>
      <c r="AY19" s="41">
        <f t="shared" si="136"/>
        <v>79</v>
      </c>
      <c r="AZ19" s="41">
        <f t="shared" si="136"/>
        <v>357674.9</v>
      </c>
      <c r="BA19" s="41">
        <f t="shared" si="136"/>
        <v>194890</v>
      </c>
      <c r="BB19" s="41">
        <f t="shared" si="136"/>
        <v>92405</v>
      </c>
      <c r="BC19" s="41">
        <f t="shared" si="136"/>
        <v>3833</v>
      </c>
      <c r="BD19" s="41">
        <f t="shared" si="136"/>
        <v>3000</v>
      </c>
      <c r="BE19" s="41">
        <f t="shared" si="136"/>
        <v>824</v>
      </c>
      <c r="BF19" s="41">
        <f t="shared" si="136"/>
        <v>18</v>
      </c>
      <c r="BG19" s="41">
        <f t="shared" si="136"/>
        <v>152430</v>
      </c>
      <c r="BH19" s="41">
        <f t="shared" si="136"/>
        <v>53960</v>
      </c>
      <c r="BI19" s="41">
        <f t="shared" si="136"/>
        <v>32550</v>
      </c>
      <c r="BJ19" s="41">
        <f t="shared" ref="BJ19:BL19" si="137">+SUM(BJ20:BJ21)</f>
        <v>6400</v>
      </c>
      <c r="BK19" s="41">
        <f t="shared" si="137"/>
        <v>0</v>
      </c>
      <c r="BL19" s="41">
        <f t="shared" si="137"/>
        <v>236</v>
      </c>
    </row>
    <row r="20" spans="1:64" s="3" customFormat="1" ht="35.25" customHeight="1">
      <c r="A20" s="12">
        <f>+A18+1</f>
        <v>10</v>
      </c>
      <c r="B20" s="11" t="s">
        <v>286</v>
      </c>
      <c r="C20" s="28">
        <f>+COUNTIFS(манзилли!$D:$D,'свод (сектор)'!$B20)</f>
        <v>91</v>
      </c>
      <c r="D20" s="29">
        <f>(+SUMIFS(манзилли!$K:$K,манзилли!$D:$D,'свод (сектор)'!$B20))</f>
        <v>299126</v>
      </c>
      <c r="E20" s="29">
        <f>(+SUMIFS(манзилли!$M:$M,манзилли!$D:$D,'свод (сектор)'!$B20))</f>
        <v>113890</v>
      </c>
      <c r="F20" s="29">
        <f>(+SUMIFS(манзилли!$Q:$Q,манзилли!$D:$D,'свод (сектор)'!$B20))</f>
        <v>82030</v>
      </c>
      <c r="G20" s="29">
        <f>(+SUMIFS(манзилли!$S:$S,манзилли!$D:$D,'свод (сектор)'!$B20))</f>
        <v>10020</v>
      </c>
      <c r="H20" s="29">
        <f>(+SUMIFS(манзилли!$U:$U,манзилли!$D:$D,'свод (сектор)'!$B20))</f>
        <v>0</v>
      </c>
      <c r="I20" s="30">
        <f>+SUMIFS(манзилли!$Y:$Y,манзилли!$D:$D,'свод (сектор)'!$B20)</f>
        <v>765</v>
      </c>
      <c r="J20" s="28">
        <f>+(COUNTIFS(манзилли!$L:$L,"&gt;0",манзилли!$D:$D,'свод (сектор)'!$B20)+COUNTIFS('Қўшимча ишга тушган'!$T:$T,"&gt;0",'Қўшимча ишга тушган'!$D:$D,'свод (сектор)'!$B20))</f>
        <v>45</v>
      </c>
      <c r="K20" s="29">
        <f>(+SUMIFS(манзилли!$L:$L,манзилли!$D:$D,'свод (сектор)'!$B20)+SUMIFS('Қўшимча ишга тушган'!$T:$T,'Қўшимча ишга тушган'!$D:$D,'свод (сектор)'!$B20))</f>
        <v>51819.7</v>
      </c>
      <c r="L20" s="29">
        <f>+(SUMIFS(манзилли!$N:$N,манзилли!$D:$D,'свод (сектор)'!$B20)+SUMIFS('Қўшимча ишга тушган'!$V:$V,'Қўшимча ишга тушган'!$D:$D,'свод (сектор)'!$B20))</f>
        <v>7390</v>
      </c>
      <c r="M20" s="29">
        <f>(+SUMIFS(манзилли!$R:$R,манзилли!$D:$D,'свод (сектор)'!$B20)+SUMIFS('Қўшимча ишга тушган'!$Z:$Z,'Қўшимча ишга тушган'!$D:$D,'свод (сектор)'!$B20))</f>
        <v>18286</v>
      </c>
      <c r="N20" s="29">
        <f>(+SUMIFS(манзилли!$T:$T,манзилли!$D:$D,'свод (сектор)'!$B20)+SUMIFS('Қўшимча ишга тушган'!$AB:$AB,'Қўшимча ишга тушган'!$D:$D,'свод (сектор)'!$B20))</f>
        <v>2561.5</v>
      </c>
      <c r="O20" s="30">
        <f>(+SUMIFS(манзилли!$V:$V,манзилли!$D:$D,'свод (сектор)'!$B20)+SUMIFS('Қўшимча ишга тушган'!$AD:$AD,'Қўшимча ишга тушган'!$D:$D,'свод (сектор)'!$B20))</f>
        <v>0</v>
      </c>
      <c r="P20" s="31">
        <f>+COUNTIFS(манзилли!$D:$D,'свод (сектор)'!$B20,манзилли!$AA:$AA,"&gt;31.12.2020",манзилли!$AA:$AA,"&lt;01.01.2022")</f>
        <v>59</v>
      </c>
      <c r="Q20" s="29">
        <f>(+SUMIFS(манзилли!$K:$K,манзилли!$D:$D,'свод (сектор)'!$B20,манзилли!$AA:$AA,"&gt;31.12.2020",манзилли!$AA:$AA,"&lt;01.01.2022"))</f>
        <v>136861</v>
      </c>
      <c r="R20" s="29">
        <f>(+SUMIFS(манзилли!$M:$M,манзилли!$D:$D,'свод (сектор)'!$B20,манзилли!$AA:$AA,"&gt;31.12.2020",манзилли!$AA:$AA,"&lt;01.01.2022"))</f>
        <v>56160</v>
      </c>
      <c r="S20" s="29">
        <f>(+SUMIFS(манзилли!$Q:$Q,манзилли!$D:$D,'свод (сектор)'!$B20,манзилли!$AA:$AA,"&gt;31.12.2020",манзилли!$AA:$AA,"&lt;01.01.2022"))</f>
        <v>42900</v>
      </c>
      <c r="T20" s="29">
        <f>(+SUMIFS(манзилли!$S:$S,манзилли!$D:$D,'свод (сектор)'!$B20,манзилли!$AA:$AA,"&gt;31.12.2020",манзилли!$AA:$AA,"&lt;01.01.2022"))</f>
        <v>3670</v>
      </c>
      <c r="U20" s="29">
        <f>(+SUMIFS(манзилли!$U:$U,манзилли!$D:$D,'свод (сектор)'!$B20,манзилли!$AA:$AA,"&gt;31.12.2020",манзилли!$AA:$AA,"&lt;01.01.2022"))</f>
        <v>0</v>
      </c>
      <c r="V20" s="30">
        <f>+SUMIFS(манзилли!$Y:$Y,манзилли!$D:$D,'свод (сектор)'!$B20,манзилли!$AA:$AA,"&gt;31.12.2020",манзилли!$AA:$AA,"&lt;01.01.2022")</f>
        <v>467</v>
      </c>
      <c r="W20" s="28">
        <f t="shared" si="129"/>
        <v>0</v>
      </c>
      <c r="X20" s="29">
        <f t="shared" si="130"/>
        <v>0</v>
      </c>
      <c r="Y20" s="29">
        <f t="shared" si="131"/>
        <v>0</v>
      </c>
      <c r="Z20" s="29">
        <f t="shared" si="132"/>
        <v>0</v>
      </c>
      <c r="AA20" s="29">
        <f t="shared" si="133"/>
        <v>0</v>
      </c>
      <c r="AB20" s="29">
        <f t="shared" si="134"/>
        <v>0</v>
      </c>
      <c r="AC20" s="30">
        <f t="shared" si="135"/>
        <v>0</v>
      </c>
      <c r="AD20" s="28">
        <f>+COUNTIFS(манзилли!$D:$D,'свод (сектор)'!$B20,манзилли!$AB:$AB,"&gt;31.12.2020",манзилли!$AA:$AA,"&gt;31.12.2020",манзилли!$AA:$AA,"&lt;01.01.2022")</f>
        <v>0</v>
      </c>
      <c r="AE20" s="29">
        <f>(+SUMIFS(манзилли!$L:$L,манзилли!$D:$D,'свод (сектор)'!$B20,манзилли!$AB:$AB,"&gt;31.12.2020",манзилли!$AA:$AA,"&gt;31.12.2020",манзилли!$AA:$AA,"&lt;01.01.2022"))</f>
        <v>0</v>
      </c>
      <c r="AF20" s="29">
        <f>(+SUMIFS(манзилли!$N:$N,манзилли!$D:$D,'свод (сектор)'!$B20,манзилли!$AB:$AB,"&gt;31.12.2020",манзилли!$AA:$AA,"&gt;31.12.2020",манзилли!$AA:$AA,"&lt;01.01.2022"))</f>
        <v>0</v>
      </c>
      <c r="AG20" s="29">
        <f>(+SUMIFS(манзилли!$R:$R,манзилли!$D:$D,'свод (сектор)'!$B20,манзилли!$AB:$AB,"&gt;31.12.2020",манзилли!$AA:$AA,"&gt;31.12.2020",манзилли!$AA:$AA,"&lt;01.01.2022"))</f>
        <v>0</v>
      </c>
      <c r="AH20" s="29">
        <f>(+SUMIFS(манзилли!$T:$T,манзилли!$D:$D,'свод (сектор)'!$B20,манзилли!$AB:$AB,"&gt;31.12.2020",манзилли!$AA:$AA,"&gt;31.12.2020",манзилли!$AA:$AA,"&lt;01.01.2022"))</f>
        <v>0</v>
      </c>
      <c r="AI20" s="29">
        <f>(+SUMIFS(манзилли!$V:$V,манзилли!$D:$D,'свод (сектор)'!$B20,манзилли!$AB:$AB,"&gt;31.12.2020",манзилли!$AA:$AA,"&gt;31.12.2020",манзилли!$AA:$AA,"&lt;01.01.2022"))</f>
        <v>0</v>
      </c>
      <c r="AJ20" s="30">
        <f>+SUMIFS(манзилли!$Z:$Z,манзилли!$D:$D,'свод (сектор)'!$B20,манзилли!$AB:$AB,"&gt;31.12.2020",манзилли!$AA:$AA,"&gt;31.12.2020",манзилли!$AA:$AA,"&lt;01.01.2022")</f>
        <v>0</v>
      </c>
      <c r="AK20" s="28">
        <f>+COUNTIFS('Қўшимча ишга тушган'!$D:$D,'свод (сектор)'!B20,'Қўшимча ишга тушган'!$AO:$AO,"&lt;01.10.2023")</f>
        <v>0</v>
      </c>
      <c r="AL20" s="29">
        <f>(+SUMIFS('Қўшимча ишга тушган'!$T:$T,'Қўшимча ишга тушган'!$D:$D,'свод (сектор)'!$B20,'Қўшимча ишга тушган'!$AO:$AO,"&lt;01.10.2023"))</f>
        <v>0</v>
      </c>
      <c r="AM20" s="29">
        <f>(+SUMIFS('Қўшимча ишга тушган'!$V:$V,'Қўшимча ишга тушган'!$D:$D,'свод (сектор)'!$B20,'Қўшимча ишга тушган'!$AO:$AO,"&lt;01.10.2023"))</f>
        <v>0</v>
      </c>
      <c r="AN20" s="29">
        <f>(+SUMIFS('Қўшимча ишга тушган'!$Z:$Z,'Қўшимча ишга тушган'!$D:$D,'свод (сектор)'!$B20,'Қўшимча ишга тушган'!$AO:$AO,"&lt;01.10.2023"))</f>
        <v>0</v>
      </c>
      <c r="AO20" s="29">
        <f>(+SUMIFS('Қўшимча ишга тушган'!$AB:$AB,'Қўшимча ишга тушган'!$D:$D,'свод (сектор)'!$B20,'Қўшимча ишга тушган'!$AO:$AO,"&lt;01.10.2023"))</f>
        <v>0</v>
      </c>
      <c r="AP20" s="29">
        <f>(+SUMIFS('Қўшимча ишга тушган'!$AD:$AD,'Қўшимча ишга тушган'!$D:$D,'свод (сектор)'!$B20,'Қўшимча ишга тушган'!$AO:$AO,"&lt;01.10.2023"))</f>
        <v>0</v>
      </c>
      <c r="AQ20" s="30">
        <f>+SUMIFS('Қўшимча ишга тушган'!$AM:$AM,'Қўшимча ишга тушган'!$D:$D,'свод (сектор)'!$B20,'Қўшимча ишга тушган'!$AO:$AO,"&lt;01.10.2023")</f>
        <v>0</v>
      </c>
      <c r="AR20" s="28">
        <f>+COUNTIFS(манзилли!$D:$D,'свод (сектор)'!$B20,манзилли!$AA:$AA,"&lt;01.02.2021",манзилли!$AB:$AB,"")</f>
        <v>0</v>
      </c>
      <c r="AS20" s="29">
        <f>(+SUMIFS(манзилли!$K:$K,манзилли!$D:$D,'свод (сектор)'!$B20,манзилли!$AA:$AA,"&lt;01.02.2021",манзилли!$AB:$AB,""))</f>
        <v>0</v>
      </c>
      <c r="AT20" s="29">
        <f>(+SUMIFS(манзилли!$M:$M,манзилли!$D:$D,'свод (сектор)'!$B20,манзилли!$AA:$AA,"&lt;01.02.2021",манзилли!$AB:$AB,""))</f>
        <v>0</v>
      </c>
      <c r="AU20" s="29">
        <f>(+SUMIFS(манзилли!$Q:$Q,манзилли!$D:$D,'свод (сектор)'!$B20,манзилли!$AA:$AA,"&lt;01.02.2021",манзилли!$AB:$AB,""))</f>
        <v>0</v>
      </c>
      <c r="AV20" s="29">
        <f>(+SUMIFS(манзилли!$S:$S,манзилли!$D:$D,'свод (сектор)'!$B20,манзилли!$AA:$AA,"&lt;01.02.2021",манзилли!$AB:$AB,""))</f>
        <v>0</v>
      </c>
      <c r="AW20" s="29">
        <f>(+SUMIFS(манзилли!$U:$U,манзилли!$D:$D,'свод (сектор)'!$B20,манзилли!$AA:$AA,"&lt;01.02.2021",манзилли!$AB:$AB,""))</f>
        <v>0</v>
      </c>
      <c r="AX20" s="30">
        <f>+SUMIFS(манзилли!$Y:$Y,манзилли!$D:$D,'свод (сектор)'!$B20,манзилли!$AA:$AA,"&lt;01.02.2021",манзилли!$AB:$AB,"")</f>
        <v>0</v>
      </c>
      <c r="AY20" s="28">
        <f>+COUNTIFS(манзилли!$D:$D,'свод (сектор)'!$B20,манзилли!$AA:$AA,"&lt;01.01.2022",манзилли!$AB:$AB,"")</f>
        <v>52</v>
      </c>
      <c r="AZ20" s="29">
        <f>(+SUMIFS(манзилли!$K:$K,манзилли!$D:$D,'свод (сектор)'!$B20,манзилли!$AA:$AA,"&lt;01.01.2022",манзилли!$AB:$AB,""))</f>
        <v>129061</v>
      </c>
      <c r="BA20" s="29">
        <f>(+SUMIFS(манзилли!$M:$M,манзилли!$D:$D,'свод (сектор)'!$B20,манзилли!$AA:$AA,"&lt;01.01.2022",манзилли!$AB:$AB,""))</f>
        <v>53960</v>
      </c>
      <c r="BB20" s="29">
        <f>(+SUMIFS(манзилли!$Q:$Q,манзилли!$D:$D,'свод (сектор)'!$B20,манзилли!$AA:$AA,"&lt;01.01.2022",манзилли!$AB:$AB,""))</f>
        <v>37300</v>
      </c>
      <c r="BC20" s="29">
        <f>(+SUMIFS(манзилли!$S:$S,манзилли!$D:$D,'свод (сектор)'!$B20,манзилли!$AA:$AA,"&lt;01.01.2022",манзилли!$AB:$AB,""))</f>
        <v>3670</v>
      </c>
      <c r="BD20" s="29">
        <f>(+SUMIFS(манзилли!$U:$U,манзилли!$D:$D,'свод (сектор)'!$B20,манзилли!$AA:$AA,"&lt;01.01.2022",манзилли!$AB:$AB,""))</f>
        <v>0</v>
      </c>
      <c r="BE20" s="30">
        <f>+SUMIFS(манзилли!$Y:$Y,манзилли!$D:$D,'свод (сектор)'!$B20,манзилли!$AA:$AA,"&lt;01.01.2022",манзилли!$AB:$AB,"")</f>
        <v>436</v>
      </c>
      <c r="BF20" s="28">
        <f>+COUNTIFS(манзилли!$D:$D,'свод (сектор)'!$B20,манзилли!$AA:$AA,"&lt;01.01.2023",манзилли!$AA:$AA,"&gt;=01.01.2022")</f>
        <v>15</v>
      </c>
      <c r="BG20" s="29">
        <f>(+SUMIFS(манзилли!$K:$K,манзилли!$D:$D,'свод (сектор)'!$B20,манзилли!$AA:$AA,"&lt;01.01.2023",манзилли!$AA:$AA,"&gt;=01.01.2022"))</f>
        <v>149215</v>
      </c>
      <c r="BH20" s="29">
        <f>(+SUMIFS(манзилли!$M:$M,манзилли!$D:$D,'свод (сектор)'!$B20,манзилли!$AA:$AA,"&lt;01.01.2023",манзилли!$AA:$AA,"&gt;=01.01.2022"))</f>
        <v>52560</v>
      </c>
      <c r="BI20" s="29">
        <f>(+SUMIFS(манзилли!$Q:$Q,манзилли!$D:$D,'свод (сектор)'!$B20,манзилли!$AA:$AA,"&lt;01.01.2023",манзилли!$AA:$AA,"&gt;=01.01.2022"))</f>
        <v>31250</v>
      </c>
      <c r="BJ20" s="29">
        <f>(+SUMIFS(манзилли!$S:$S,манзилли!$D:$D,'свод (сектор)'!$B20,манзилли!$AA:$AA,"&lt;01.01.2023",манзилли!$AA:$AA,"&gt;=01.01.2022"))</f>
        <v>6350</v>
      </c>
      <c r="BK20" s="29">
        <f>(+SUMIFS(манзилли!$U:$U,манзилли!$D:$D,'свод (сектор)'!$B20,манзилли!$AA:$AA,"&lt;01.01.2023",манзилли!$AA:$AA,"&gt;=01.01.2022"))</f>
        <v>0</v>
      </c>
      <c r="BL20" s="30">
        <f>+SUMIFS(манзилли!$Y:$Y,манзилли!$D:$D,'свод (сектор)'!$B20,манзилли!$AA:$AA,"&lt;01.01.2023",манзилли!$AA:$AA,"&gt;=01.01.2022")</f>
        <v>221</v>
      </c>
    </row>
    <row r="21" spans="1:64" s="3" customFormat="1" ht="35.25" customHeight="1" thickBot="1">
      <c r="A21" s="12">
        <f t="shared" si="6"/>
        <v>11</v>
      </c>
      <c r="B21" s="14" t="s">
        <v>298</v>
      </c>
      <c r="C21" s="28">
        <f>+COUNTIFS(манзилли!$D:$D,'свод (сектор)'!$B21)</f>
        <v>36</v>
      </c>
      <c r="D21" s="29">
        <f>(+SUMIFS(манзилли!$K:$K,манзилли!$D:$D,'свод (сектор)'!$B21))</f>
        <v>248028.9</v>
      </c>
      <c r="E21" s="29">
        <f>(+SUMIFS(манзилли!$M:$M,манзилли!$D:$D,'свод (сектор)'!$B21))</f>
        <v>147430</v>
      </c>
      <c r="F21" s="29">
        <f>(+SUMIFS(манзилли!$Q:$Q,манзилли!$D:$D,'свод (сектор)'!$B21))</f>
        <v>67505</v>
      </c>
      <c r="G21" s="29">
        <f>(+SUMIFS(манзилли!$S:$S,манзилли!$D:$D,'свод (сектор)'!$B21))</f>
        <v>213</v>
      </c>
      <c r="H21" s="29">
        <f>(+SUMIFS(манзилли!$U:$U,манзилли!$D:$D,'свод (сектор)'!$B21))</f>
        <v>3000</v>
      </c>
      <c r="I21" s="30">
        <f>+SUMIFS(манзилли!$Y:$Y,манзилли!$D:$D,'свод (сектор)'!$B21)</f>
        <v>425</v>
      </c>
      <c r="J21" s="28">
        <f>+(COUNTIFS(манзилли!$L:$L,"&gt;0",манзилли!$D:$D,'свод (сектор)'!$B21)+COUNTIFS('Қўшимча ишга тушган'!$T:$T,"&gt;0",'Қўшимча ишга тушган'!$D:$D,'свод (сектор)'!$B21))</f>
        <v>26</v>
      </c>
      <c r="K21" s="29">
        <f>(+SUMIFS(манзилли!$L:$L,манзилли!$D:$D,'свод (сектор)'!$B21)+SUMIFS('Қўшимча ишга тушган'!$T:$T,'Қўшимча ишга тушган'!$D:$D,'свод (сектор)'!$B21))</f>
        <v>51735.740000000005</v>
      </c>
      <c r="L21" s="29">
        <f>+(SUMIFS(манзилли!$N:$N,манзилли!$D:$D,'свод (сектор)'!$B21)+SUMIFS('Қўшимча ишга тушган'!$V:$V,'Қўшимча ишга тушган'!$D:$D,'свод (сектор)'!$B21))</f>
        <v>5900</v>
      </c>
      <c r="M21" s="29">
        <f>(+SUMIFS(манзилли!$R:$R,манзилли!$D:$D,'свод (сектор)'!$B21)+SUMIFS('Қўшимча ишга тушган'!$Z:$Z,'Қўшимча ишга тушган'!$D:$D,'свод (сектор)'!$B21))</f>
        <v>45237</v>
      </c>
      <c r="N21" s="29">
        <f>(+SUMIFS(манзилли!$T:$T,манзилли!$D:$D,'свод (сектор)'!$B21)+SUMIFS('Қўшимча ишга тушган'!$AB:$AB,'Қўшимча ишга тушган'!$D:$D,'свод (сектор)'!$B21))</f>
        <v>58.7</v>
      </c>
      <c r="O21" s="30">
        <f>(+SUMIFS(манзилли!$V:$V,манзилли!$D:$D,'свод (сектор)'!$B21)+SUMIFS('Қўшимча ишга тушган'!$AD:$AD,'Қўшимча ишга тушган'!$D:$D,'свод (сектор)'!$B21))</f>
        <v>0</v>
      </c>
      <c r="P21" s="31">
        <f>+COUNTIFS(манзилли!$D:$D,'свод (сектор)'!$B21,манзилли!$AA:$AA,"&gt;31.12.2020",манзилли!$AA:$AA,"&lt;01.01.2022")</f>
        <v>29</v>
      </c>
      <c r="Q21" s="29">
        <f>(+SUMIFS(манзилли!$K:$K,манзилли!$D:$D,'свод (сектор)'!$B21,манзилли!$AA:$AA,"&gt;31.12.2020",манзилли!$AA:$AA,"&lt;01.01.2022"))</f>
        <v>234513.9</v>
      </c>
      <c r="R21" s="29">
        <f>(+SUMIFS(манзилли!$M:$M,манзилли!$D:$D,'свод (сектор)'!$B21,манзилли!$AA:$AA,"&gt;31.12.2020",манзилли!$AA:$AA,"&lt;01.01.2022"))</f>
        <v>143830</v>
      </c>
      <c r="S21" s="29">
        <f>(+SUMIFS(манзилли!$Q:$Q,манзилли!$D:$D,'свод (сектор)'!$B21,манзилли!$AA:$AA,"&gt;31.12.2020",манзилли!$AA:$AA,"&lt;01.01.2022"))</f>
        <v>58105</v>
      </c>
      <c r="T21" s="29">
        <f>(+SUMIFS(манзилли!$S:$S,манзилли!$D:$D,'свод (сектор)'!$B21,манзилли!$AA:$AA,"&gt;31.12.2020",манзилли!$AA:$AA,"&lt;01.01.2022"))</f>
        <v>163</v>
      </c>
      <c r="U21" s="29">
        <f>(+SUMIFS(манзилли!$U:$U,манзилли!$D:$D,'свод (сектор)'!$B21,манзилли!$AA:$AA,"&gt;31.12.2020",манзилли!$AA:$AA,"&lt;01.01.2022"))</f>
        <v>3000</v>
      </c>
      <c r="V21" s="30">
        <f>+SUMIFS(манзилли!$Y:$Y,манзилли!$D:$D,'свод (сектор)'!$B21,манзилли!$AA:$AA,"&gt;31.12.2020",манзилли!$AA:$AA,"&lt;01.01.2022")</f>
        <v>395</v>
      </c>
      <c r="W21" s="28">
        <f t="shared" si="129"/>
        <v>1</v>
      </c>
      <c r="X21" s="29">
        <f t="shared" si="130"/>
        <v>4000</v>
      </c>
      <c r="Y21" s="29">
        <f t="shared" si="131"/>
        <v>3300</v>
      </c>
      <c r="Z21" s="29">
        <f t="shared" si="132"/>
        <v>700</v>
      </c>
      <c r="AA21" s="29">
        <f t="shared" si="133"/>
        <v>0</v>
      </c>
      <c r="AB21" s="29">
        <f t="shared" si="134"/>
        <v>0</v>
      </c>
      <c r="AC21" s="30">
        <f t="shared" si="135"/>
        <v>4</v>
      </c>
      <c r="AD21" s="28">
        <f>+COUNTIFS(манзилли!$D:$D,'свод (сектор)'!$B21,манзилли!$AB:$AB,"&gt;31.12.2020",манзилли!$AA:$AA,"&gt;31.12.2020",манзилли!$AA:$AA,"&lt;01.01.2022")</f>
        <v>1</v>
      </c>
      <c r="AE21" s="29">
        <f>(+SUMIFS(манзилли!$L:$L,манзилли!$D:$D,'свод (сектор)'!$B21,манзилли!$AB:$AB,"&gt;31.12.2020",манзилли!$AA:$AA,"&gt;31.12.2020",манзилли!$AA:$AA,"&lt;01.01.2022"))</f>
        <v>4000</v>
      </c>
      <c r="AF21" s="29">
        <f>(+SUMIFS(манзилли!$N:$N,манзилли!$D:$D,'свод (сектор)'!$B21,манзилли!$AB:$AB,"&gt;31.12.2020",манзилли!$AA:$AA,"&gt;31.12.2020",манзилли!$AA:$AA,"&lt;01.01.2022"))</f>
        <v>3300</v>
      </c>
      <c r="AG21" s="29">
        <f>(+SUMIFS(манзилли!$R:$R,манзилли!$D:$D,'свод (сектор)'!$B21,манзилли!$AB:$AB,"&gt;31.12.2020",манзилли!$AA:$AA,"&gt;31.12.2020",манзилли!$AA:$AA,"&lt;01.01.2022"))</f>
        <v>700</v>
      </c>
      <c r="AH21" s="29">
        <f>(+SUMIFS(манзилли!$T:$T,манзилли!$D:$D,'свод (сектор)'!$B21,манзилли!$AB:$AB,"&gt;31.12.2020",манзилли!$AA:$AA,"&gt;31.12.2020",манзилли!$AA:$AA,"&lt;01.01.2022"))</f>
        <v>0</v>
      </c>
      <c r="AI21" s="29">
        <f>(+SUMIFS(манзилли!$V:$V,манзилли!$D:$D,'свод (сектор)'!$B21,манзилли!$AB:$AB,"&gt;31.12.2020",манзилли!$AA:$AA,"&gt;31.12.2020",манзилли!$AA:$AA,"&lt;01.01.2022"))</f>
        <v>0</v>
      </c>
      <c r="AJ21" s="30">
        <f>+SUMIFS(манзилли!$Z:$Z,манзилли!$D:$D,'свод (сектор)'!$B21,манзилли!$AB:$AB,"&gt;31.12.2020",манзилли!$AA:$AA,"&gt;31.12.2020",манзилли!$AA:$AA,"&lt;01.01.2022")</f>
        <v>4</v>
      </c>
      <c r="AK21" s="28">
        <f>+COUNTIFS('Қўшимча ишга тушган'!$D:$D,'свод (сектор)'!B21,'Қўшимча ишга тушган'!$AO:$AO,"&lt;01.10.2023")</f>
        <v>0</v>
      </c>
      <c r="AL21" s="29">
        <f>(+SUMIFS('Қўшимча ишга тушган'!$T:$T,'Қўшимча ишга тушган'!$D:$D,'свод (сектор)'!$B21,'Қўшимча ишга тушган'!$AO:$AO,"&lt;01.10.2023"))</f>
        <v>0</v>
      </c>
      <c r="AM21" s="29">
        <f>(+SUMIFS('Қўшимча ишга тушган'!$V:$V,'Қўшимча ишга тушган'!$D:$D,'свод (сектор)'!$B21,'Қўшимча ишга тушган'!$AO:$AO,"&lt;01.10.2023"))</f>
        <v>0</v>
      </c>
      <c r="AN21" s="29">
        <f>(+SUMIFS('Қўшимча ишга тушган'!$Z:$Z,'Қўшимча ишга тушган'!$D:$D,'свод (сектор)'!$B21,'Қўшимча ишга тушган'!$AO:$AO,"&lt;01.10.2023"))</f>
        <v>0</v>
      </c>
      <c r="AO21" s="29">
        <f>(+SUMIFS('Қўшимча ишга тушган'!$AB:$AB,'Қўшимча ишга тушган'!$D:$D,'свод (сектор)'!$B21,'Қўшимча ишга тушган'!$AO:$AO,"&lt;01.10.2023"))</f>
        <v>0</v>
      </c>
      <c r="AP21" s="29">
        <f>(+SUMIFS('Қўшимча ишга тушган'!$AD:$AD,'Қўшимча ишга тушган'!$D:$D,'свод (сектор)'!$B21,'Қўшимча ишга тушган'!$AO:$AO,"&lt;01.10.2023"))</f>
        <v>0</v>
      </c>
      <c r="AQ21" s="30">
        <f>+SUMIFS('Қўшимча ишга тушган'!$AM:$AM,'Қўшимча ишга тушган'!$D:$D,'свод (сектор)'!$B21,'Қўшимча ишга тушган'!$AO:$AO,"&lt;01.10.2023")</f>
        <v>0</v>
      </c>
      <c r="AR21" s="28">
        <f>+COUNTIFS(манзилли!$D:$D,'свод (сектор)'!$B21,манзилли!$AA:$AA,"&lt;01.02.2021",манзилли!$AB:$AB,"")</f>
        <v>0</v>
      </c>
      <c r="AS21" s="29">
        <f>(+SUMIFS(манзилли!$K:$K,манзилли!$D:$D,'свод (сектор)'!$B21,манзилли!$AA:$AA,"&lt;01.02.2021",манзилли!$AB:$AB,""))</f>
        <v>0</v>
      </c>
      <c r="AT21" s="29">
        <f>(+SUMIFS(манзилли!$M:$M,манзилли!$D:$D,'свод (сектор)'!$B21,манзилли!$AA:$AA,"&lt;01.02.2021",манзилли!$AB:$AB,""))</f>
        <v>0</v>
      </c>
      <c r="AU21" s="29">
        <f>(+SUMIFS(манзилли!$Q:$Q,манзилли!$D:$D,'свод (сектор)'!$B21,манзилли!$AA:$AA,"&lt;01.02.2021",манзилли!$AB:$AB,""))</f>
        <v>0</v>
      </c>
      <c r="AV21" s="29">
        <f>(+SUMIFS(манзилли!$S:$S,манзилли!$D:$D,'свод (сектор)'!$B21,манзилли!$AA:$AA,"&lt;01.02.2021",манзилли!$AB:$AB,""))</f>
        <v>0</v>
      </c>
      <c r="AW21" s="29">
        <f>(+SUMIFS(манзилли!$U:$U,манзилли!$D:$D,'свод (сектор)'!$B21,манзилли!$AA:$AA,"&lt;01.02.2021",манзилли!$AB:$AB,""))</f>
        <v>0</v>
      </c>
      <c r="AX21" s="30">
        <f>+SUMIFS(манзилли!$Y:$Y,манзилли!$D:$D,'свод (сектор)'!$B21,манзилли!$AA:$AA,"&lt;01.02.2021",манзилли!$AB:$AB,"")</f>
        <v>0</v>
      </c>
      <c r="AY21" s="28">
        <f>+COUNTIFS(манзилли!$D:$D,'свод (сектор)'!$B21,манзилли!$AA:$AA,"&lt;01.01.2022",манзилли!$AB:$AB,"")</f>
        <v>27</v>
      </c>
      <c r="AZ21" s="29">
        <f>(+SUMIFS(манзилли!$K:$K,манзилли!$D:$D,'свод (сектор)'!$B21,манзилли!$AA:$AA,"&lt;01.01.2022",манзилли!$AB:$AB,""))</f>
        <v>228613.9</v>
      </c>
      <c r="BA21" s="29">
        <f>(+SUMIFS(манзилли!$M:$M,манзилли!$D:$D,'свод (сектор)'!$B21,манзилли!$AA:$AA,"&lt;01.01.2022",манзилли!$AB:$AB,""))</f>
        <v>140930</v>
      </c>
      <c r="BB21" s="29">
        <f>(+SUMIFS(манзилли!$Q:$Q,манзилли!$D:$D,'свод (сектор)'!$B21,манзилли!$AA:$AA,"&lt;01.01.2022",манзилли!$AB:$AB,""))</f>
        <v>55105</v>
      </c>
      <c r="BC21" s="29">
        <f>(+SUMIFS(манзилли!$S:$S,манзилли!$D:$D,'свод (сектор)'!$B21,манзилли!$AA:$AA,"&lt;01.01.2022",манзилли!$AB:$AB,""))</f>
        <v>163</v>
      </c>
      <c r="BD21" s="29">
        <f>(+SUMIFS(манзилли!$U:$U,манзилли!$D:$D,'свод (сектор)'!$B21,манзилли!$AA:$AA,"&lt;01.01.2022",манзилли!$AB:$AB,""))</f>
        <v>3000</v>
      </c>
      <c r="BE21" s="30">
        <f>+SUMIFS(манзилли!$Y:$Y,манзилли!$D:$D,'свод (сектор)'!$B21,манзилли!$AA:$AA,"&lt;01.01.2022",манзилли!$AB:$AB,"")</f>
        <v>388</v>
      </c>
      <c r="BF21" s="28">
        <f>+COUNTIFS(манзилли!$D:$D,'свод (сектор)'!$B21,манзилли!$AA:$AA,"&lt;01.01.2023",манзилли!$AA:$AA,"&gt;=01.01.2022")</f>
        <v>3</v>
      </c>
      <c r="BG21" s="29">
        <f>(+SUMIFS(манзилли!$K:$K,манзилли!$D:$D,'свод (сектор)'!$B21,манзилли!$AA:$AA,"&lt;01.01.2023",манзилли!$AA:$AA,"&gt;=01.01.2022"))</f>
        <v>3215</v>
      </c>
      <c r="BH21" s="29">
        <f>(+SUMIFS(манзилли!$M:$M,манзилли!$D:$D,'свод (сектор)'!$B21,манзилли!$AA:$AA,"&lt;01.01.2023",манзилли!$AA:$AA,"&gt;=01.01.2022"))</f>
        <v>1400</v>
      </c>
      <c r="BI21" s="29">
        <f>(+SUMIFS(манзилли!$Q:$Q,манзилли!$D:$D,'свод (сектор)'!$B21,манзилли!$AA:$AA,"&lt;01.01.2023",манзилли!$AA:$AA,"&gt;=01.01.2022"))</f>
        <v>1300</v>
      </c>
      <c r="BJ21" s="29">
        <f>(+SUMIFS(манзилли!$S:$S,манзилли!$D:$D,'свод (сектор)'!$B21,манзилли!$AA:$AA,"&lt;01.01.2023",манзилли!$AA:$AA,"&gt;=01.01.2022"))</f>
        <v>50</v>
      </c>
      <c r="BK21" s="29">
        <f>(+SUMIFS(манзилли!$U:$U,манзилли!$D:$D,'свод (сектор)'!$B21,манзилли!$AA:$AA,"&lt;01.01.2023",манзилли!$AA:$AA,"&gt;=01.01.2022"))</f>
        <v>0</v>
      </c>
      <c r="BL21" s="30">
        <f>+SUMIFS(манзилли!$Y:$Y,манзилли!$D:$D,'свод (сектор)'!$B21,манзилли!$AA:$AA,"&lt;01.01.2023",манзилли!$AA:$AA,"&gt;=01.01.2022")</f>
        <v>15</v>
      </c>
    </row>
    <row r="22" spans="1:64" s="3" customFormat="1" ht="35.25" customHeight="1" thickBot="1">
      <c r="A22" s="148" t="s">
        <v>1775</v>
      </c>
      <c r="B22" s="149"/>
      <c r="C22" s="41">
        <f>+SUM(C23:C24)</f>
        <v>102</v>
      </c>
      <c r="D22" s="41">
        <f t="shared" ref="D22" si="138">+SUM(D23:D24)</f>
        <v>1776869.2315789475</v>
      </c>
      <c r="E22" s="41">
        <f t="shared" ref="E22" si="139">+SUM(E23:E24)</f>
        <v>569638.13157894742</v>
      </c>
      <c r="F22" s="41">
        <f t="shared" ref="F22" si="140">+SUM(F23:F24)</f>
        <v>224230</v>
      </c>
      <c r="G22" s="41">
        <f t="shared" ref="G22" si="141">+SUM(G23:G24)</f>
        <v>62737</v>
      </c>
      <c r="H22" s="41">
        <f t="shared" ref="H22" si="142">+SUM(H23:H24)</f>
        <v>32700</v>
      </c>
      <c r="I22" s="41">
        <f t="shared" ref="I22" si="143">+SUM(I23:I24)</f>
        <v>4716</v>
      </c>
      <c r="J22" s="41">
        <f t="shared" ref="J22" si="144">+SUM(J23:J24)</f>
        <v>58</v>
      </c>
      <c r="K22" s="41">
        <f t="shared" ref="K22" si="145">+SUM(K23:K24)</f>
        <v>441825.26</v>
      </c>
      <c r="L22" s="41">
        <f t="shared" ref="L22" si="146">+SUM(L23:L24)</f>
        <v>173742</v>
      </c>
      <c r="M22" s="41">
        <f t="shared" ref="M22" si="147">+SUM(M23:M24)</f>
        <v>145366</v>
      </c>
      <c r="N22" s="41">
        <f t="shared" ref="N22" si="148">+SUM(N23:N24)</f>
        <v>12031.3</v>
      </c>
      <c r="O22" s="41">
        <f t="shared" ref="O22" si="149">+SUM(O23:O24)</f>
        <v>0</v>
      </c>
      <c r="P22" s="41">
        <f t="shared" ref="P22" si="150">+SUM(P23:P24)</f>
        <v>79</v>
      </c>
      <c r="Q22" s="41">
        <f t="shared" ref="Q22" si="151">+SUM(Q23:Q24)</f>
        <v>1495087.2315789475</v>
      </c>
      <c r="R22" s="41">
        <f t="shared" ref="R22" si="152">+SUM(R23:R24)</f>
        <v>487418.13157894736</v>
      </c>
      <c r="S22" s="41">
        <f t="shared" ref="S22" si="153">+SUM(S23:S24)</f>
        <v>184730</v>
      </c>
      <c r="T22" s="41">
        <f t="shared" ref="T22" si="154">+SUM(T23:T24)</f>
        <v>55697</v>
      </c>
      <c r="U22" s="41">
        <f t="shared" ref="U22" si="155">+SUM(U23:U24)</f>
        <v>24200</v>
      </c>
      <c r="V22" s="41">
        <f t="shared" ref="V22" si="156">+SUM(V23:V24)</f>
        <v>4355</v>
      </c>
      <c r="W22" s="41">
        <f t="shared" ref="W22" si="157">+SUM(W23:W24)</f>
        <v>3</v>
      </c>
      <c r="X22" s="41">
        <f t="shared" ref="X22" si="158">+SUM(X23:X24)</f>
        <v>14910</v>
      </c>
      <c r="Y22" s="41">
        <f t="shared" ref="Y22" si="159">+SUM(Y23:Y24)</f>
        <v>6400</v>
      </c>
      <c r="Z22" s="41">
        <f t="shared" ref="Z22" si="160">+SUM(Z23:Z24)</f>
        <v>8510</v>
      </c>
      <c r="AA22" s="41">
        <f t="shared" ref="AA22" si="161">+SUM(AA23:AA24)</f>
        <v>0</v>
      </c>
      <c r="AB22" s="41">
        <f t="shared" ref="AB22" si="162">+SUM(AB23:AB24)</f>
        <v>0</v>
      </c>
      <c r="AC22" s="41">
        <f t="shared" ref="AC22" si="163">+SUM(AC23:AC24)</f>
        <v>48</v>
      </c>
      <c r="AD22" s="41">
        <f t="shared" ref="AD22" si="164">+SUM(AD23:AD24)</f>
        <v>3</v>
      </c>
      <c r="AE22" s="41">
        <f t="shared" ref="AE22" si="165">+SUM(AE23:AE24)</f>
        <v>14910</v>
      </c>
      <c r="AF22" s="41">
        <f t="shared" ref="AF22" si="166">+SUM(AF23:AF24)</f>
        <v>6400</v>
      </c>
      <c r="AG22" s="41">
        <f t="shared" ref="AG22" si="167">+SUM(AG23:AG24)</f>
        <v>8510</v>
      </c>
      <c r="AH22" s="41">
        <f t="shared" ref="AH22" si="168">+SUM(AH23:AH24)</f>
        <v>0</v>
      </c>
      <c r="AI22" s="41">
        <f t="shared" ref="AI22" si="169">+SUM(AI23:AI24)</f>
        <v>0</v>
      </c>
      <c r="AJ22" s="41">
        <f t="shared" ref="AJ22" si="170">+SUM(AJ23:AJ24)</f>
        <v>48</v>
      </c>
      <c r="AK22" s="41">
        <f t="shared" ref="AK22" si="171">+SUM(AK23:AK24)</f>
        <v>0</v>
      </c>
      <c r="AL22" s="41">
        <f t="shared" ref="AL22" si="172">+SUM(AL23:AL24)</f>
        <v>0</v>
      </c>
      <c r="AM22" s="41">
        <f t="shared" ref="AM22" si="173">+SUM(AM23:AM24)</f>
        <v>0</v>
      </c>
      <c r="AN22" s="41">
        <f t="shared" ref="AN22" si="174">+SUM(AN23:AN24)</f>
        <v>0</v>
      </c>
      <c r="AO22" s="41">
        <f t="shared" ref="AO22" si="175">+SUM(AO23:AO24)</f>
        <v>0</v>
      </c>
      <c r="AP22" s="41">
        <f t="shared" ref="AP22" si="176">+SUM(AP23:AP24)</f>
        <v>0</v>
      </c>
      <c r="AQ22" s="41">
        <f t="shared" ref="AQ22" si="177">+SUM(AQ23:AQ24)</f>
        <v>0</v>
      </c>
      <c r="AR22" s="41">
        <f t="shared" ref="AR22" si="178">+SUM(AR23:AR24)</f>
        <v>0</v>
      </c>
      <c r="AS22" s="41">
        <f t="shared" ref="AS22" si="179">+SUM(AS23:AS24)</f>
        <v>0</v>
      </c>
      <c r="AT22" s="41">
        <f t="shared" ref="AT22" si="180">+SUM(AT23:AT24)</f>
        <v>0</v>
      </c>
      <c r="AU22" s="41">
        <f t="shared" ref="AU22" si="181">+SUM(AU23:AU24)</f>
        <v>0</v>
      </c>
      <c r="AV22" s="41">
        <f t="shared" ref="AV22" si="182">+SUM(AV23:AV24)</f>
        <v>0</v>
      </c>
      <c r="AW22" s="41">
        <f t="shared" ref="AW22" si="183">+SUM(AW23:AW24)</f>
        <v>0</v>
      </c>
      <c r="AX22" s="41">
        <f t="shared" ref="AX22" si="184">+SUM(AX23:AX24)</f>
        <v>0</v>
      </c>
      <c r="AY22" s="41">
        <f t="shared" ref="AY22" si="185">+SUM(AY23:AY24)</f>
        <v>71</v>
      </c>
      <c r="AZ22" s="41">
        <f t="shared" ref="AZ22" si="186">+SUM(AZ23:AZ24)</f>
        <v>1334715.2315789475</v>
      </c>
      <c r="BA22" s="41">
        <f t="shared" ref="BA22" si="187">+SUM(BA23:BA24)</f>
        <v>356846.13157894736</v>
      </c>
      <c r="BB22" s="41">
        <f t="shared" ref="BB22" si="188">+SUM(BB23:BB24)</f>
        <v>154930</v>
      </c>
      <c r="BC22" s="41">
        <f t="shared" ref="BC22" si="189">+SUM(BC23:BC24)</f>
        <v>55697</v>
      </c>
      <c r="BD22" s="41">
        <f t="shared" ref="BD22" si="190">+SUM(BD23:BD24)</f>
        <v>24200</v>
      </c>
      <c r="BE22" s="41">
        <f t="shared" ref="BE22" si="191">+SUM(BE23:BE24)</f>
        <v>4103</v>
      </c>
      <c r="BF22" s="41">
        <f t="shared" ref="BF22" si="192">+SUM(BF23:BF24)</f>
        <v>13</v>
      </c>
      <c r="BG22" s="41">
        <f t="shared" ref="BG22" si="193">+SUM(BG23:BG24)</f>
        <v>231497</v>
      </c>
      <c r="BH22" s="41">
        <f t="shared" ref="BH22" si="194">+SUM(BH23:BH24)</f>
        <v>45800</v>
      </c>
      <c r="BI22" s="41">
        <f t="shared" ref="BI22" si="195">+SUM(BI23:BI24)</f>
        <v>26150</v>
      </c>
      <c r="BJ22" s="41">
        <f t="shared" ref="BJ22" si="196">+SUM(BJ23:BJ24)</f>
        <v>6990</v>
      </c>
      <c r="BK22" s="41">
        <f t="shared" ref="BK22" si="197">+SUM(BK23:BK24)</f>
        <v>8500</v>
      </c>
      <c r="BL22" s="41">
        <f t="shared" ref="BL22" si="198">+SUM(BL23:BL24)</f>
        <v>275</v>
      </c>
    </row>
    <row r="23" spans="1:64" s="3" customFormat="1" ht="35.25" customHeight="1">
      <c r="A23" s="12">
        <f>+A21+1</f>
        <v>12</v>
      </c>
      <c r="B23" s="11" t="s">
        <v>310</v>
      </c>
      <c r="C23" s="28">
        <f>+COUNTIFS(манзилли!$D:$D,'свод (сектор)'!$B23)</f>
        <v>56</v>
      </c>
      <c r="D23" s="29">
        <f>(+SUMIFS(манзилли!$K:$K,манзилли!$D:$D,'свод (сектор)'!$B23))</f>
        <v>921533</v>
      </c>
      <c r="E23" s="29">
        <f>(+SUMIFS(манзилли!$M:$M,манзилли!$D:$D,'свод (сектор)'!$B23))</f>
        <v>256541</v>
      </c>
      <c r="F23" s="29">
        <f>(+SUMIFS(манзилли!$Q:$Q,манзилли!$D:$D,'свод (сектор)'!$B23))</f>
        <v>108380</v>
      </c>
      <c r="G23" s="29">
        <f>(+SUMIFS(манзилли!$S:$S,манзилли!$D:$D,'свод (сектор)'!$B23))</f>
        <v>46340</v>
      </c>
      <c r="H23" s="29">
        <f>(+SUMIFS(манзилли!$U:$U,манзилли!$D:$D,'свод (сектор)'!$B23))</f>
        <v>7700</v>
      </c>
      <c r="I23" s="30">
        <f>+SUMIFS(манзилли!$Y:$Y,манзилли!$D:$D,'свод (сектор)'!$B23)</f>
        <v>3562</v>
      </c>
      <c r="J23" s="28">
        <f>+(COUNTIFS(манзилли!$L:$L,"&gt;0",манзилли!$D:$D,'свод (сектор)'!$B23)+COUNTIFS('Қўшимча ишга тушган'!$T:$T,"&gt;0",'Қўшимча ишга тушган'!$D:$D,'свод (сектор)'!$B23))</f>
        <v>30</v>
      </c>
      <c r="K23" s="29">
        <f>(+SUMIFS(манзилли!$L:$L,манзилли!$D:$D,'свод (сектор)'!$B23)+SUMIFS('Қўшимча ишга тушган'!$T:$T,'Қўшимча ишга тушган'!$D:$D,'свод (сектор)'!$B23))</f>
        <v>186195.02</v>
      </c>
      <c r="L23" s="29">
        <f>+(SUMIFS(манзилли!$N:$N,манзилли!$D:$D,'свод (сектор)'!$B23)+SUMIFS('Қўшимча ишга тушган'!$V:$V,'Қўшимча ишга тушган'!$D:$D,'свод (сектор)'!$B23))</f>
        <v>35350</v>
      </c>
      <c r="M23" s="29">
        <f>(+SUMIFS(манзилли!$R:$R,манзилли!$D:$D,'свод (сектор)'!$B23)+SUMIFS('Қўшимча ишга тушган'!$Z:$Z,'Қўшимча ишга тушган'!$D:$D,'свод (сектор)'!$B23))</f>
        <v>70980</v>
      </c>
      <c r="N23" s="29">
        <f>(+SUMIFS(манзилли!$T:$T,манзилли!$D:$D,'свод (сектор)'!$B23)+SUMIFS('Қўшимча ишга тушган'!$AB:$AB,'Қўшимча ишга тушган'!$D:$D,'свод (сектор)'!$B23))</f>
        <v>7830.1</v>
      </c>
      <c r="O23" s="30">
        <f>(+SUMIFS(манзилли!$V:$V,манзилли!$D:$D,'свод (сектор)'!$B23)+SUMIFS('Қўшимча ишга тушган'!$AD:$AD,'Қўшимча ишга тушган'!$D:$D,'свод (сектор)'!$B23))</f>
        <v>0</v>
      </c>
      <c r="P23" s="56">
        <f>+COUNTIFS(манзилли!$D:$D,'свод (сектор)'!$B23,манзилли!$AA:$AA,"&gt;31.12.2020",манзилли!$AA:$AA,"&lt;01.01.2022")</f>
        <v>45</v>
      </c>
      <c r="Q23" s="29">
        <f>(+SUMIFS(манзилли!$K:$K,манзилли!$D:$D,'свод (сектор)'!$B23,манзилли!$AA:$AA,"&gt;31.12.2020",манзилли!$AA:$AA,"&lt;01.01.2022"))</f>
        <v>779231</v>
      </c>
      <c r="R23" s="33">
        <f>(+SUMIFS(манзилли!$M:$M,манзилли!$D:$D,'свод (сектор)'!$B23,манзилли!$AA:$AA,"&gt;31.12.2020",манзилли!$AA:$AA,"&lt;01.01.2022"))</f>
        <v>195691</v>
      </c>
      <c r="S23" s="33">
        <f>(+SUMIFS(манзилли!$Q:$Q,манзилли!$D:$D,'свод (сектор)'!$B23,манзилли!$AA:$AA,"&gt;31.12.2020",манзилли!$AA:$AA,"&lt;01.01.2022"))</f>
        <v>87080</v>
      </c>
      <c r="T23" s="33">
        <f>(+SUMIFS(манзилли!$S:$S,манзилли!$D:$D,'свод (сектор)'!$B23,манзилли!$AA:$AA,"&gt;31.12.2020",манзилли!$AA:$AA,"&lt;01.01.2022"))</f>
        <v>40500</v>
      </c>
      <c r="U23" s="33">
        <f>(+SUMIFS(манзилли!$U:$U,манзилли!$D:$D,'свод (сектор)'!$B23,манзилли!$AA:$AA,"&gt;31.12.2020",манзилли!$AA:$AA,"&lt;01.01.2022"))</f>
        <v>7700</v>
      </c>
      <c r="V23" s="34">
        <f>+SUMIFS(манзилли!$Y:$Y,манзилли!$D:$D,'свод (сектор)'!$B23,манзилли!$AA:$AA,"&gt;31.12.2020",манзилли!$AA:$AA,"&lt;01.01.2022")</f>
        <v>3377</v>
      </c>
      <c r="W23" s="28">
        <f t="shared" si="129"/>
        <v>1</v>
      </c>
      <c r="X23" s="29">
        <f t="shared" si="130"/>
        <v>850</v>
      </c>
      <c r="Y23" s="29">
        <f t="shared" si="131"/>
        <v>400</v>
      </c>
      <c r="Z23" s="29">
        <f t="shared" si="132"/>
        <v>450</v>
      </c>
      <c r="AA23" s="29">
        <f t="shared" si="133"/>
        <v>0</v>
      </c>
      <c r="AB23" s="29">
        <f t="shared" si="134"/>
        <v>0</v>
      </c>
      <c r="AC23" s="30">
        <f t="shared" si="135"/>
        <v>8</v>
      </c>
      <c r="AD23" s="28">
        <f>+COUNTIFS(манзилли!$D:$D,'свод (сектор)'!$B23,манзилли!$AB:$AB,"&gt;31.12.2020",манзилли!$AA:$AA,"&gt;31.12.2020",манзилли!$AA:$AA,"&lt;01.01.2022")</f>
        <v>1</v>
      </c>
      <c r="AE23" s="29">
        <f>(+SUMIFS(манзилли!$L:$L,манзилли!$D:$D,'свод (сектор)'!$B23,манзилли!$AB:$AB,"&gt;31.12.2020",манзилли!$AA:$AA,"&gt;31.12.2020",манзилли!$AA:$AA,"&lt;01.01.2022"))</f>
        <v>850</v>
      </c>
      <c r="AF23" s="29">
        <f>(+SUMIFS(манзилли!$N:$N,манзилли!$D:$D,'свод (сектор)'!$B23,манзилли!$AB:$AB,"&gt;31.12.2020",манзилли!$AA:$AA,"&gt;31.12.2020",манзилли!$AA:$AA,"&lt;01.01.2022"))</f>
        <v>400</v>
      </c>
      <c r="AG23" s="29">
        <f>(+SUMIFS(манзилли!$R:$R,манзилли!$D:$D,'свод (сектор)'!$B23,манзилли!$AB:$AB,"&gt;31.12.2020",манзилли!$AA:$AA,"&gt;31.12.2020",манзилли!$AA:$AA,"&lt;01.01.2022"))</f>
        <v>450</v>
      </c>
      <c r="AH23" s="29">
        <f>(+SUMIFS(манзилли!$T:$T,манзилли!$D:$D,'свод (сектор)'!$B23,манзилли!$AB:$AB,"&gt;31.12.2020",манзилли!$AA:$AA,"&gt;31.12.2020",манзилли!$AA:$AA,"&lt;01.01.2022"))</f>
        <v>0</v>
      </c>
      <c r="AI23" s="29">
        <f>(+SUMIFS(манзилли!$V:$V,манзилли!$D:$D,'свод (сектор)'!$B23,манзилли!$AB:$AB,"&gt;31.12.2020",манзилли!$AA:$AA,"&gt;31.12.2020",манзилли!$AA:$AA,"&lt;01.01.2022"))</f>
        <v>0</v>
      </c>
      <c r="AJ23" s="30">
        <f>+SUMIFS(манзилли!$Z:$Z,манзилли!$D:$D,'свод (сектор)'!$B23,манзилли!$AB:$AB,"&gt;31.12.2020",манзилли!$AA:$AA,"&gt;31.12.2020",манзилли!$AA:$AA,"&lt;01.01.2022")</f>
        <v>8</v>
      </c>
      <c r="AK23" s="28">
        <f>+COUNTIFS('Қўшимча ишга тушган'!$D:$D,'свод (сектор)'!B23,'Қўшимча ишга тушган'!$AO:$AO,"&lt;01.10.2023")</f>
        <v>0</v>
      </c>
      <c r="AL23" s="29">
        <f>(+SUMIFS('Қўшимча ишга тушган'!$T:$T,'Қўшимча ишга тушган'!$D:$D,'свод (сектор)'!$B23,'Қўшимча ишга тушган'!$AO:$AO,"&lt;01.10.2023"))</f>
        <v>0</v>
      </c>
      <c r="AM23" s="29">
        <f>(+SUMIFS('Қўшимча ишга тушган'!$V:$V,'Қўшимча ишга тушган'!$D:$D,'свод (сектор)'!$B23,'Қўшимча ишга тушган'!$AO:$AO,"&lt;01.10.2023"))</f>
        <v>0</v>
      </c>
      <c r="AN23" s="29">
        <f>(+SUMIFS('Қўшимча ишга тушган'!$Z:$Z,'Қўшимча ишга тушган'!$D:$D,'свод (сектор)'!$B23,'Қўшимча ишга тушган'!$AO:$AO,"&lt;01.10.2023"))</f>
        <v>0</v>
      </c>
      <c r="AO23" s="29">
        <f>(+SUMIFS('Қўшимча ишга тушган'!$AB:$AB,'Қўшимча ишга тушган'!$D:$D,'свод (сектор)'!$B23,'Қўшимча ишга тушган'!$AO:$AO,"&lt;01.10.2023"))</f>
        <v>0</v>
      </c>
      <c r="AP23" s="29">
        <f>(+SUMIFS('Қўшимча ишга тушган'!$AD:$AD,'Қўшимча ишга тушган'!$D:$D,'свод (сектор)'!$B23,'Қўшимча ишга тушган'!$AO:$AO,"&lt;01.10.2023"))</f>
        <v>0</v>
      </c>
      <c r="AQ23" s="30">
        <f>+SUMIFS('Қўшимча ишга тушган'!$AM:$AM,'Қўшимча ишга тушган'!$D:$D,'свод (сектор)'!$B23,'Қўшимча ишга тушган'!$AO:$AO,"&lt;01.10.2023")</f>
        <v>0</v>
      </c>
      <c r="AR23" s="28">
        <f>+COUNTIFS(манзилли!$D:$D,'свод (сектор)'!$B23,манзилли!$AA:$AA,"&lt;01.02.2021",манзилли!$AB:$AB,"")</f>
        <v>0</v>
      </c>
      <c r="AS23" s="29">
        <f>(+SUMIFS(манзилли!$K:$K,манзилли!$D:$D,'свод (сектор)'!$B23,манзилли!$AA:$AA,"&lt;01.02.2021",манзилли!$AB:$AB,""))</f>
        <v>0</v>
      </c>
      <c r="AT23" s="29">
        <f>(+SUMIFS(манзилли!$M:$M,манзилли!$D:$D,'свод (сектор)'!$B23,манзилли!$AA:$AA,"&lt;01.02.2021",манзилли!$AB:$AB,""))</f>
        <v>0</v>
      </c>
      <c r="AU23" s="29">
        <f>(+SUMIFS(манзилли!$Q:$Q,манзилли!$D:$D,'свод (сектор)'!$B23,манзилли!$AA:$AA,"&lt;01.02.2021",манзилли!$AB:$AB,""))</f>
        <v>0</v>
      </c>
      <c r="AV23" s="29">
        <f>(+SUMIFS(манзилли!$S:$S,манзилли!$D:$D,'свод (сектор)'!$B23,манзилли!$AA:$AA,"&lt;01.02.2021",манзилли!$AB:$AB,""))</f>
        <v>0</v>
      </c>
      <c r="AW23" s="29">
        <f>(+SUMIFS(манзилли!$U:$U,манзилли!$D:$D,'свод (сектор)'!$B23,манзилли!$AA:$AA,"&lt;01.02.2021",манзилли!$AB:$AB,""))</f>
        <v>0</v>
      </c>
      <c r="AX23" s="30">
        <f>+SUMIFS(манзилли!$Y:$Y,манзилли!$D:$D,'свод (сектор)'!$B23,манзилли!$AA:$AA,"&lt;01.02.2021",манзилли!$AB:$AB,"")</f>
        <v>0</v>
      </c>
      <c r="AY23" s="28">
        <f>+COUNTIFS(манзилли!$D:$D,'свод (сектор)'!$B23,манзилли!$AA:$AA,"&lt;01.01.2022",манзилли!$AB:$AB,"")</f>
        <v>44</v>
      </c>
      <c r="AZ23" s="29">
        <f>(+SUMIFS(манзилли!$K:$K,манзилли!$D:$D,'свод (сектор)'!$B23,манзилли!$AA:$AA,"&lt;01.01.2022",манзилли!$AB:$AB,""))</f>
        <v>777731</v>
      </c>
      <c r="BA23" s="29">
        <f>(+SUMIFS(манзилли!$M:$M,манзилли!$D:$D,'свод (сектор)'!$B23,манзилли!$AA:$AA,"&lt;01.01.2022",манзилли!$AB:$AB,""))</f>
        <v>195291</v>
      </c>
      <c r="BB23" s="29">
        <f>(+SUMIFS(манзилли!$Q:$Q,манзилли!$D:$D,'свод (сектор)'!$B23,манзилли!$AA:$AA,"&lt;01.01.2022",манзилли!$AB:$AB,""))</f>
        <v>85980</v>
      </c>
      <c r="BC23" s="29">
        <f>(+SUMIFS(манзилли!$S:$S,манзилли!$D:$D,'свод (сектор)'!$B23,манзилли!$AA:$AA,"&lt;01.01.2022",манзилли!$AB:$AB,""))</f>
        <v>40500</v>
      </c>
      <c r="BD23" s="29">
        <f>(+SUMIFS(манзилли!$U:$U,манзилли!$D:$D,'свод (сектор)'!$B23,манзилли!$AA:$AA,"&lt;01.01.2022",манзилли!$AB:$AB,""))</f>
        <v>7700</v>
      </c>
      <c r="BE23" s="30">
        <f>+SUMIFS(манзилли!$Y:$Y,манзилли!$D:$D,'свод (сектор)'!$B23,манзилли!$AA:$AA,"&lt;01.01.2022",манзилли!$AB:$AB,"")</f>
        <v>3369</v>
      </c>
      <c r="BF23" s="32">
        <f>+COUNTIFS(манзилли!$D:$D,'свод (сектор)'!$B23,манзилли!$AA:$AA,"&lt;01.01.2023",манзилли!$AA:$AA,"&gt;=01.01.2022")</f>
        <v>6</v>
      </c>
      <c r="BG23" s="29">
        <f>(+SUMIFS(манзилли!$K:$K,манзилли!$D:$D,'свод (сектор)'!$B23,манзилли!$AA:$AA,"&lt;01.01.2023",манзилли!$AA:$AA,"&gt;=01.01.2022"))</f>
        <v>96537</v>
      </c>
      <c r="BH23" s="33">
        <f>(+SUMIFS(манзилли!$M:$M,манзилли!$D:$D,'свод (сектор)'!$B23,манзилли!$AA:$AA,"&lt;01.01.2023",манзилли!$AA:$AA,"&gt;=01.01.2022"))</f>
        <v>25900</v>
      </c>
      <c r="BI23" s="33">
        <f>(+SUMIFS(манзилли!$Q:$Q,манзилли!$D:$D,'свод (сектор)'!$B23,манзилли!$AA:$AA,"&lt;01.01.2023",манзилли!$AA:$AA,"&gt;=01.01.2022"))</f>
        <v>11000</v>
      </c>
      <c r="BJ23" s="33">
        <f>(+SUMIFS(манзилли!$S:$S,манзилли!$D:$D,'свод (сектор)'!$B23,манзилли!$AA:$AA,"&lt;01.01.2023",манзилли!$AA:$AA,"&gt;=01.01.2022"))</f>
        <v>5790</v>
      </c>
      <c r="BK23" s="33">
        <f>(+SUMIFS(манзилли!$U:$U,манзилли!$D:$D,'свод (сектор)'!$B23,манзилли!$AA:$AA,"&lt;01.01.2023",манзилли!$AA:$AA,"&gt;=01.01.2022"))</f>
        <v>0</v>
      </c>
      <c r="BL23" s="34">
        <f>+SUMIFS(манзилли!$Y:$Y,манзилли!$D:$D,'свод (сектор)'!$B23,манзилли!$AA:$AA,"&lt;01.01.2023",манзилли!$AA:$AA,"&gt;=01.01.2022")</f>
        <v>120</v>
      </c>
    </row>
    <row r="24" spans="1:64" s="3" customFormat="1" ht="35.25" customHeight="1" thickBot="1">
      <c r="A24" s="12">
        <f t="shared" si="6"/>
        <v>13</v>
      </c>
      <c r="B24" s="14" t="s">
        <v>326</v>
      </c>
      <c r="C24" s="28">
        <f>+COUNTIFS(манзилли!$D:$D,'свод (сектор)'!$B24)</f>
        <v>46</v>
      </c>
      <c r="D24" s="29">
        <f>(+SUMIFS(манзилли!$K:$K,манзилли!$D:$D,'свод (сектор)'!$B24))</f>
        <v>855336.23157894739</v>
      </c>
      <c r="E24" s="29">
        <f>(+SUMIFS(манзилли!$M:$M,манзилли!$D:$D,'свод (сектор)'!$B24))</f>
        <v>313097.13157894736</v>
      </c>
      <c r="F24" s="29">
        <f>(+SUMIFS(манзилли!$Q:$Q,манзилли!$D:$D,'свод (сектор)'!$B24))</f>
        <v>115850</v>
      </c>
      <c r="G24" s="29">
        <f>(+SUMIFS(манзилли!$S:$S,манзилли!$D:$D,'свод (сектор)'!$B24))</f>
        <v>16397</v>
      </c>
      <c r="H24" s="29">
        <f>(+SUMIFS(манзилли!$U:$U,манзилли!$D:$D,'свод (сектор)'!$B24))</f>
        <v>25000</v>
      </c>
      <c r="I24" s="30">
        <f>+SUMIFS(манзилли!$Y:$Y,манзилли!$D:$D,'свод (сектор)'!$B24)</f>
        <v>1154</v>
      </c>
      <c r="J24" s="28">
        <f>+(COUNTIFS(манзилли!$L:$L,"&gt;0",манзилли!$D:$D,'свод (сектор)'!$B24)+COUNTIFS('Қўшимча ишга тушган'!$T:$T,"&gt;0",'Қўшимча ишга тушган'!$D:$D,'свод (сектор)'!$B24))</f>
        <v>28</v>
      </c>
      <c r="K24" s="29">
        <f>(+SUMIFS(манзилли!$L:$L,манзилли!$D:$D,'свод (сектор)'!$B24)+SUMIFS('Қўшимча ишга тушган'!$T:$T,'Қўшимча ишга тушган'!$D:$D,'свод (сектор)'!$B24))</f>
        <v>255630.24</v>
      </c>
      <c r="L24" s="29">
        <f>+(SUMIFS(манзилли!$N:$N,манзилли!$D:$D,'свод (сектор)'!$B24)+SUMIFS('Қўшимча ишга тушган'!$V:$V,'Қўшимча ишга тушган'!$D:$D,'свод (сектор)'!$B24))</f>
        <v>138392</v>
      </c>
      <c r="M24" s="29">
        <f>(+SUMIFS(манзилли!$R:$R,манзилли!$D:$D,'свод (сектор)'!$B24)+SUMIFS('Қўшимча ишга тушган'!$Z:$Z,'Қўшимча ишга тушган'!$D:$D,'свод (сектор)'!$B24))</f>
        <v>74386</v>
      </c>
      <c r="N24" s="29">
        <f>(+SUMIFS(манзилли!$T:$T,манзилли!$D:$D,'свод (сектор)'!$B24)+SUMIFS('Қўшимча ишга тушган'!$AB:$AB,'Қўшимча ишга тушган'!$D:$D,'свод (сектор)'!$B24))</f>
        <v>4201.2</v>
      </c>
      <c r="O24" s="30">
        <f>(+SUMIFS(манзилли!$V:$V,манзилли!$D:$D,'свод (сектор)'!$B24)+SUMIFS('Қўшимча ишга тушган'!$AD:$AD,'Қўшимча ишга тушган'!$D:$D,'свод (сектор)'!$B24))</f>
        <v>0</v>
      </c>
      <c r="P24" s="31">
        <f>+COUNTIFS(манзилли!$D:$D,'свод (сектор)'!$B24,манзилли!$AA:$AA,"&gt;31.12.2020",манзилли!$AA:$AA,"&lt;01.01.2022")</f>
        <v>34</v>
      </c>
      <c r="Q24" s="29">
        <f>(+SUMIFS(манзилли!$K:$K,манзилли!$D:$D,'свод (сектор)'!$B24,манзилли!$AA:$AA,"&gt;31.12.2020",манзилли!$AA:$AA,"&lt;01.01.2022"))</f>
        <v>715856.23157894739</v>
      </c>
      <c r="R24" s="29">
        <f>(+SUMIFS(манзилли!$M:$M,манзилли!$D:$D,'свод (сектор)'!$B24,манзилли!$AA:$AA,"&gt;31.12.2020",манзилли!$AA:$AA,"&lt;01.01.2022"))</f>
        <v>291727.13157894736</v>
      </c>
      <c r="S24" s="29">
        <f>(+SUMIFS(манзилли!$Q:$Q,манзилли!$D:$D,'свод (сектор)'!$B24,манзилли!$AA:$AA,"&gt;31.12.2020",манзилли!$AA:$AA,"&lt;01.01.2022"))</f>
        <v>97650</v>
      </c>
      <c r="T24" s="29">
        <f>(+SUMIFS(манзилли!$S:$S,манзилли!$D:$D,'свод (сектор)'!$B24,манзилли!$AA:$AA,"&gt;31.12.2020",манзилли!$AA:$AA,"&lt;01.01.2022"))</f>
        <v>15197</v>
      </c>
      <c r="U24" s="29">
        <f>(+SUMIFS(манзилли!$U:$U,манзилли!$D:$D,'свод (сектор)'!$B24,манзилли!$AA:$AA,"&gt;31.12.2020",манзилли!$AA:$AA,"&lt;01.01.2022"))</f>
        <v>16500</v>
      </c>
      <c r="V24" s="30">
        <f>+SUMIFS(манзилли!$Y:$Y,манзилли!$D:$D,'свод (сектор)'!$B24,манзилли!$AA:$AA,"&gt;31.12.2020",манзилли!$AA:$AA,"&lt;01.01.2022")</f>
        <v>978</v>
      </c>
      <c r="W24" s="28">
        <f t="shared" si="129"/>
        <v>2</v>
      </c>
      <c r="X24" s="29">
        <f t="shared" si="130"/>
        <v>14060</v>
      </c>
      <c r="Y24" s="29">
        <f t="shared" si="131"/>
        <v>6000</v>
      </c>
      <c r="Z24" s="29">
        <f t="shared" si="132"/>
        <v>8060</v>
      </c>
      <c r="AA24" s="29">
        <f t="shared" si="133"/>
        <v>0</v>
      </c>
      <c r="AB24" s="29">
        <f t="shared" si="134"/>
        <v>0</v>
      </c>
      <c r="AC24" s="30">
        <f t="shared" si="135"/>
        <v>40</v>
      </c>
      <c r="AD24" s="28">
        <f>+COUNTIFS(манзилли!$D:$D,'свод (сектор)'!$B24,манзилли!$AB:$AB,"&gt;31.12.2020",манзилли!$AA:$AA,"&gt;31.12.2020",манзилли!$AA:$AA,"&lt;01.01.2022")</f>
        <v>2</v>
      </c>
      <c r="AE24" s="29">
        <f>(+SUMIFS(манзилли!$L:$L,манзилли!$D:$D,'свод (сектор)'!$B24,манзилли!$AB:$AB,"&gt;31.12.2020",манзилли!$AA:$AA,"&gt;31.12.2020",манзилли!$AA:$AA,"&lt;01.01.2022"))</f>
        <v>14060</v>
      </c>
      <c r="AF24" s="29">
        <f>(+SUMIFS(манзилли!$N:$N,манзилли!$D:$D,'свод (сектор)'!$B24,манзилли!$AB:$AB,"&gt;31.12.2020",манзилли!$AA:$AA,"&gt;31.12.2020",манзилли!$AA:$AA,"&lt;01.01.2022"))</f>
        <v>6000</v>
      </c>
      <c r="AG24" s="29">
        <f>(+SUMIFS(манзилли!$R:$R,манзилли!$D:$D,'свод (сектор)'!$B24,манзилли!$AB:$AB,"&gt;31.12.2020",манзилли!$AA:$AA,"&gt;31.12.2020",манзилли!$AA:$AA,"&lt;01.01.2022"))</f>
        <v>8060</v>
      </c>
      <c r="AH24" s="29">
        <f>(+SUMIFS(манзилли!$T:$T,манзилли!$D:$D,'свод (сектор)'!$B24,манзилли!$AB:$AB,"&gt;31.12.2020",манзилли!$AA:$AA,"&gt;31.12.2020",манзилли!$AA:$AA,"&lt;01.01.2022"))</f>
        <v>0</v>
      </c>
      <c r="AI24" s="29">
        <f>(+SUMIFS(манзилли!$V:$V,манзилли!$D:$D,'свод (сектор)'!$B24,манзилли!$AB:$AB,"&gt;31.12.2020",манзилли!$AA:$AA,"&gt;31.12.2020",манзилли!$AA:$AA,"&lt;01.01.2022"))</f>
        <v>0</v>
      </c>
      <c r="AJ24" s="30">
        <f>+SUMIFS(манзилли!$Z:$Z,манзилли!$D:$D,'свод (сектор)'!$B24,манзилли!$AB:$AB,"&gt;31.12.2020",манзилли!$AA:$AA,"&gt;31.12.2020",манзилли!$AA:$AA,"&lt;01.01.2022")</f>
        <v>40</v>
      </c>
      <c r="AK24" s="28">
        <f>+COUNTIFS('Қўшимча ишга тушган'!$D:$D,'свод (сектор)'!B24,'Қўшимча ишга тушган'!$AO:$AO,"&lt;01.10.2023")</f>
        <v>0</v>
      </c>
      <c r="AL24" s="29">
        <f>(+SUMIFS('Қўшимча ишга тушган'!$T:$T,'Қўшимча ишга тушган'!$D:$D,'свод (сектор)'!$B24,'Қўшимча ишга тушган'!$AO:$AO,"&lt;01.10.2023"))</f>
        <v>0</v>
      </c>
      <c r="AM24" s="29">
        <f>(+SUMIFS('Қўшимча ишга тушган'!$V:$V,'Қўшимча ишга тушган'!$D:$D,'свод (сектор)'!$B24,'Қўшимча ишга тушган'!$AO:$AO,"&lt;01.10.2023"))</f>
        <v>0</v>
      </c>
      <c r="AN24" s="29">
        <f>(+SUMIFS('Қўшимча ишга тушган'!$Z:$Z,'Қўшимча ишга тушган'!$D:$D,'свод (сектор)'!$B24,'Қўшимча ишга тушган'!$AO:$AO,"&lt;01.10.2023"))</f>
        <v>0</v>
      </c>
      <c r="AO24" s="29">
        <f>(+SUMIFS('Қўшимча ишга тушган'!$AB:$AB,'Қўшимча ишга тушган'!$D:$D,'свод (сектор)'!$B24,'Қўшимча ишга тушган'!$AO:$AO,"&lt;01.10.2023"))</f>
        <v>0</v>
      </c>
      <c r="AP24" s="29">
        <f>(+SUMIFS('Қўшимча ишга тушган'!$AD:$AD,'Қўшимча ишга тушган'!$D:$D,'свод (сектор)'!$B24,'Қўшимча ишга тушган'!$AO:$AO,"&lt;01.10.2023"))</f>
        <v>0</v>
      </c>
      <c r="AQ24" s="30">
        <f>+SUMIFS('Қўшимча ишга тушган'!$AM:$AM,'Қўшимча ишга тушган'!$D:$D,'свод (сектор)'!$B24,'Қўшимча ишга тушган'!$AO:$AO,"&lt;01.10.2023")</f>
        <v>0</v>
      </c>
      <c r="AR24" s="28">
        <f>+COUNTIFS(манзилли!$D:$D,'свод (сектор)'!$B24,манзилли!$AA:$AA,"&lt;01.02.2021",манзилли!$AB:$AB,"")</f>
        <v>0</v>
      </c>
      <c r="AS24" s="29">
        <f>(+SUMIFS(манзилли!$K:$K,манзилли!$D:$D,'свод (сектор)'!$B24,манзилли!$AA:$AA,"&lt;01.02.2021",манзилли!$AB:$AB,""))</f>
        <v>0</v>
      </c>
      <c r="AT24" s="29">
        <f>(+SUMIFS(манзилли!$M:$M,манзилли!$D:$D,'свод (сектор)'!$B24,манзилли!$AA:$AA,"&lt;01.02.2021",манзилли!$AB:$AB,""))</f>
        <v>0</v>
      </c>
      <c r="AU24" s="29">
        <f>(+SUMIFS(манзилли!$Q:$Q,манзилли!$D:$D,'свод (сектор)'!$B24,манзилли!$AA:$AA,"&lt;01.02.2021",манзилли!$AB:$AB,""))</f>
        <v>0</v>
      </c>
      <c r="AV24" s="29">
        <f>(+SUMIFS(манзилли!$S:$S,манзилли!$D:$D,'свод (сектор)'!$B24,манзилли!$AA:$AA,"&lt;01.02.2021",манзилли!$AB:$AB,""))</f>
        <v>0</v>
      </c>
      <c r="AW24" s="29">
        <f>(+SUMIFS(манзилли!$U:$U,манзилли!$D:$D,'свод (сектор)'!$B24,манзилли!$AA:$AA,"&lt;01.02.2021",манзилли!$AB:$AB,""))</f>
        <v>0</v>
      </c>
      <c r="AX24" s="30">
        <f>+SUMIFS(манзилли!$Y:$Y,манзилли!$D:$D,'свод (сектор)'!$B24,манзилли!$AA:$AA,"&lt;01.02.2021",манзилли!$AB:$AB,"")</f>
        <v>0</v>
      </c>
      <c r="AY24" s="28">
        <f>+COUNTIFS(манзилли!$D:$D,'свод (сектор)'!$B24,манзилли!$AA:$AA,"&lt;01.01.2022",манзилли!$AB:$AB,"")</f>
        <v>27</v>
      </c>
      <c r="AZ24" s="29">
        <f>(+SUMIFS(манзилли!$K:$K,манзилли!$D:$D,'свод (сектор)'!$B24,манзилли!$AA:$AA,"&lt;01.01.2022",манзилли!$AB:$AB,""))</f>
        <v>556984.23157894739</v>
      </c>
      <c r="BA24" s="29">
        <f>(+SUMIFS(манзилли!$M:$M,манзилли!$D:$D,'свод (сектор)'!$B24,манзилли!$AA:$AA,"&lt;01.01.2022",манзилли!$AB:$AB,""))</f>
        <v>161555.13157894736</v>
      </c>
      <c r="BB24" s="29">
        <f>(+SUMIFS(манзилли!$Q:$Q,манзилли!$D:$D,'свод (сектор)'!$B24,манзилли!$AA:$AA,"&lt;01.01.2022",манзилли!$AB:$AB,""))</f>
        <v>68950</v>
      </c>
      <c r="BC24" s="29">
        <f>(+SUMIFS(манзилли!$S:$S,манзилли!$D:$D,'свод (сектор)'!$B24,манзилли!$AA:$AA,"&lt;01.01.2022",манзилли!$AB:$AB,""))</f>
        <v>15197</v>
      </c>
      <c r="BD24" s="29">
        <f>(+SUMIFS(манзилли!$U:$U,манзилли!$D:$D,'свод (сектор)'!$B24,манзилли!$AA:$AA,"&lt;01.01.2022",манзилли!$AB:$AB,""))</f>
        <v>16500</v>
      </c>
      <c r="BE24" s="30">
        <f>+SUMIFS(манзилли!$Y:$Y,манзилли!$D:$D,'свод (сектор)'!$B24,манзилли!$AA:$AA,"&lt;01.01.2022",манзилли!$AB:$AB,"")</f>
        <v>734</v>
      </c>
      <c r="BF24" s="28">
        <f>+COUNTIFS(манзилли!$D:$D,'свод (сектор)'!$B24,манзилли!$AA:$AA,"&lt;01.01.2023",манзилли!$AA:$AA,"&gt;=01.01.2022")</f>
        <v>7</v>
      </c>
      <c r="BG24" s="29">
        <f>(+SUMIFS(манзилли!$K:$K,манзилли!$D:$D,'свод (сектор)'!$B24,манзилли!$AA:$AA,"&lt;01.01.2023",манзилли!$AA:$AA,"&gt;=01.01.2022"))</f>
        <v>134960</v>
      </c>
      <c r="BH24" s="29">
        <f>(+SUMIFS(манзилли!$M:$M,манзилли!$D:$D,'свод (сектор)'!$B24,манзилли!$AA:$AA,"&lt;01.01.2023",манзилли!$AA:$AA,"&gt;=01.01.2022"))</f>
        <v>19900</v>
      </c>
      <c r="BI24" s="29">
        <f>(+SUMIFS(манзилли!$Q:$Q,манзилли!$D:$D,'свод (сектор)'!$B24,манзилли!$AA:$AA,"&lt;01.01.2023",манзилли!$AA:$AA,"&gt;=01.01.2022"))</f>
        <v>15150</v>
      </c>
      <c r="BJ24" s="29">
        <f>(+SUMIFS(манзилли!$S:$S,манзилли!$D:$D,'свод (сектор)'!$B24,манзилли!$AA:$AA,"&lt;01.01.2023",манзилли!$AA:$AA,"&gt;=01.01.2022"))</f>
        <v>1200</v>
      </c>
      <c r="BK24" s="29">
        <f>(+SUMIFS(манзилли!$U:$U,манзилли!$D:$D,'свод (сектор)'!$B24,манзилли!$AA:$AA,"&lt;01.01.2023",манзилли!$AA:$AA,"&gt;=01.01.2022"))</f>
        <v>8500</v>
      </c>
      <c r="BL24" s="30">
        <f>+SUMIFS(манзилли!$Y:$Y,манзилли!$D:$D,'свод (сектор)'!$B24,манзилли!$AA:$AA,"&lt;01.01.2023",манзилли!$AA:$AA,"&gt;=01.01.2022")</f>
        <v>155</v>
      </c>
    </row>
    <row r="25" spans="1:64" s="3" customFormat="1" ht="35.25" customHeight="1" thickBot="1">
      <c r="A25" s="148" t="s">
        <v>1776</v>
      </c>
      <c r="B25" s="149"/>
      <c r="C25" s="41">
        <f>+SUM(C26:C27)</f>
        <v>81</v>
      </c>
      <c r="D25" s="41">
        <f t="shared" ref="D25" si="199">+SUM(D26:D27)</f>
        <v>471232.22011578945</v>
      </c>
      <c r="E25" s="41">
        <f t="shared" ref="E25" si="200">+SUM(E26:E27)</f>
        <v>125933.50745578947</v>
      </c>
      <c r="F25" s="41">
        <f t="shared" ref="F25" si="201">+SUM(F26:F27)</f>
        <v>60452.212659999997</v>
      </c>
      <c r="G25" s="41">
        <f t="shared" ref="G25" si="202">+SUM(G26:G27)</f>
        <v>13155</v>
      </c>
      <c r="H25" s="41">
        <f t="shared" ref="H25" si="203">+SUM(H26:H27)</f>
        <v>14500</v>
      </c>
      <c r="I25" s="41">
        <f t="shared" ref="I25" si="204">+SUM(I26:I27)</f>
        <v>1141</v>
      </c>
      <c r="J25" s="41">
        <f t="shared" ref="J25" si="205">+SUM(J26:J27)</f>
        <v>57</v>
      </c>
      <c r="K25" s="41">
        <f t="shared" ref="K25" si="206">+SUM(K26:K27)</f>
        <v>136465.60000000001</v>
      </c>
      <c r="L25" s="41">
        <f t="shared" ref="L25" si="207">+SUM(L26:L27)</f>
        <v>11096</v>
      </c>
      <c r="M25" s="41">
        <f t="shared" ref="M25" si="208">+SUM(M26:M27)</f>
        <v>33692</v>
      </c>
      <c r="N25" s="41">
        <f t="shared" ref="N25" si="209">+SUM(N26:N27)</f>
        <v>8988</v>
      </c>
      <c r="O25" s="41">
        <f t="shared" ref="O25" si="210">+SUM(O26:O27)</f>
        <v>0</v>
      </c>
      <c r="P25" s="41">
        <f t="shared" ref="P25" si="211">+SUM(P26:P27)</f>
        <v>74</v>
      </c>
      <c r="Q25" s="41">
        <f t="shared" ref="Q25" si="212">+SUM(Q26:Q27)</f>
        <v>453276.22011578945</v>
      </c>
      <c r="R25" s="41">
        <f t="shared" ref="R25" si="213">+SUM(R26:R27)</f>
        <v>118453.50745578947</v>
      </c>
      <c r="S25" s="41">
        <f t="shared" ref="S25" si="214">+SUM(S26:S27)</f>
        <v>54302.212659999997</v>
      </c>
      <c r="T25" s="41">
        <f t="shared" ref="T25" si="215">+SUM(T26:T27)</f>
        <v>12735</v>
      </c>
      <c r="U25" s="41">
        <f t="shared" ref="U25" si="216">+SUM(U26:U27)</f>
        <v>14500</v>
      </c>
      <c r="V25" s="41">
        <f t="shared" ref="V25" si="217">+SUM(V26:V27)</f>
        <v>1029</v>
      </c>
      <c r="W25" s="41">
        <f t="shared" ref="W25" si="218">+SUM(W26:W27)</f>
        <v>4</v>
      </c>
      <c r="X25" s="41">
        <f t="shared" ref="X25" si="219">+SUM(X26:X27)</f>
        <v>6398</v>
      </c>
      <c r="Y25" s="41">
        <f t="shared" ref="Y25" si="220">+SUM(Y26:Y27)</f>
        <v>3541</v>
      </c>
      <c r="Z25" s="41">
        <f t="shared" ref="Z25" si="221">+SUM(Z26:Z27)</f>
        <v>2857</v>
      </c>
      <c r="AA25" s="41">
        <f t="shared" ref="AA25" si="222">+SUM(AA26:AA27)</f>
        <v>0</v>
      </c>
      <c r="AB25" s="41">
        <f t="shared" ref="AB25" si="223">+SUM(AB26:AB27)</f>
        <v>0</v>
      </c>
      <c r="AC25" s="41">
        <f t="shared" ref="AC25" si="224">+SUM(AC26:AC27)</f>
        <v>20</v>
      </c>
      <c r="AD25" s="41">
        <f t="shared" ref="AD25" si="225">+SUM(AD26:AD27)</f>
        <v>4</v>
      </c>
      <c r="AE25" s="41">
        <f t="shared" ref="AE25" si="226">+SUM(AE26:AE27)</f>
        <v>6398</v>
      </c>
      <c r="AF25" s="41">
        <f t="shared" ref="AF25" si="227">+SUM(AF26:AF27)</f>
        <v>3541</v>
      </c>
      <c r="AG25" s="41">
        <f t="shared" ref="AG25" si="228">+SUM(AG26:AG27)</f>
        <v>2857</v>
      </c>
      <c r="AH25" s="41">
        <f t="shared" ref="AH25" si="229">+SUM(AH26:AH27)</f>
        <v>0</v>
      </c>
      <c r="AI25" s="41">
        <f t="shared" ref="AI25" si="230">+SUM(AI26:AI27)</f>
        <v>0</v>
      </c>
      <c r="AJ25" s="41">
        <f t="shared" ref="AJ25" si="231">+SUM(AJ26:AJ27)</f>
        <v>20</v>
      </c>
      <c r="AK25" s="41">
        <f t="shared" ref="AK25" si="232">+SUM(AK26:AK27)</f>
        <v>0</v>
      </c>
      <c r="AL25" s="41">
        <f t="shared" ref="AL25" si="233">+SUM(AL26:AL27)</f>
        <v>0</v>
      </c>
      <c r="AM25" s="41">
        <f t="shared" ref="AM25" si="234">+SUM(AM26:AM27)</f>
        <v>0</v>
      </c>
      <c r="AN25" s="41">
        <f t="shared" ref="AN25" si="235">+SUM(AN26:AN27)</f>
        <v>0</v>
      </c>
      <c r="AO25" s="41">
        <f t="shared" ref="AO25" si="236">+SUM(AO26:AO27)</f>
        <v>0</v>
      </c>
      <c r="AP25" s="41">
        <f t="shared" ref="AP25" si="237">+SUM(AP26:AP27)</f>
        <v>0</v>
      </c>
      <c r="AQ25" s="41">
        <f t="shared" ref="AQ25" si="238">+SUM(AQ26:AQ27)</f>
        <v>0</v>
      </c>
      <c r="AR25" s="41">
        <f t="shared" ref="AR25" si="239">+SUM(AR26:AR27)</f>
        <v>0</v>
      </c>
      <c r="AS25" s="41">
        <f t="shared" ref="AS25" si="240">+SUM(AS26:AS27)</f>
        <v>0</v>
      </c>
      <c r="AT25" s="41">
        <f t="shared" ref="AT25" si="241">+SUM(AT26:AT27)</f>
        <v>0</v>
      </c>
      <c r="AU25" s="41">
        <f t="shared" ref="AU25" si="242">+SUM(AU26:AU27)</f>
        <v>0</v>
      </c>
      <c r="AV25" s="41">
        <f t="shared" ref="AV25" si="243">+SUM(AV26:AV27)</f>
        <v>0</v>
      </c>
      <c r="AW25" s="41">
        <f t="shared" ref="AW25" si="244">+SUM(AW26:AW27)</f>
        <v>0</v>
      </c>
      <c r="AX25" s="41">
        <f t="shared" ref="AX25" si="245">+SUM(AX26:AX27)</f>
        <v>0</v>
      </c>
      <c r="AY25" s="41">
        <f t="shared" ref="AY25" si="246">+SUM(AY26:AY27)</f>
        <v>61</v>
      </c>
      <c r="AZ25" s="41">
        <f t="shared" ref="AZ25" si="247">+SUM(AZ26:AZ27)</f>
        <v>441012.33011578943</v>
      </c>
      <c r="BA25" s="41">
        <f t="shared" ref="BA25" si="248">+SUM(BA26:BA27)</f>
        <v>113472.01745578946</v>
      </c>
      <c r="BB25" s="41">
        <f t="shared" ref="BB25" si="249">+SUM(BB26:BB27)</f>
        <v>47019.812659999996</v>
      </c>
      <c r="BC25" s="41">
        <f t="shared" ref="BC25" si="250">+SUM(BC26:BC27)</f>
        <v>12735</v>
      </c>
      <c r="BD25" s="41">
        <f t="shared" ref="BD25" si="251">+SUM(BD26:BD27)</f>
        <v>14500</v>
      </c>
      <c r="BE25" s="41">
        <f t="shared" ref="BE25" si="252">+SUM(BE26:BE27)</f>
        <v>927</v>
      </c>
      <c r="BF25" s="41">
        <f t="shared" ref="BF25" si="253">+SUM(BF26:BF27)</f>
        <v>2</v>
      </c>
      <c r="BG25" s="41">
        <f t="shared" ref="BG25" si="254">+SUM(BG26:BG27)</f>
        <v>14326</v>
      </c>
      <c r="BH25" s="41">
        <f t="shared" ref="BH25" si="255">+SUM(BH26:BH27)</f>
        <v>5000</v>
      </c>
      <c r="BI25" s="41">
        <f t="shared" ref="BI25" si="256">+SUM(BI26:BI27)</f>
        <v>5000</v>
      </c>
      <c r="BJ25" s="41">
        <f t="shared" ref="BJ25" si="257">+SUM(BJ26:BJ27)</f>
        <v>420</v>
      </c>
      <c r="BK25" s="41">
        <f t="shared" ref="BK25" si="258">+SUM(BK26:BK27)</f>
        <v>0</v>
      </c>
      <c r="BL25" s="41">
        <f t="shared" ref="BL25" si="259">+SUM(BL26:BL27)</f>
        <v>65</v>
      </c>
    </row>
    <row r="26" spans="1:64" s="3" customFormat="1" ht="35.25" customHeight="1">
      <c r="A26" s="12">
        <f>+A24+1</f>
        <v>14</v>
      </c>
      <c r="B26" s="11" t="s">
        <v>187</v>
      </c>
      <c r="C26" s="28">
        <f>+COUNTIFS(манзилли!$D:$D,'свод (сектор)'!$B26)</f>
        <v>43</v>
      </c>
      <c r="D26" s="29">
        <f>(+SUMIFS(манзилли!$K:$K,манзилли!$D:$D,'свод (сектор)'!$B26))</f>
        <v>311794.22011578945</v>
      </c>
      <c r="E26" s="29">
        <f>(+SUMIFS(манзилли!$M:$M,манзилли!$D:$D,'свод (сектор)'!$B26))</f>
        <v>53173.50745578947</v>
      </c>
      <c r="F26" s="29">
        <f>(+SUMIFS(манзилли!$Q:$Q,манзилли!$D:$D,'свод (сектор)'!$B26))</f>
        <v>37634.212659999997</v>
      </c>
      <c r="G26" s="29">
        <f>(+SUMIFS(манзилли!$S:$S,манзилли!$D:$D,'свод (сектор)'!$B26))</f>
        <v>7455</v>
      </c>
      <c r="H26" s="29">
        <f>(+SUMIFS(манзилли!$U:$U,манзилли!$D:$D,'свод (сектор)'!$B26))</f>
        <v>14000</v>
      </c>
      <c r="I26" s="30">
        <f>+SUMIFS(манзилли!$Y:$Y,манзилли!$D:$D,'свод (сектор)'!$B26)</f>
        <v>714</v>
      </c>
      <c r="J26" s="28">
        <f>+(COUNTIFS(манзилли!$L:$L,"&gt;0",манзилли!$D:$D,'свод (сектор)'!$B26)+COUNTIFS('Қўшимча ишга тушган'!$T:$T,"&gt;0",'Қўшимча ишга тушган'!$D:$D,'свод (сектор)'!$B26))</f>
        <v>31</v>
      </c>
      <c r="K26" s="29">
        <f>(+SUMIFS(манзилли!$L:$L,манзилли!$D:$D,'свод (сектор)'!$B26)+SUMIFS('Қўшимча ишга тушган'!$T:$T,'Қўшимча ишга тушган'!$D:$D,'свод (сектор)'!$B26))</f>
        <v>66515</v>
      </c>
      <c r="L26" s="29">
        <f>+(SUMIFS(манзилли!$N:$N,манзилли!$D:$D,'свод (сектор)'!$B26)+SUMIFS('Қўшимча ишга тушган'!$V:$V,'Қўшимча ишга тушган'!$D:$D,'свод (сектор)'!$B26))</f>
        <v>5521</v>
      </c>
      <c r="M26" s="29">
        <f>(+SUMIFS(манзилли!$R:$R,манзилли!$D:$D,'свод (сектор)'!$B26)+SUMIFS('Қўшимча ишга тушган'!$Z:$Z,'Қўшимча ишга тушган'!$D:$D,'свод (сектор)'!$B26))</f>
        <v>19684</v>
      </c>
      <c r="N26" s="29">
        <f>(+SUMIFS(манзилли!$T:$T,манзилли!$D:$D,'свод (сектор)'!$B26)+SUMIFS('Қўшимча ишга тушган'!$AB:$AB,'Қўшимча ишга тушган'!$D:$D,'свод (сектор)'!$B26))</f>
        <v>4050</v>
      </c>
      <c r="O26" s="30">
        <f>(+SUMIFS(манзилли!$V:$V,манзилли!$D:$D,'свод (сектор)'!$B26)+SUMIFS('Қўшимча ишга тушган'!$AD:$AD,'Қўшимча ишга тушган'!$D:$D,'свод (сектор)'!$B26))</f>
        <v>0</v>
      </c>
      <c r="P26" s="31">
        <f>+COUNTIFS(манзилли!$D:$D,'свод (сектор)'!$B26,манзилли!$AA:$AA,"&gt;31.12.2020",манзилли!$AA:$AA,"&lt;01.01.2022")</f>
        <v>39</v>
      </c>
      <c r="Q26" s="29">
        <f>(+SUMIFS(манзилли!$K:$K,манзилли!$D:$D,'свод (сектор)'!$B26,манзилли!$AA:$AA,"&gt;31.12.2020",манзилли!$AA:$AA,"&lt;01.01.2022"))</f>
        <v>302738.22011578945</v>
      </c>
      <c r="R26" s="29">
        <f>(+SUMIFS(манзилли!$M:$M,манзилли!$D:$D,'свод (сектор)'!$B26,манзилли!$AA:$AA,"&gt;31.12.2020",манзилли!$AA:$AA,"&lt;01.01.2022"))</f>
        <v>48993.50745578947</v>
      </c>
      <c r="S26" s="29">
        <f>(+SUMIFS(манзилли!$Q:$Q,манзилли!$D:$D,'свод (сектор)'!$B26,манзилли!$AA:$AA,"&gt;31.12.2020",манзилли!$AA:$AA,"&lt;01.01.2022"))</f>
        <v>37084.212659999997</v>
      </c>
      <c r="T26" s="29">
        <f>(+SUMIFS(манзилли!$S:$S,манзилли!$D:$D,'свод (сектор)'!$B26,манзилли!$AA:$AA,"&gt;31.12.2020",манзилли!$AA:$AA,"&lt;01.01.2022"))</f>
        <v>7035</v>
      </c>
      <c r="U26" s="29">
        <f>(+SUMIFS(манзилли!$U:$U,манзилли!$D:$D,'свод (сектор)'!$B26,манзилли!$AA:$AA,"&gt;31.12.2020",манзилли!$AA:$AA,"&lt;01.01.2022"))</f>
        <v>14000</v>
      </c>
      <c r="V26" s="30">
        <f>+SUMIFS(манзилли!$Y:$Y,манзилли!$D:$D,'свод (сектор)'!$B26,манзилли!$AA:$AA,"&gt;31.12.2020",манзилли!$AA:$AA,"&lt;01.01.2022")</f>
        <v>687</v>
      </c>
      <c r="W26" s="28">
        <f t="shared" si="4"/>
        <v>3</v>
      </c>
      <c r="X26" s="29">
        <f t="shared" si="5"/>
        <v>5698</v>
      </c>
      <c r="Y26" s="29">
        <f t="shared" si="5"/>
        <v>3341</v>
      </c>
      <c r="Z26" s="29">
        <f t="shared" si="5"/>
        <v>2357</v>
      </c>
      <c r="AA26" s="29">
        <f t="shared" si="5"/>
        <v>0</v>
      </c>
      <c r="AB26" s="29">
        <f t="shared" si="5"/>
        <v>0</v>
      </c>
      <c r="AC26" s="30">
        <f t="shared" si="5"/>
        <v>12</v>
      </c>
      <c r="AD26" s="28">
        <f>+COUNTIFS(манзилли!$D:$D,'свод (сектор)'!$B26,манзилли!$AB:$AB,"&gt;31.12.2020",манзилли!$AA:$AA,"&gt;31.12.2020",манзилли!$AA:$AA,"&lt;01.01.2022")</f>
        <v>3</v>
      </c>
      <c r="AE26" s="29">
        <f>(+SUMIFS(манзилли!$L:$L,манзилли!$D:$D,'свод (сектор)'!$B26,манзилли!$AB:$AB,"&gt;31.12.2020",манзилли!$AA:$AA,"&gt;31.12.2020",манзилли!$AA:$AA,"&lt;01.01.2022"))</f>
        <v>5698</v>
      </c>
      <c r="AF26" s="29">
        <f>(+SUMIFS(манзилли!$N:$N,манзилли!$D:$D,'свод (сектор)'!$B26,манзилли!$AB:$AB,"&gt;31.12.2020",манзилли!$AA:$AA,"&gt;31.12.2020",манзилли!$AA:$AA,"&lt;01.01.2022"))</f>
        <v>3341</v>
      </c>
      <c r="AG26" s="29">
        <f>(+SUMIFS(манзилли!$R:$R,манзилли!$D:$D,'свод (сектор)'!$B26,манзилли!$AB:$AB,"&gt;31.12.2020",манзилли!$AA:$AA,"&gt;31.12.2020",манзилли!$AA:$AA,"&lt;01.01.2022"))</f>
        <v>2357</v>
      </c>
      <c r="AH26" s="29">
        <f>(+SUMIFS(манзилли!$T:$T,манзилли!$D:$D,'свод (сектор)'!$B26,манзилли!$AB:$AB,"&gt;31.12.2020",манзилли!$AA:$AA,"&gt;31.12.2020",манзилли!$AA:$AA,"&lt;01.01.2022"))</f>
        <v>0</v>
      </c>
      <c r="AI26" s="29">
        <f>(+SUMIFS(манзилли!$V:$V,манзилли!$D:$D,'свод (сектор)'!$B26,манзилли!$AB:$AB,"&gt;31.12.2020",манзилли!$AA:$AA,"&gt;31.12.2020",манзилли!$AA:$AA,"&lt;01.01.2022"))</f>
        <v>0</v>
      </c>
      <c r="AJ26" s="30">
        <f>+SUMIFS(манзилли!$Z:$Z,манзилли!$D:$D,'свод (сектор)'!$B26,манзилли!$AB:$AB,"&gt;31.12.2020",манзилли!$AA:$AA,"&gt;31.12.2020",манзилли!$AA:$AA,"&lt;01.01.2022")</f>
        <v>12</v>
      </c>
      <c r="AK26" s="28">
        <f>+COUNTIFS('Қўшимча ишга тушган'!$D:$D,'свод (сектор)'!B26,'Қўшимча ишга тушган'!$AO:$AO,"&lt;01.10.2023")</f>
        <v>0</v>
      </c>
      <c r="AL26" s="29">
        <f>(+SUMIFS('Қўшимча ишга тушган'!$T:$T,'Қўшимча ишга тушган'!$D:$D,'свод (сектор)'!$B26,'Қўшимча ишга тушган'!$AO:$AO,"&lt;01.10.2023"))</f>
        <v>0</v>
      </c>
      <c r="AM26" s="29">
        <f>(+SUMIFS('Қўшимча ишга тушган'!$V:$V,'Қўшимча ишга тушган'!$D:$D,'свод (сектор)'!$B26,'Қўшимча ишга тушган'!$AO:$AO,"&lt;01.10.2023"))</f>
        <v>0</v>
      </c>
      <c r="AN26" s="29">
        <f>(+SUMIFS('Қўшимча ишга тушган'!$Z:$Z,'Қўшимча ишга тушган'!$D:$D,'свод (сектор)'!$B26,'Қўшимча ишга тушган'!$AO:$AO,"&lt;01.10.2023"))</f>
        <v>0</v>
      </c>
      <c r="AO26" s="29">
        <f>(+SUMIFS('Қўшимча ишга тушган'!$AB:$AB,'Қўшимча ишга тушган'!$D:$D,'свод (сектор)'!$B26,'Қўшимча ишга тушган'!$AO:$AO,"&lt;01.10.2023"))</f>
        <v>0</v>
      </c>
      <c r="AP26" s="29">
        <f>(+SUMIFS('Қўшимча ишга тушган'!$AD:$AD,'Қўшимча ишга тушган'!$D:$D,'свод (сектор)'!$B26,'Қўшимча ишга тушган'!$AO:$AO,"&lt;01.10.2023"))</f>
        <v>0</v>
      </c>
      <c r="AQ26" s="30">
        <f>+SUMIFS('Қўшимча ишга тушган'!$AM:$AM,'Қўшимча ишга тушган'!$D:$D,'свод (сектор)'!$B26,'Қўшимча ишга тушган'!$AO:$AO,"&lt;01.10.2023")</f>
        <v>0</v>
      </c>
      <c r="AR26" s="28">
        <f>+COUNTIFS(манзилли!$D:$D,'свод (сектор)'!$B26,манзилли!$AA:$AA,"&lt;01.02.2021",манзилли!$AB:$AB,"")</f>
        <v>0</v>
      </c>
      <c r="AS26" s="29">
        <f>(+SUMIFS(манзилли!$K:$K,манзилли!$D:$D,'свод (сектор)'!$B26,манзилли!$AA:$AA,"&lt;01.02.2021",манзилли!$AB:$AB,""))</f>
        <v>0</v>
      </c>
      <c r="AT26" s="29">
        <f>(+SUMIFS(манзилли!$M:$M,манзилли!$D:$D,'свод (сектор)'!$B26,манзилли!$AA:$AA,"&lt;01.02.2021",манзилли!$AB:$AB,""))</f>
        <v>0</v>
      </c>
      <c r="AU26" s="29">
        <f>(+SUMIFS(манзилли!$Q:$Q,манзилли!$D:$D,'свод (сектор)'!$B26,манзилли!$AA:$AA,"&lt;01.02.2021",манзилли!$AB:$AB,""))</f>
        <v>0</v>
      </c>
      <c r="AV26" s="29">
        <f>(+SUMIFS(манзилли!$S:$S,манзилли!$D:$D,'свод (сектор)'!$B26,манзилли!$AA:$AA,"&lt;01.02.2021",манзилли!$AB:$AB,""))</f>
        <v>0</v>
      </c>
      <c r="AW26" s="29">
        <f>(+SUMIFS(манзилли!$U:$U,манзилли!$D:$D,'свод (сектор)'!$B26,манзилли!$AA:$AA,"&lt;01.02.2021",манзилли!$AB:$AB,""))</f>
        <v>0</v>
      </c>
      <c r="AX26" s="30">
        <f>+SUMIFS(манзилли!$Y:$Y,манзилли!$D:$D,'свод (сектор)'!$B26,манзилли!$AA:$AA,"&lt;01.02.2021",манзилли!$AB:$AB,"")</f>
        <v>0</v>
      </c>
      <c r="AY26" s="28">
        <f>+COUNTIFS(манзилли!$D:$D,'свод (сектор)'!$B26,манзилли!$AA:$AA,"&lt;01.01.2022",манзилли!$AB:$AB,"")</f>
        <v>36</v>
      </c>
      <c r="AZ26" s="29">
        <f>(+SUMIFS(манзилли!$K:$K,манзилли!$D:$D,'свод (сектор)'!$B26,манзилли!$AA:$AA,"&lt;01.01.2022",манзилли!$AB:$AB,""))</f>
        <v>299024.33011578943</v>
      </c>
      <c r="BA26" s="29">
        <f>(+SUMIFS(манзилли!$M:$M,манзилли!$D:$D,'свод (сектор)'!$B26,манзилли!$AA:$AA,"&lt;01.01.2022",манзилли!$AB:$AB,""))</f>
        <v>47637.017455789472</v>
      </c>
      <c r="BB26" s="29">
        <f>(+SUMIFS(манзилли!$Q:$Q,манзилли!$D:$D,'свод (сектор)'!$B26,манзилли!$AA:$AA,"&lt;01.01.2022",манзилли!$AB:$AB,""))</f>
        <v>34726.812659999996</v>
      </c>
      <c r="BC26" s="29">
        <f>(+SUMIFS(манзилли!$S:$S,манзилли!$D:$D,'свод (сектор)'!$B26,манзилли!$AA:$AA,"&lt;01.01.2022",манзилли!$AB:$AB,""))</f>
        <v>7035</v>
      </c>
      <c r="BD26" s="29">
        <f>(+SUMIFS(манзилли!$U:$U,манзилли!$D:$D,'свод (сектор)'!$B26,манзилли!$AA:$AA,"&lt;01.01.2022",манзилли!$AB:$AB,""))</f>
        <v>14000</v>
      </c>
      <c r="BE26" s="30">
        <f>+SUMIFS(манзилли!$Y:$Y,манзилли!$D:$D,'свод (сектор)'!$B26,манзилли!$AA:$AA,"&lt;01.01.2022",манзилли!$AB:$AB,"")</f>
        <v>661</v>
      </c>
      <c r="BF26" s="28">
        <f>+COUNTIFS(манзилли!$D:$D,'свод (сектор)'!$B26,манзилли!$AA:$AA,"&lt;01.01.2023",манзилли!$AA:$AA,"&gt;=01.01.2022")</f>
        <v>1</v>
      </c>
      <c r="BG26" s="29">
        <f>(+SUMIFS(манзилли!$K:$K,манзилли!$D:$D,'свод (сектор)'!$B26,манзилли!$AA:$AA,"&lt;01.01.2023",манзилли!$AA:$AA,"&gt;=01.01.2022"))</f>
        <v>6326</v>
      </c>
      <c r="BH26" s="29">
        <f>(+SUMIFS(манзилли!$M:$M,манзилли!$D:$D,'свод (сектор)'!$B26,манзилли!$AA:$AA,"&lt;01.01.2023",манзилли!$AA:$AA,"&gt;=01.01.2022"))</f>
        <v>2000</v>
      </c>
      <c r="BI26" s="29">
        <f>(+SUMIFS(манзилли!$Q:$Q,манзилли!$D:$D,'свод (сектор)'!$B26,манзилли!$AA:$AA,"&lt;01.01.2023",манзилли!$AA:$AA,"&gt;=01.01.2022"))</f>
        <v>0</v>
      </c>
      <c r="BJ26" s="29">
        <f>(+SUMIFS(манзилли!$S:$S,манзилли!$D:$D,'свод (сектор)'!$B26,манзилли!$AA:$AA,"&lt;01.01.2023",манзилли!$AA:$AA,"&gt;=01.01.2022"))</f>
        <v>420</v>
      </c>
      <c r="BK26" s="29">
        <f>(+SUMIFS(манзилли!$U:$U,манзилли!$D:$D,'свод (сектор)'!$B26,манзилли!$AA:$AA,"&lt;01.01.2023",манзилли!$AA:$AA,"&gt;=01.01.2022"))</f>
        <v>0</v>
      </c>
      <c r="BL26" s="30">
        <f>+SUMIFS(манзилли!$Y:$Y,манзилли!$D:$D,'свод (сектор)'!$B26,манзилли!$AA:$AA,"&lt;01.01.2023",манзилли!$AA:$AA,"&gt;=01.01.2022")</f>
        <v>5</v>
      </c>
    </row>
    <row r="27" spans="1:64" s="3" customFormat="1" ht="35.25" customHeight="1" thickBot="1">
      <c r="A27" s="15">
        <f t="shared" si="6"/>
        <v>15</v>
      </c>
      <c r="B27" s="16" t="s">
        <v>381</v>
      </c>
      <c r="C27" s="28">
        <f>+COUNTIFS(манзилли!$D:$D,'свод (сектор)'!$B27)</f>
        <v>38</v>
      </c>
      <c r="D27" s="29">
        <f>(+SUMIFS(манзилли!$K:$K,манзилли!$D:$D,'свод (сектор)'!$B27))</f>
        <v>159438</v>
      </c>
      <c r="E27" s="29">
        <f>(+SUMIFS(манзилли!$M:$M,манзилли!$D:$D,'свод (сектор)'!$B27))</f>
        <v>72760</v>
      </c>
      <c r="F27" s="29">
        <f>(+SUMIFS(манзилли!$Q:$Q,манзилли!$D:$D,'свод (сектор)'!$B27))</f>
        <v>22818</v>
      </c>
      <c r="G27" s="29">
        <f>(+SUMIFS(манзилли!$S:$S,манзилли!$D:$D,'свод (сектор)'!$B27))</f>
        <v>5700</v>
      </c>
      <c r="H27" s="29">
        <f>(+SUMIFS(манзилли!$U:$U,манзилли!$D:$D,'свод (сектор)'!$B27))</f>
        <v>500</v>
      </c>
      <c r="I27" s="30">
        <f>+SUMIFS(манзилли!$Y:$Y,манзилли!$D:$D,'свод (сектор)'!$B27)</f>
        <v>427</v>
      </c>
      <c r="J27" s="28">
        <f>+(COUNTIFS(манзилли!$L:$L,"&gt;0",манзилли!$D:$D,'свод (сектор)'!$B27)+COUNTIFS('Қўшимча ишга тушган'!$T:$T,"&gt;0",'Қўшимча ишга тушган'!$D:$D,'свод (сектор)'!$B27))</f>
        <v>26</v>
      </c>
      <c r="K27" s="29">
        <f>(+SUMIFS(манзилли!$L:$L,манзилли!$D:$D,'свод (сектор)'!$B27)+SUMIFS('Қўшимча ишга тушган'!$T:$T,'Қўшимча ишга тушган'!$D:$D,'свод (сектор)'!$B27))</f>
        <v>69950.600000000006</v>
      </c>
      <c r="L27" s="29">
        <f>+(SUMIFS(манзилли!$N:$N,манзилли!$D:$D,'свод (сектор)'!$B27)+SUMIFS('Қўшимча ишга тушган'!$V:$V,'Қўшимча ишга тушган'!$D:$D,'свод (сектор)'!$B27))</f>
        <v>5575</v>
      </c>
      <c r="M27" s="29">
        <f>(+SUMIFS(манзилли!$R:$R,манзилли!$D:$D,'свод (сектор)'!$B27)+SUMIFS('Қўшимча ишга тушган'!$Z:$Z,'Қўшимча ишга тушган'!$D:$D,'свод (сектор)'!$B27))</f>
        <v>14008</v>
      </c>
      <c r="N27" s="29">
        <f>(+SUMIFS(манзилли!$T:$T,манзилли!$D:$D,'свод (сектор)'!$B27)+SUMIFS('Қўшимча ишга тушган'!$AB:$AB,'Қўшимча ишга тушган'!$D:$D,'свод (сектор)'!$B27))</f>
        <v>4938</v>
      </c>
      <c r="O27" s="30">
        <f>(+SUMIFS(манзилли!$V:$V,манзилли!$D:$D,'свод (сектор)'!$B27)+SUMIFS('Қўшимча ишга тушган'!$AD:$AD,'Қўшимча ишга тушган'!$D:$D,'свод (сектор)'!$B27))</f>
        <v>0</v>
      </c>
      <c r="P27" s="31">
        <f>+COUNTIFS(манзилли!$D:$D,'свод (сектор)'!$B27,манзилли!$AA:$AA,"&gt;31.12.2020",манзилли!$AA:$AA,"&lt;01.01.2022")</f>
        <v>35</v>
      </c>
      <c r="Q27" s="29">
        <f>(+SUMIFS(манзилли!$K:$K,манзилли!$D:$D,'свод (сектор)'!$B27,манзилли!$AA:$AA,"&gt;31.12.2020",манзилли!$AA:$AA,"&lt;01.01.2022"))</f>
        <v>150538</v>
      </c>
      <c r="R27" s="29">
        <f>(+SUMIFS(манзилли!$M:$M,манзилли!$D:$D,'свод (сектор)'!$B27,манзилли!$AA:$AA,"&gt;31.12.2020",манзилли!$AA:$AA,"&lt;01.01.2022"))</f>
        <v>69460</v>
      </c>
      <c r="S27" s="29">
        <f>(+SUMIFS(манзилли!$Q:$Q,манзилли!$D:$D,'свод (сектор)'!$B27,манзилли!$AA:$AA,"&gt;31.12.2020",манзилли!$AA:$AA,"&lt;01.01.2022"))</f>
        <v>17218</v>
      </c>
      <c r="T27" s="29">
        <f>(+SUMIFS(манзилли!$S:$S,манзилли!$D:$D,'свод (сектор)'!$B27,манзилли!$AA:$AA,"&gt;31.12.2020",манзилли!$AA:$AA,"&lt;01.01.2022"))</f>
        <v>5700</v>
      </c>
      <c r="U27" s="29">
        <f>(+SUMIFS(манзилли!$U:$U,манзилли!$D:$D,'свод (сектор)'!$B27,манзилли!$AA:$AA,"&gt;31.12.2020",манзилли!$AA:$AA,"&lt;01.01.2022"))</f>
        <v>500</v>
      </c>
      <c r="V27" s="30">
        <f>+SUMIFS(манзилли!$Y:$Y,манзилли!$D:$D,'свод (сектор)'!$B27,манзилли!$AA:$AA,"&gt;31.12.2020",манзилли!$AA:$AA,"&lt;01.01.2022")</f>
        <v>342</v>
      </c>
      <c r="W27" s="28">
        <f t="shared" si="4"/>
        <v>1</v>
      </c>
      <c r="X27" s="29">
        <f t="shared" si="5"/>
        <v>700</v>
      </c>
      <c r="Y27" s="29">
        <f t="shared" si="5"/>
        <v>200</v>
      </c>
      <c r="Z27" s="29">
        <f t="shared" si="5"/>
        <v>500</v>
      </c>
      <c r="AA27" s="29">
        <f t="shared" si="5"/>
        <v>0</v>
      </c>
      <c r="AB27" s="29">
        <f t="shared" si="5"/>
        <v>0</v>
      </c>
      <c r="AC27" s="30">
        <f t="shared" si="5"/>
        <v>8</v>
      </c>
      <c r="AD27" s="28">
        <f>+COUNTIFS(манзилли!$D:$D,'свод (сектор)'!$B27,манзилли!$AB:$AB,"&gt;31.12.2020",манзилли!$AA:$AA,"&gt;31.12.2020",манзилли!$AA:$AA,"&lt;01.01.2022")</f>
        <v>1</v>
      </c>
      <c r="AE27" s="29">
        <f>(+SUMIFS(манзилли!$L:$L,манзилли!$D:$D,'свод (сектор)'!$B27,манзилли!$AB:$AB,"&gt;31.12.2020",манзилли!$AA:$AA,"&gt;31.12.2020",манзилли!$AA:$AA,"&lt;01.01.2022"))</f>
        <v>700</v>
      </c>
      <c r="AF27" s="29">
        <f>(+SUMIFS(манзилли!$N:$N,манзилли!$D:$D,'свод (сектор)'!$B27,манзилли!$AB:$AB,"&gt;31.12.2020",манзилли!$AA:$AA,"&gt;31.12.2020",манзилли!$AA:$AA,"&lt;01.01.2022"))</f>
        <v>200</v>
      </c>
      <c r="AG27" s="29">
        <f>(+SUMIFS(манзилли!$R:$R,манзилли!$D:$D,'свод (сектор)'!$B27,манзилли!$AB:$AB,"&gt;31.12.2020",манзилли!$AA:$AA,"&gt;31.12.2020",манзилли!$AA:$AA,"&lt;01.01.2022"))</f>
        <v>500</v>
      </c>
      <c r="AH27" s="29">
        <f>(+SUMIFS(манзилли!$T:$T,манзилли!$D:$D,'свод (сектор)'!$B27,манзилли!$AB:$AB,"&gt;31.12.2020",манзилли!$AA:$AA,"&gt;31.12.2020",манзилли!$AA:$AA,"&lt;01.01.2022"))</f>
        <v>0</v>
      </c>
      <c r="AI27" s="29">
        <f>(+SUMIFS(манзилли!$V:$V,манзилли!$D:$D,'свод (сектор)'!$B27,манзилли!$AB:$AB,"&gt;31.12.2020",манзилли!$AA:$AA,"&gt;31.12.2020",манзилли!$AA:$AA,"&lt;01.01.2022"))</f>
        <v>0</v>
      </c>
      <c r="AJ27" s="30">
        <f>+SUMIFS(манзилли!$Z:$Z,манзилли!$D:$D,'свод (сектор)'!$B27,манзилли!$AB:$AB,"&gt;31.12.2020",манзилли!$AA:$AA,"&gt;31.12.2020",манзилли!$AA:$AA,"&lt;01.01.2022")</f>
        <v>8</v>
      </c>
      <c r="AK27" s="28">
        <f>+COUNTIFS('Қўшимча ишга тушган'!$D:$D,'свод (сектор)'!B27,'Қўшимча ишга тушган'!$AO:$AO,"&lt;01.10.2023")</f>
        <v>0</v>
      </c>
      <c r="AL27" s="29">
        <f>(+SUMIFS('Қўшимча ишга тушган'!$T:$T,'Қўшимча ишга тушган'!$D:$D,'свод (сектор)'!$B27,'Қўшимча ишга тушган'!$AO:$AO,"&lt;01.10.2023"))</f>
        <v>0</v>
      </c>
      <c r="AM27" s="29">
        <f>(+SUMIFS('Қўшимча ишга тушган'!$V:$V,'Қўшимча ишга тушган'!$D:$D,'свод (сектор)'!$B27,'Қўшимча ишга тушган'!$AO:$AO,"&lt;01.10.2023"))</f>
        <v>0</v>
      </c>
      <c r="AN27" s="29">
        <f>(+SUMIFS('Қўшимча ишга тушган'!$Z:$Z,'Қўшимча ишга тушган'!$D:$D,'свод (сектор)'!$B27,'Қўшимча ишга тушган'!$AO:$AO,"&lt;01.10.2023"))</f>
        <v>0</v>
      </c>
      <c r="AO27" s="29">
        <f>(+SUMIFS('Қўшимча ишга тушган'!$AB:$AB,'Қўшимча ишга тушган'!$D:$D,'свод (сектор)'!$B27,'Қўшимча ишга тушган'!$AO:$AO,"&lt;01.10.2023"))</f>
        <v>0</v>
      </c>
      <c r="AP27" s="29">
        <f>(+SUMIFS('Қўшимча ишга тушган'!$AD:$AD,'Қўшимча ишга тушган'!$D:$D,'свод (сектор)'!$B27,'Қўшимча ишга тушган'!$AO:$AO,"&lt;01.10.2023"))</f>
        <v>0</v>
      </c>
      <c r="AQ27" s="30">
        <f>+SUMIFS('Қўшимча ишга тушган'!$AM:$AM,'Қўшимча ишга тушган'!$D:$D,'свод (сектор)'!$B27,'Қўшимча ишга тушган'!$AO:$AO,"&lt;01.10.2023")</f>
        <v>0</v>
      </c>
      <c r="AR27" s="28">
        <f>+COUNTIFS(манзилли!$D:$D,'свод (сектор)'!$B27,манзилли!$AA:$AA,"&lt;01.02.2021",манзилли!$AB:$AB,"")</f>
        <v>0</v>
      </c>
      <c r="AS27" s="29">
        <f>(+SUMIFS(манзилли!$K:$K,манзилли!$D:$D,'свод (сектор)'!$B27,манзилли!$AA:$AA,"&lt;01.02.2021",манзилли!$AB:$AB,""))</f>
        <v>0</v>
      </c>
      <c r="AT27" s="29">
        <f>(+SUMIFS(манзилли!$M:$M,манзилли!$D:$D,'свод (сектор)'!$B27,манзилли!$AA:$AA,"&lt;01.02.2021",манзилли!$AB:$AB,""))</f>
        <v>0</v>
      </c>
      <c r="AU27" s="29">
        <f>(+SUMIFS(манзилли!$Q:$Q,манзилли!$D:$D,'свод (сектор)'!$B27,манзилли!$AA:$AA,"&lt;01.02.2021",манзилли!$AB:$AB,""))</f>
        <v>0</v>
      </c>
      <c r="AV27" s="29">
        <f>(+SUMIFS(манзилли!$S:$S,манзилли!$D:$D,'свод (сектор)'!$B27,манзилли!$AA:$AA,"&lt;01.02.2021",манзилли!$AB:$AB,""))</f>
        <v>0</v>
      </c>
      <c r="AW27" s="29">
        <f>(+SUMIFS(манзилли!$U:$U,манзилли!$D:$D,'свод (сектор)'!$B27,манзилли!$AA:$AA,"&lt;01.02.2021",манзилли!$AB:$AB,""))</f>
        <v>0</v>
      </c>
      <c r="AX27" s="30">
        <f>+SUMIFS(манзилли!$Y:$Y,манзилли!$D:$D,'свод (сектор)'!$B27,манзилли!$AA:$AA,"&lt;01.02.2021",манзилли!$AB:$AB,"")</f>
        <v>0</v>
      </c>
      <c r="AY27" s="28">
        <f>+COUNTIFS(манзилли!$D:$D,'свод (сектор)'!$B27,манзилли!$AA:$AA,"&lt;01.01.2022",манзилли!$AB:$AB,"")</f>
        <v>25</v>
      </c>
      <c r="AZ27" s="29">
        <f>(+SUMIFS(манзилли!$K:$K,манзилли!$D:$D,'свод (сектор)'!$B27,манзилли!$AA:$AA,"&lt;01.01.2022",манзилли!$AB:$AB,""))</f>
        <v>141988</v>
      </c>
      <c r="BA27" s="29">
        <f>(+SUMIFS(манзилли!$M:$M,манзилли!$D:$D,'свод (сектор)'!$B27,манзилли!$AA:$AA,"&lt;01.01.2022",манзилли!$AB:$AB,""))</f>
        <v>65835</v>
      </c>
      <c r="BB27" s="29">
        <f>(+SUMIFS(манзилли!$Q:$Q,манзилли!$D:$D,'свод (сектор)'!$B27,манзилли!$AA:$AA,"&lt;01.01.2022",манзилли!$AB:$AB,""))</f>
        <v>12293</v>
      </c>
      <c r="BC27" s="29">
        <f>(+SUMIFS(манзилли!$S:$S,манзилли!$D:$D,'свод (сектор)'!$B27,манзилли!$AA:$AA,"&lt;01.01.2022",манзилли!$AB:$AB,""))</f>
        <v>5700</v>
      </c>
      <c r="BD27" s="29">
        <f>(+SUMIFS(манзилли!$U:$U,манзилли!$D:$D,'свод (сектор)'!$B27,манзилли!$AA:$AA,"&lt;01.01.2022",манзилли!$AB:$AB,""))</f>
        <v>500</v>
      </c>
      <c r="BE27" s="30">
        <f>+SUMIFS(манзилли!$Y:$Y,манзилли!$D:$D,'свод (сектор)'!$B27,манзилли!$AA:$AA,"&lt;01.01.2022",манзилли!$AB:$AB,"")</f>
        <v>266</v>
      </c>
      <c r="BF27" s="28">
        <f>+COUNTIFS(манзилли!$D:$D,'свод (сектор)'!$B27,манзилли!$AA:$AA,"&lt;01.01.2023",манзилли!$AA:$AA,"&gt;=01.01.2022")</f>
        <v>1</v>
      </c>
      <c r="BG27" s="29">
        <f>(+SUMIFS(манзилли!$K:$K,манзилли!$D:$D,'свод (сектор)'!$B27,манзилли!$AA:$AA,"&lt;01.01.2023",манзилли!$AA:$AA,"&gt;=01.01.2022"))</f>
        <v>8000</v>
      </c>
      <c r="BH27" s="29">
        <f>(+SUMIFS(манзилли!$M:$M,манзилли!$D:$D,'свод (сектор)'!$B27,манзилли!$AA:$AA,"&lt;01.01.2023",манзилли!$AA:$AA,"&gt;=01.01.2022"))</f>
        <v>3000</v>
      </c>
      <c r="BI27" s="29">
        <f>(+SUMIFS(манзилли!$Q:$Q,манзилли!$D:$D,'свод (сектор)'!$B27,манзилли!$AA:$AA,"&lt;01.01.2023",манзилли!$AA:$AA,"&gt;=01.01.2022"))</f>
        <v>5000</v>
      </c>
      <c r="BJ27" s="29">
        <f>(+SUMIFS(манзилли!$S:$S,манзилли!$D:$D,'свод (сектор)'!$B27,манзилли!$AA:$AA,"&lt;01.01.2023",манзилли!$AA:$AA,"&gt;=01.01.2022"))</f>
        <v>0</v>
      </c>
      <c r="BK27" s="29">
        <f>(+SUMIFS(манзилли!$U:$U,манзилли!$D:$D,'свод (сектор)'!$B27,манзилли!$AA:$AA,"&lt;01.01.2023",манзилли!$AA:$AA,"&gt;=01.01.2022"))</f>
        <v>0</v>
      </c>
      <c r="BL27" s="30">
        <f>+SUMIFS(манзилли!$Y:$Y,манзилли!$D:$D,'свод (сектор)'!$B27,манзилли!$AA:$AA,"&lt;01.01.2023",манзилли!$AA:$AA,"&gt;=01.01.2022")</f>
        <v>60</v>
      </c>
    </row>
  </sheetData>
  <mergeCells count="56">
    <mergeCell ref="Y4:AB4"/>
    <mergeCell ref="AF4:AI4"/>
    <mergeCell ref="AJ4:AJ5"/>
    <mergeCell ref="E4:H4"/>
    <mergeCell ref="I4:I5"/>
    <mergeCell ref="J4:J5"/>
    <mergeCell ref="K4:K5"/>
    <mergeCell ref="Q4:Q5"/>
    <mergeCell ref="R4:U4"/>
    <mergeCell ref="V4:V5"/>
    <mergeCell ref="W4:W5"/>
    <mergeCell ref="X4:X5"/>
    <mergeCell ref="BH4:BK4"/>
    <mergeCell ref="BL4:BL5"/>
    <mergeCell ref="L4:O4"/>
    <mergeCell ref="P4:P5"/>
    <mergeCell ref="AL4:AL5"/>
    <mergeCell ref="AM4:AP4"/>
    <mergeCell ref="AQ4:AQ5"/>
    <mergeCell ref="AR4:AR5"/>
    <mergeCell ref="AS4:AS5"/>
    <mergeCell ref="AT4:AW4"/>
    <mergeCell ref="AC4:AC5"/>
    <mergeCell ref="AD4:AD5"/>
    <mergeCell ref="AE4:AE5"/>
    <mergeCell ref="BE4:BE5"/>
    <mergeCell ref="BF4:BF5"/>
    <mergeCell ref="AK4:AK5"/>
    <mergeCell ref="AY4:AY5"/>
    <mergeCell ref="AZ4:AZ5"/>
    <mergeCell ref="BA4:BD4"/>
    <mergeCell ref="AR3:AX3"/>
    <mergeCell ref="BG4:BG5"/>
    <mergeCell ref="A1:BL1"/>
    <mergeCell ref="A2:A5"/>
    <mergeCell ref="B2:B5"/>
    <mergeCell ref="C2:I3"/>
    <mergeCell ref="J2:O3"/>
    <mergeCell ref="P2:V3"/>
    <mergeCell ref="W2:AC3"/>
    <mergeCell ref="AD2:AQ2"/>
    <mergeCell ref="AR2:AX2"/>
    <mergeCell ref="BF2:BL3"/>
    <mergeCell ref="AD3:AJ3"/>
    <mergeCell ref="AK3:AQ3"/>
    <mergeCell ref="C4:C5"/>
    <mergeCell ref="D4:D5"/>
    <mergeCell ref="AY2:BE3"/>
    <mergeCell ref="AX4:AX5"/>
    <mergeCell ref="A6:B6"/>
    <mergeCell ref="A25:B25"/>
    <mergeCell ref="A7:B7"/>
    <mergeCell ref="A11:B11"/>
    <mergeCell ref="A15:B15"/>
    <mergeCell ref="A19:B19"/>
    <mergeCell ref="A22:B22"/>
  </mergeCells>
  <printOptions horizontalCentered="1"/>
  <pageMargins left="0.19685039370078741" right="0.19685039370078741" top="0.39370078740157483" bottom="0.19685039370078741" header="0.19685039370078741" footer="0.19685039370078741"/>
  <pageSetup paperSize="9" scale="42" fitToHeight="10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81"/>
  <sheetViews>
    <sheetView showZeros="0" tabSelected="1" view="pageBreakPreview" zoomScale="70" zoomScaleNormal="55" zoomScaleSheetLayoutView="70" workbookViewId="0">
      <selection activeCell="X14" sqref="X14"/>
    </sheetView>
  </sheetViews>
  <sheetFormatPr defaultColWidth="9.140625" defaultRowHeight="15" outlineLevelCol="1"/>
  <cols>
    <col min="1" max="1" width="5.140625" style="1" customWidth="1"/>
    <col min="2" max="2" width="31.140625" style="4" customWidth="1"/>
    <col min="3" max="3" width="8.5703125" style="1" customWidth="1"/>
    <col min="4" max="4" width="15.42578125" style="1" customWidth="1"/>
    <col min="5" max="6" width="13.140625" style="1" hidden="1" customWidth="1" outlineLevel="1"/>
    <col min="7" max="8" width="15.140625" style="1" hidden="1" customWidth="1" outlineLevel="1"/>
    <col min="9" max="9" width="11.85546875" style="1" customWidth="1" collapsed="1"/>
    <col min="10" max="10" width="9.140625" style="1" customWidth="1"/>
    <col min="11" max="11" width="13.140625" style="1" customWidth="1"/>
    <col min="12" max="13" width="13.140625" style="1" hidden="1" customWidth="1" outlineLevel="1"/>
    <col min="14" max="15" width="15.140625" style="1" hidden="1" customWidth="1" outlineLevel="1"/>
    <col min="16" max="16" width="8.5703125" style="1" customWidth="1" collapsed="1"/>
    <col min="17" max="17" width="15.42578125" style="1" customWidth="1"/>
    <col min="18" max="19" width="13.140625" style="1" hidden="1" customWidth="1" outlineLevel="1"/>
    <col min="20" max="21" width="15.140625" style="1" hidden="1" customWidth="1" outlineLevel="1"/>
    <col min="22" max="22" width="11.85546875" style="1" customWidth="1" collapsed="1"/>
    <col min="23" max="23" width="8.5703125" style="1" customWidth="1"/>
    <col min="24" max="24" width="15.42578125" style="1" customWidth="1"/>
    <col min="25" max="26" width="13.140625" style="1" hidden="1" customWidth="1" outlineLevel="1"/>
    <col min="27" max="28" width="15.140625" style="1" hidden="1" customWidth="1" outlineLevel="1"/>
    <col min="29" max="29" width="11.85546875" style="1" customWidth="1" collapsed="1"/>
    <col min="30" max="30" width="8.5703125" style="1" customWidth="1"/>
    <col min="31" max="31" width="15.42578125" style="1" customWidth="1"/>
    <col min="32" max="33" width="13.140625" style="1" hidden="1" customWidth="1" outlineLevel="1"/>
    <col min="34" max="35" width="15.140625" style="1" hidden="1" customWidth="1" outlineLevel="1"/>
    <col min="36" max="36" width="11.85546875" style="1" customWidth="1" collapsed="1"/>
    <col min="37" max="37" width="8.5703125" style="1" customWidth="1"/>
    <col min="38" max="38" width="15.42578125" style="1" customWidth="1"/>
    <col min="39" max="40" width="13.140625" style="1" hidden="1" customWidth="1" outlineLevel="1"/>
    <col min="41" max="42" width="15.140625" style="1" hidden="1" customWidth="1" outlineLevel="1"/>
    <col min="43" max="43" width="11.85546875" style="1" customWidth="1" collapsed="1"/>
    <col min="44" max="44" width="8.5703125" style="1" customWidth="1"/>
    <col min="45" max="45" width="15.42578125" style="1" customWidth="1"/>
    <col min="46" max="47" width="13.140625" style="1" hidden="1" customWidth="1" outlineLevel="1"/>
    <col min="48" max="49" width="15.140625" style="1" hidden="1" customWidth="1" outlineLevel="1"/>
    <col min="50" max="50" width="11.85546875" style="1" customWidth="1" collapsed="1"/>
    <col min="51" max="51" width="8.5703125" style="1" customWidth="1"/>
    <col min="52" max="52" width="15.42578125" style="1" customWidth="1"/>
    <col min="53" max="54" width="13.140625" style="1" hidden="1" customWidth="1" outlineLevel="1"/>
    <col min="55" max="56" width="15.140625" style="1" hidden="1" customWidth="1" outlineLevel="1"/>
    <col min="57" max="57" width="11.85546875" style="1" customWidth="1" collapsed="1"/>
    <col min="58" max="58" width="8.5703125" style="1" customWidth="1"/>
    <col min="59" max="59" width="15.42578125" style="1" customWidth="1"/>
    <col min="60" max="61" width="13.140625" style="1" hidden="1" customWidth="1" outlineLevel="1"/>
    <col min="62" max="63" width="15.140625" style="1" hidden="1" customWidth="1" outlineLevel="1"/>
    <col min="64" max="64" width="11.85546875" style="1" customWidth="1" collapsed="1"/>
    <col min="65" max="16384" width="9.140625" style="1"/>
  </cols>
  <sheetData>
    <row r="1" spans="1:64" ht="74.25" customHeight="1" thickBot="1">
      <c r="A1" s="140" t="s">
        <v>2019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</row>
    <row r="2" spans="1:64" s="5" customFormat="1" ht="26.25" customHeight="1" thickBot="1">
      <c r="A2" s="127" t="s">
        <v>72</v>
      </c>
      <c r="B2" s="127" t="s">
        <v>443</v>
      </c>
      <c r="C2" s="127" t="s">
        <v>79</v>
      </c>
      <c r="D2" s="127"/>
      <c r="E2" s="127"/>
      <c r="F2" s="127"/>
      <c r="G2" s="127"/>
      <c r="H2" s="127"/>
      <c r="I2" s="127"/>
      <c r="J2" s="127" t="s">
        <v>80</v>
      </c>
      <c r="K2" s="127"/>
      <c r="L2" s="127"/>
      <c r="M2" s="127"/>
      <c r="N2" s="127"/>
      <c r="O2" s="127"/>
      <c r="P2" s="127" t="s">
        <v>1769</v>
      </c>
      <c r="Q2" s="127"/>
      <c r="R2" s="127"/>
      <c r="S2" s="127"/>
      <c r="T2" s="127"/>
      <c r="U2" s="127"/>
      <c r="V2" s="127"/>
      <c r="W2" s="128" t="s">
        <v>2041</v>
      </c>
      <c r="X2" s="129"/>
      <c r="Y2" s="129"/>
      <c r="Z2" s="129"/>
      <c r="AA2" s="129"/>
      <c r="AB2" s="129"/>
      <c r="AC2" s="130"/>
      <c r="AD2" s="137" t="s">
        <v>1770</v>
      </c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9"/>
      <c r="AR2" s="141" t="s">
        <v>2075</v>
      </c>
      <c r="AS2" s="142"/>
      <c r="AT2" s="142"/>
      <c r="AU2" s="142"/>
      <c r="AV2" s="142"/>
      <c r="AW2" s="142"/>
      <c r="AX2" s="143"/>
      <c r="AY2" s="127" t="s">
        <v>73</v>
      </c>
      <c r="AZ2" s="127"/>
      <c r="BA2" s="127"/>
      <c r="BB2" s="127"/>
      <c r="BC2" s="127"/>
      <c r="BD2" s="127"/>
      <c r="BE2" s="127"/>
      <c r="BF2" s="127" t="s">
        <v>1780</v>
      </c>
      <c r="BG2" s="127"/>
      <c r="BH2" s="127"/>
      <c r="BI2" s="127"/>
      <c r="BJ2" s="127"/>
      <c r="BK2" s="127"/>
      <c r="BL2" s="127"/>
    </row>
    <row r="3" spans="1:64" s="5" customFormat="1" ht="50.25" customHeight="1" thickBot="1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31"/>
      <c r="X3" s="132"/>
      <c r="Y3" s="132"/>
      <c r="Z3" s="132"/>
      <c r="AA3" s="132"/>
      <c r="AB3" s="132"/>
      <c r="AC3" s="133"/>
      <c r="AD3" s="127" t="s">
        <v>2043</v>
      </c>
      <c r="AE3" s="127"/>
      <c r="AF3" s="127"/>
      <c r="AG3" s="127"/>
      <c r="AH3" s="127"/>
      <c r="AI3" s="127"/>
      <c r="AJ3" s="127"/>
      <c r="AK3" s="127" t="s">
        <v>2042</v>
      </c>
      <c r="AL3" s="127"/>
      <c r="AM3" s="127"/>
      <c r="AN3" s="127"/>
      <c r="AO3" s="127"/>
      <c r="AP3" s="127"/>
      <c r="AQ3" s="127"/>
      <c r="AR3" s="134" t="s">
        <v>74</v>
      </c>
      <c r="AS3" s="134"/>
      <c r="AT3" s="134"/>
      <c r="AU3" s="134"/>
      <c r="AV3" s="134"/>
      <c r="AW3" s="134"/>
      <c r="AX3" s="134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</row>
    <row r="4" spans="1:64" s="5" customFormat="1" ht="15" customHeight="1" thickBot="1">
      <c r="A4" s="127"/>
      <c r="B4" s="127"/>
      <c r="C4" s="127" t="s">
        <v>75</v>
      </c>
      <c r="D4" s="127" t="s">
        <v>1765</v>
      </c>
      <c r="E4" s="127" t="s">
        <v>82</v>
      </c>
      <c r="F4" s="127"/>
      <c r="G4" s="127"/>
      <c r="H4" s="127"/>
      <c r="I4" s="127" t="s">
        <v>81</v>
      </c>
      <c r="J4" s="127" t="s">
        <v>75</v>
      </c>
      <c r="K4" s="127" t="s">
        <v>1765</v>
      </c>
      <c r="L4" s="127" t="s">
        <v>82</v>
      </c>
      <c r="M4" s="127"/>
      <c r="N4" s="127"/>
      <c r="O4" s="127"/>
      <c r="P4" s="127" t="s">
        <v>75</v>
      </c>
      <c r="Q4" s="127" t="s">
        <v>1765</v>
      </c>
      <c r="R4" s="127" t="s">
        <v>82</v>
      </c>
      <c r="S4" s="127"/>
      <c r="T4" s="127"/>
      <c r="U4" s="127"/>
      <c r="V4" s="127" t="s">
        <v>76</v>
      </c>
      <c r="W4" s="127" t="s">
        <v>75</v>
      </c>
      <c r="X4" s="127" t="s">
        <v>1765</v>
      </c>
      <c r="Y4" s="127" t="s">
        <v>82</v>
      </c>
      <c r="Z4" s="127"/>
      <c r="AA4" s="127"/>
      <c r="AB4" s="127"/>
      <c r="AC4" s="127" t="s">
        <v>81</v>
      </c>
      <c r="AD4" s="127" t="s">
        <v>75</v>
      </c>
      <c r="AE4" s="127" t="s">
        <v>1765</v>
      </c>
      <c r="AF4" s="127" t="s">
        <v>82</v>
      </c>
      <c r="AG4" s="127"/>
      <c r="AH4" s="127"/>
      <c r="AI4" s="127"/>
      <c r="AJ4" s="127" t="s">
        <v>81</v>
      </c>
      <c r="AK4" s="127" t="s">
        <v>75</v>
      </c>
      <c r="AL4" s="127" t="s">
        <v>1765</v>
      </c>
      <c r="AM4" s="127" t="s">
        <v>82</v>
      </c>
      <c r="AN4" s="127"/>
      <c r="AO4" s="127"/>
      <c r="AP4" s="127"/>
      <c r="AQ4" s="127" t="s">
        <v>81</v>
      </c>
      <c r="AR4" s="127" t="s">
        <v>75</v>
      </c>
      <c r="AS4" s="127" t="s">
        <v>1765</v>
      </c>
      <c r="AT4" s="127" t="s">
        <v>82</v>
      </c>
      <c r="AU4" s="127"/>
      <c r="AV4" s="127"/>
      <c r="AW4" s="127"/>
      <c r="AX4" s="127" t="s">
        <v>81</v>
      </c>
      <c r="AY4" s="127" t="s">
        <v>75</v>
      </c>
      <c r="AZ4" s="127" t="s">
        <v>1765</v>
      </c>
      <c r="BA4" s="127" t="s">
        <v>82</v>
      </c>
      <c r="BB4" s="127"/>
      <c r="BC4" s="127"/>
      <c r="BD4" s="127"/>
      <c r="BE4" s="127" t="s">
        <v>81</v>
      </c>
      <c r="BF4" s="127" t="s">
        <v>75</v>
      </c>
      <c r="BG4" s="127" t="s">
        <v>1765</v>
      </c>
      <c r="BH4" s="127" t="s">
        <v>82</v>
      </c>
      <c r="BI4" s="127"/>
      <c r="BJ4" s="127"/>
      <c r="BK4" s="127"/>
      <c r="BL4" s="127" t="s">
        <v>76</v>
      </c>
    </row>
    <row r="5" spans="1:64" s="5" customFormat="1" ht="51.75" customHeight="1" thickBot="1">
      <c r="A5" s="127"/>
      <c r="B5" s="127"/>
      <c r="C5" s="127"/>
      <c r="D5" s="127"/>
      <c r="E5" s="45" t="s">
        <v>1766</v>
      </c>
      <c r="F5" s="45" t="s">
        <v>83</v>
      </c>
      <c r="G5" s="45" t="s">
        <v>1767</v>
      </c>
      <c r="H5" s="45" t="s">
        <v>1768</v>
      </c>
      <c r="I5" s="127"/>
      <c r="J5" s="127"/>
      <c r="K5" s="127"/>
      <c r="L5" s="45" t="s">
        <v>1766</v>
      </c>
      <c r="M5" s="45" t="s">
        <v>83</v>
      </c>
      <c r="N5" s="45" t="s">
        <v>1767</v>
      </c>
      <c r="O5" s="45" t="s">
        <v>1768</v>
      </c>
      <c r="P5" s="127"/>
      <c r="Q5" s="127"/>
      <c r="R5" s="45" t="s">
        <v>1766</v>
      </c>
      <c r="S5" s="45" t="s">
        <v>83</v>
      </c>
      <c r="T5" s="45" t="s">
        <v>1767</v>
      </c>
      <c r="U5" s="45" t="s">
        <v>1768</v>
      </c>
      <c r="V5" s="127"/>
      <c r="W5" s="127"/>
      <c r="X5" s="127"/>
      <c r="Y5" s="45" t="s">
        <v>1766</v>
      </c>
      <c r="Z5" s="45" t="s">
        <v>83</v>
      </c>
      <c r="AA5" s="45" t="s">
        <v>1767</v>
      </c>
      <c r="AB5" s="45" t="s">
        <v>1768</v>
      </c>
      <c r="AC5" s="127"/>
      <c r="AD5" s="127"/>
      <c r="AE5" s="127"/>
      <c r="AF5" s="45" t="s">
        <v>1766</v>
      </c>
      <c r="AG5" s="45" t="s">
        <v>83</v>
      </c>
      <c r="AH5" s="45" t="s">
        <v>1767</v>
      </c>
      <c r="AI5" s="45" t="s">
        <v>1768</v>
      </c>
      <c r="AJ5" s="127"/>
      <c r="AK5" s="127"/>
      <c r="AL5" s="127"/>
      <c r="AM5" s="45" t="s">
        <v>1766</v>
      </c>
      <c r="AN5" s="45" t="s">
        <v>83</v>
      </c>
      <c r="AO5" s="45" t="s">
        <v>1767</v>
      </c>
      <c r="AP5" s="45" t="s">
        <v>1768</v>
      </c>
      <c r="AQ5" s="127"/>
      <c r="AR5" s="127"/>
      <c r="AS5" s="127"/>
      <c r="AT5" s="45" t="s">
        <v>1766</v>
      </c>
      <c r="AU5" s="45" t="s">
        <v>83</v>
      </c>
      <c r="AV5" s="45" t="s">
        <v>1767</v>
      </c>
      <c r="AW5" s="45" t="s">
        <v>1768</v>
      </c>
      <c r="AX5" s="127"/>
      <c r="AY5" s="127"/>
      <c r="AZ5" s="127"/>
      <c r="BA5" s="45" t="s">
        <v>1766</v>
      </c>
      <c r="BB5" s="45" t="s">
        <v>83</v>
      </c>
      <c r="BC5" s="45" t="s">
        <v>1767</v>
      </c>
      <c r="BD5" s="45" t="s">
        <v>1768</v>
      </c>
      <c r="BE5" s="127"/>
      <c r="BF5" s="127"/>
      <c r="BG5" s="127"/>
      <c r="BH5" s="45" t="s">
        <v>1766</v>
      </c>
      <c r="BI5" s="45" t="s">
        <v>83</v>
      </c>
      <c r="BJ5" s="45" t="s">
        <v>1767</v>
      </c>
      <c r="BK5" s="45" t="s">
        <v>1768</v>
      </c>
      <c r="BL5" s="127"/>
    </row>
    <row r="6" spans="1:64" s="44" customFormat="1" ht="45.75" customHeight="1" thickBot="1">
      <c r="A6" s="135" t="s">
        <v>77</v>
      </c>
      <c r="B6" s="136"/>
      <c r="C6" s="42">
        <f>+C7+C12+C17+C22+C27+C32+C37+C42+C47+C52+C57+C62+C67+C72+C77</f>
        <v>968</v>
      </c>
      <c r="D6" s="43">
        <f t="shared" ref="D6:BE6" si="0">+D7+D12+D17+D22+D27+D32+D37+D42+D47+D52+D57+D62+D67+D72+D77</f>
        <v>8565835.251694737</v>
      </c>
      <c r="E6" s="43">
        <f t="shared" si="0"/>
        <v>3294405.9390347367</v>
      </c>
      <c r="F6" s="43">
        <f t="shared" si="0"/>
        <v>1631107.51266</v>
      </c>
      <c r="G6" s="43">
        <f t="shared" si="0"/>
        <v>214321</v>
      </c>
      <c r="H6" s="43">
        <f t="shared" si="0"/>
        <v>139395</v>
      </c>
      <c r="I6" s="43">
        <f t="shared" si="0"/>
        <v>20232</v>
      </c>
      <c r="J6" s="43">
        <f t="shared" si="0"/>
        <v>590</v>
      </c>
      <c r="K6" s="43">
        <f t="shared" si="0"/>
        <v>1528094.28</v>
      </c>
      <c r="L6" s="43">
        <f t="shared" si="0"/>
        <v>309283.20000000001</v>
      </c>
      <c r="M6" s="43">
        <f t="shared" si="0"/>
        <v>573966</v>
      </c>
      <c r="N6" s="43">
        <f t="shared" si="0"/>
        <v>63244.399999999994</v>
      </c>
      <c r="O6" s="43">
        <f t="shared" si="0"/>
        <v>0</v>
      </c>
      <c r="P6" s="43">
        <f t="shared" si="0"/>
        <v>699</v>
      </c>
      <c r="Q6" s="43">
        <f t="shared" si="0"/>
        <v>6587027.9516947363</v>
      </c>
      <c r="R6" s="43">
        <f t="shared" si="0"/>
        <v>2629395.9390347367</v>
      </c>
      <c r="S6" s="43">
        <f t="shared" si="0"/>
        <v>1061254.51266</v>
      </c>
      <c r="T6" s="43">
        <f t="shared" si="0"/>
        <v>163990</v>
      </c>
      <c r="U6" s="43">
        <f t="shared" si="0"/>
        <v>117995</v>
      </c>
      <c r="V6" s="43">
        <f t="shared" si="0"/>
        <v>14954</v>
      </c>
      <c r="W6" s="43">
        <f t="shared" si="0"/>
        <v>39</v>
      </c>
      <c r="X6" s="43">
        <f t="shared" si="0"/>
        <v>74169.5</v>
      </c>
      <c r="Y6" s="43">
        <f t="shared" si="0"/>
        <v>45461</v>
      </c>
      <c r="Z6" s="43">
        <f t="shared" si="0"/>
        <v>27174</v>
      </c>
      <c r="AA6" s="43">
        <f t="shared" si="0"/>
        <v>149</v>
      </c>
      <c r="AB6" s="43">
        <f t="shared" si="0"/>
        <v>0</v>
      </c>
      <c r="AC6" s="43">
        <f t="shared" si="0"/>
        <v>257</v>
      </c>
      <c r="AD6" s="43">
        <f t="shared" si="0"/>
        <v>39</v>
      </c>
      <c r="AE6" s="43">
        <f t="shared" si="0"/>
        <v>74169.5</v>
      </c>
      <c r="AF6" s="43">
        <f t="shared" si="0"/>
        <v>45461</v>
      </c>
      <c r="AG6" s="43">
        <f t="shared" si="0"/>
        <v>27174</v>
      </c>
      <c r="AH6" s="43">
        <f t="shared" si="0"/>
        <v>149</v>
      </c>
      <c r="AI6" s="43">
        <f t="shared" si="0"/>
        <v>0</v>
      </c>
      <c r="AJ6" s="43">
        <f t="shared" si="0"/>
        <v>257</v>
      </c>
      <c r="AK6" s="43">
        <f t="shared" si="0"/>
        <v>0</v>
      </c>
      <c r="AL6" s="43">
        <f t="shared" si="0"/>
        <v>0</v>
      </c>
      <c r="AM6" s="43">
        <f t="shared" si="0"/>
        <v>0</v>
      </c>
      <c r="AN6" s="43">
        <f t="shared" si="0"/>
        <v>0</v>
      </c>
      <c r="AO6" s="43">
        <f t="shared" si="0"/>
        <v>0</v>
      </c>
      <c r="AP6" s="43">
        <f t="shared" si="0"/>
        <v>0</v>
      </c>
      <c r="AQ6" s="43">
        <f t="shared" si="0"/>
        <v>0</v>
      </c>
      <c r="AR6" s="43">
        <f t="shared" si="0"/>
        <v>0</v>
      </c>
      <c r="AS6" s="43">
        <f t="shared" si="0"/>
        <v>0</v>
      </c>
      <c r="AT6" s="43">
        <f t="shared" si="0"/>
        <v>0</v>
      </c>
      <c r="AU6" s="43">
        <f t="shared" si="0"/>
        <v>0</v>
      </c>
      <c r="AV6" s="43">
        <f t="shared" si="0"/>
        <v>0</v>
      </c>
      <c r="AW6" s="43">
        <f t="shared" si="0"/>
        <v>0</v>
      </c>
      <c r="AX6" s="43">
        <f t="shared" si="0"/>
        <v>0</v>
      </c>
      <c r="AY6" s="43">
        <f t="shared" si="0"/>
        <v>605</v>
      </c>
      <c r="AZ6" s="43">
        <f t="shared" si="0"/>
        <v>6292001.1616947362</v>
      </c>
      <c r="BA6" s="43">
        <f t="shared" si="0"/>
        <v>2442104.6490347367</v>
      </c>
      <c r="BB6" s="43">
        <f t="shared" si="0"/>
        <v>960919.81266000005</v>
      </c>
      <c r="BC6" s="43">
        <f t="shared" si="0"/>
        <v>163354</v>
      </c>
      <c r="BD6" s="43">
        <f t="shared" si="0"/>
        <v>117995</v>
      </c>
      <c r="BE6" s="43">
        <f t="shared" si="0"/>
        <v>14117</v>
      </c>
      <c r="BF6" s="43">
        <f t="shared" ref="BF6:BL6" si="1">+BF7+BF12+BF17+BF22+BF27+BF32+BF37+BF42+BF47+BF52+BF57+BF62+BF67+BF72+BF77</f>
        <v>131</v>
      </c>
      <c r="BG6" s="43">
        <f t="shared" si="1"/>
        <v>1770195.8</v>
      </c>
      <c r="BH6" s="43">
        <f t="shared" si="1"/>
        <v>567027</v>
      </c>
      <c r="BI6" s="43">
        <f t="shared" si="1"/>
        <v>474900</v>
      </c>
      <c r="BJ6" s="43">
        <f t="shared" si="1"/>
        <v>49946</v>
      </c>
      <c r="BK6" s="43">
        <f t="shared" si="1"/>
        <v>21400</v>
      </c>
      <c r="BL6" s="43">
        <f t="shared" si="1"/>
        <v>4488</v>
      </c>
    </row>
    <row r="7" spans="1:64" s="3" customFormat="1" ht="39.75" customHeight="1" thickBot="1">
      <c r="A7" s="53">
        <v>1</v>
      </c>
      <c r="B7" s="54" t="s">
        <v>167</v>
      </c>
      <c r="C7" s="41">
        <f>+SUM(C8:C11)</f>
        <v>57</v>
      </c>
      <c r="D7" s="41">
        <f t="shared" ref="D7:BE7" si="2">+SUM(D8:D11)</f>
        <v>702735</v>
      </c>
      <c r="E7" s="41">
        <f t="shared" si="2"/>
        <v>334334</v>
      </c>
      <c r="F7" s="41">
        <f t="shared" si="2"/>
        <v>163431</v>
      </c>
      <c r="G7" s="41">
        <f t="shared" si="2"/>
        <v>16900</v>
      </c>
      <c r="H7" s="41">
        <f t="shared" si="2"/>
        <v>3000</v>
      </c>
      <c r="I7" s="41">
        <f t="shared" si="2"/>
        <v>1318</v>
      </c>
      <c r="J7" s="41">
        <f t="shared" si="2"/>
        <v>40</v>
      </c>
      <c r="K7" s="41">
        <f t="shared" si="2"/>
        <v>141469</v>
      </c>
      <c r="L7" s="41">
        <f t="shared" si="2"/>
        <v>21610.3</v>
      </c>
      <c r="M7" s="41">
        <f t="shared" si="2"/>
        <v>104558.7</v>
      </c>
      <c r="N7" s="41">
        <f t="shared" si="2"/>
        <v>1500</v>
      </c>
      <c r="O7" s="41">
        <f t="shared" si="2"/>
        <v>0</v>
      </c>
      <c r="P7" s="41">
        <f t="shared" si="2"/>
        <v>28</v>
      </c>
      <c r="Q7" s="41">
        <f t="shared" si="2"/>
        <v>487424</v>
      </c>
      <c r="R7" s="41">
        <f t="shared" si="2"/>
        <v>257024</v>
      </c>
      <c r="S7" s="41">
        <f t="shared" si="2"/>
        <v>137700</v>
      </c>
      <c r="T7" s="41">
        <f t="shared" si="2"/>
        <v>7500</v>
      </c>
      <c r="U7" s="41">
        <f t="shared" si="2"/>
        <v>1500</v>
      </c>
      <c r="V7" s="41">
        <f t="shared" si="2"/>
        <v>945</v>
      </c>
      <c r="W7" s="41">
        <f t="shared" si="2"/>
        <v>0</v>
      </c>
      <c r="X7" s="41">
        <f t="shared" si="2"/>
        <v>0</v>
      </c>
      <c r="Y7" s="41">
        <f t="shared" si="2"/>
        <v>0</v>
      </c>
      <c r="Z7" s="41">
        <f t="shared" si="2"/>
        <v>0</v>
      </c>
      <c r="AA7" s="41">
        <f t="shared" si="2"/>
        <v>0</v>
      </c>
      <c r="AB7" s="41">
        <f t="shared" si="2"/>
        <v>0</v>
      </c>
      <c r="AC7" s="41">
        <f t="shared" si="2"/>
        <v>0</v>
      </c>
      <c r="AD7" s="41">
        <f t="shared" si="2"/>
        <v>0</v>
      </c>
      <c r="AE7" s="41">
        <f t="shared" si="2"/>
        <v>0</v>
      </c>
      <c r="AF7" s="41">
        <f t="shared" si="2"/>
        <v>0</v>
      </c>
      <c r="AG7" s="41">
        <f t="shared" si="2"/>
        <v>0</v>
      </c>
      <c r="AH7" s="41">
        <f t="shared" si="2"/>
        <v>0</v>
      </c>
      <c r="AI7" s="41">
        <f t="shared" si="2"/>
        <v>0</v>
      </c>
      <c r="AJ7" s="41">
        <f t="shared" si="2"/>
        <v>0</v>
      </c>
      <c r="AK7" s="41">
        <f t="shared" si="2"/>
        <v>0</v>
      </c>
      <c r="AL7" s="41">
        <f t="shared" si="2"/>
        <v>0</v>
      </c>
      <c r="AM7" s="41">
        <f t="shared" si="2"/>
        <v>0</v>
      </c>
      <c r="AN7" s="41">
        <f t="shared" si="2"/>
        <v>0</v>
      </c>
      <c r="AO7" s="41">
        <f t="shared" si="2"/>
        <v>0</v>
      </c>
      <c r="AP7" s="41">
        <f t="shared" si="2"/>
        <v>0</v>
      </c>
      <c r="AQ7" s="41">
        <f t="shared" si="2"/>
        <v>0</v>
      </c>
      <c r="AR7" s="41">
        <f t="shared" si="2"/>
        <v>0</v>
      </c>
      <c r="AS7" s="41">
        <f t="shared" si="2"/>
        <v>0</v>
      </c>
      <c r="AT7" s="41">
        <f t="shared" si="2"/>
        <v>0</v>
      </c>
      <c r="AU7" s="41">
        <f t="shared" si="2"/>
        <v>0</v>
      </c>
      <c r="AV7" s="41">
        <f t="shared" si="2"/>
        <v>0</v>
      </c>
      <c r="AW7" s="41">
        <f t="shared" si="2"/>
        <v>0</v>
      </c>
      <c r="AX7" s="41">
        <f t="shared" si="2"/>
        <v>0</v>
      </c>
      <c r="AY7" s="41">
        <f t="shared" si="2"/>
        <v>24</v>
      </c>
      <c r="AZ7" s="41">
        <f t="shared" si="2"/>
        <v>483484</v>
      </c>
      <c r="BA7" s="41">
        <f t="shared" si="2"/>
        <v>255784</v>
      </c>
      <c r="BB7" s="41">
        <f t="shared" si="2"/>
        <v>135000</v>
      </c>
      <c r="BC7" s="41">
        <f t="shared" si="2"/>
        <v>7500</v>
      </c>
      <c r="BD7" s="41">
        <f t="shared" si="2"/>
        <v>1500</v>
      </c>
      <c r="BE7" s="41">
        <f t="shared" si="2"/>
        <v>922</v>
      </c>
      <c r="BF7" s="41">
        <f t="shared" ref="BF7:BL7" si="3">+SUM(BF8:BF11)</f>
        <v>5</v>
      </c>
      <c r="BG7" s="41">
        <f t="shared" si="3"/>
        <v>181110</v>
      </c>
      <c r="BH7" s="41">
        <f t="shared" si="3"/>
        <v>59090</v>
      </c>
      <c r="BI7" s="41">
        <f t="shared" si="3"/>
        <v>9750</v>
      </c>
      <c r="BJ7" s="41">
        <f t="shared" si="3"/>
        <v>9400</v>
      </c>
      <c r="BK7" s="41">
        <f t="shared" si="3"/>
        <v>1500</v>
      </c>
      <c r="BL7" s="43">
        <f t="shared" si="3"/>
        <v>261</v>
      </c>
    </row>
    <row r="8" spans="1:64" s="3" customFormat="1" ht="39.75" customHeight="1">
      <c r="A8" s="52"/>
      <c r="B8" s="50" t="s">
        <v>1771</v>
      </c>
      <c r="C8" s="46">
        <f>+COUNTIFS(манзилли!$D:$D,'свод (сектор вилоят)'!$B$7,манзилли!$E:$E,"1")</f>
        <v>12</v>
      </c>
      <c r="D8" s="47">
        <f>(+SUMIFS(манзилли!$K:$K,манзилли!$D:$D,'свод (сектор вилоят)'!$B$7,манзилли!$E:$E,"1"))</f>
        <v>40622</v>
      </c>
      <c r="E8" s="47">
        <f>(+SUMIFS(манзилли!$M:$M,манзилли!$D:$D,'свод (сектор вилоят)'!$B$7,манзилли!$E:$E,"1"))</f>
        <v>10140</v>
      </c>
      <c r="F8" s="47">
        <f>(+SUMIFS(манзилли!$Q:$Q,манзилли!$D:$D,'свод (сектор вилоят)'!$B$7,манзилли!$E:$E,"1"))</f>
        <v>4732</v>
      </c>
      <c r="G8" s="47">
        <f>(+SUMIFS(манзилли!$S:$S,манзилли!$D:$D,'свод (сектор вилоят)'!$B$7,манзилли!$E:$E,"1"))</f>
        <v>0</v>
      </c>
      <c r="H8" s="47">
        <f>(+SUMIFS(манзилли!$U:$U,манзилли!$D:$D,'свод (сектор вилоят)'!$B$7,манзилли!$E:$E,"1"))</f>
        <v>2500</v>
      </c>
      <c r="I8" s="48">
        <f>+SUMIFS(манзилли!$Y:$Y,манзилли!$D:$D,'свод (сектор вилоят)'!$B$7,манзилли!$E:$E,"1")</f>
        <v>92</v>
      </c>
      <c r="J8" s="46">
        <f>(+COUNTIFS(манзилли!$L:$L,"&gt;0",манзилли!$D:$D,'свод (сектор вилоят)'!$B$7,манзилли!$E:$E,"1")+COUNTIFS('Қўшимча ишга тушган'!$T:$T,"&gt;0",'Қўшимча ишга тушган'!$D:$D,'свод (сектор вилоят)'!$B$7,'Қўшимча ишга тушган'!$E:$E,"1"))</f>
        <v>10</v>
      </c>
      <c r="K8" s="48">
        <f>(+SUMIFS(манзилли!$L:$L,манзилли!$D:$D,'свод (сектор вилоят)'!$B$7,манзилли!$E:$E,"1")+SUMIFS('Қўшимча ишга тушган'!$T:$T,'Қўшимча ишга тушган'!$D:$D,'свод (сектор вилоят)'!$B$7,'Қўшимча ишга тушган'!$E:$E,"1"))</f>
        <v>8972</v>
      </c>
      <c r="L8" s="49">
        <f>(+SUMIFS(манзилли!$N:$N,манзилли!$D:$D,'свод (сектор вилоят)'!$B$7,манзилли!$E:$E,"1")+SUMIFS('Қўшимча ишга тушган'!$V:$V,'Қўшимча ишга тушган'!$D:$D,'свод (сектор вилоят)'!$B$7,'Қўшимча ишга тушган'!$E:$E,"1"))</f>
        <v>2936.3</v>
      </c>
      <c r="M8" s="47">
        <f>(+SUMIFS(манзилли!$R:$R,манзилли!$D:$D,'свод (сектор вилоят)'!$B$7,манзилли!$E:$E,"1")+SUMIFS('Қўшимча ишга тушган'!$Z:$Z,'Қўшимча ишга тушган'!$D:$D,'свод (сектор вилоят)'!$B$7,'Қўшимча ишга тушган'!$E:$E,"1"))</f>
        <v>6035.7</v>
      </c>
      <c r="N8" s="47">
        <f>(+SUMIFS(манзилли!$T:$T,манзилли!$D:$D,'свод (сектор вилоят)'!$B$7,манзилли!$E:$E,"1")+SUMIFS('Қўшимча ишга тушган'!$AB:$AB,'Қўшимча ишга тушган'!$D:$D,'свод (сектор вилоят)'!$B$7,'Қўшимча ишга тушган'!$E:$E,"1"))</f>
        <v>0</v>
      </c>
      <c r="O8" s="48">
        <f>(+SUMIFS(манзилли!$V:$V,манзилли!$D:$D,'свод (сектор вилоят)'!$B$7,манзилли!$E:$E,"1")+SUMIFS('Қўшимча ишга тушган'!$AD:$AD,'Қўшимча ишга тушган'!$D:$D,'свод (сектор вилоят)'!$B$7,'Қўшимча ишга тушган'!$E:$E,"1"))</f>
        <v>0</v>
      </c>
      <c r="P8" s="46">
        <f>+COUNTIFS(манзилли!$D:$D,'свод (сектор вилоят)'!$B$7,манзилли!$AA:$AA,"&gt;31.12.2020",манзилли!$AA:$AA,"&lt;01.01.2022",манзилли!$E:$E,"1")</f>
        <v>2</v>
      </c>
      <c r="Q8" s="47">
        <f>(+SUMIFS(манзилли!$K:$K,манзилли!$D:$D,'свод (сектор вилоят)'!$B$7,манзилли!$AA:$AA,"&gt;31.12.2020",манзилли!$AA:$AA,"&lt;01.01.2022",манзилли!$E:$E,"1"))</f>
        <v>18200</v>
      </c>
      <c r="R8" s="47">
        <f>(+SUMIFS(манзилли!$M:$M,манзилли!$D:$D,'свод (сектор вилоят)'!$B$7,манзилли!$AA:$AA,"&gt;31.12.2020",манзилли!$AA:$AA,"&lt;01.01.2022",манзилли!$E:$E,"1"))</f>
        <v>7900</v>
      </c>
      <c r="S8" s="47">
        <f>(+SUMIFS(манзилли!$Q:$Q,манзилли!$D:$D,'свод (сектор вилоят)'!$B$7,манзилли!$AA:$AA,"&gt;31.12.2020",манзилли!$AA:$AA,"&lt;01.01.2022",манзилли!$E:$E,"1"))</f>
        <v>0</v>
      </c>
      <c r="T8" s="47">
        <f>(+SUMIFS(манзилли!$S:$S,манзилли!$D:$D,'свод (сектор вилоят)'!$B$7,манзилли!$AA:$AA,"&gt;31.12.2020",манзилли!$AA:$AA,"&lt;01.01.2022",манзилли!$E:$E,"1"))</f>
        <v>0</v>
      </c>
      <c r="U8" s="47">
        <f>(+SUMIFS(манзилли!$U:$U,манзилли!$D:$D,'свод (сектор вилоят)'!$B$7,манзилли!$AA:$AA,"&gt;31.12.2020",манзилли!$AA:$AA,"&lt;01.01.2022",манзилли!$E:$E,"1"))</f>
        <v>1000</v>
      </c>
      <c r="V8" s="48">
        <f>+SUMIFS(манзилли!$Y:$Y,манзилли!$D:$D,'свод (сектор вилоят)'!$B$7,манзилли!$AA:$AA,"&gt;31.12.2020",манзилли!$AA:$AA,"&lt;01.01.2022",манзилли!$E:$E,"1")</f>
        <v>35</v>
      </c>
      <c r="W8" s="46">
        <f>+AD8+AK8</f>
        <v>0</v>
      </c>
      <c r="X8" s="47">
        <f t="shared" ref="X8" si="4">+AE8+AL8</f>
        <v>0</v>
      </c>
      <c r="Y8" s="47">
        <f t="shared" ref="Y8" si="5">+AF8+AM8</f>
        <v>0</v>
      </c>
      <c r="Z8" s="47">
        <f t="shared" ref="Z8" si="6">+AG8+AN8</f>
        <v>0</v>
      </c>
      <c r="AA8" s="47">
        <f t="shared" ref="AA8" si="7">+AH8+AO8</f>
        <v>0</v>
      </c>
      <c r="AB8" s="47">
        <f t="shared" ref="AB8" si="8">+AI8+AP8</f>
        <v>0</v>
      </c>
      <c r="AC8" s="48">
        <f t="shared" ref="AC8" si="9">+AJ8+AQ8</f>
        <v>0</v>
      </c>
      <c r="AD8" s="46">
        <f>+COUNTIFS(манзилли!$D:$D,'свод (сектор вилоят)'!$B$7,манзилли!$AB:$AB,"&gt;31.12.2020",манзилли!$AA:$AA,"&gt;31.12.2020",манзилли!$AA:$AA,"&lt;01.01.2022",манзилли!$E:$E,"1")</f>
        <v>0</v>
      </c>
      <c r="AE8" s="47">
        <f>(+SUMIFS(манзилли!$L:$L,манзилли!$D:$D,'свод (сектор вилоят)'!$B$7,манзилли!$AB:$AB,"&gt;31.12.2020",манзилли!$AA:$AA,"&gt;31.12.2020",манзилли!$AA:$AA,"&lt;01.01.2022",манзилли!$E:$E,"1"))</f>
        <v>0</v>
      </c>
      <c r="AF8" s="47">
        <f>(+SUMIFS(манзилли!$N:$N,манзилли!$D:$D,'свод (сектор вилоят)'!$B$7,манзилли!$AB:$AB,"&gt;31.12.2020",манзилли!$AA:$AA,"&gt;31.12.2020",манзилли!$AA:$AA,"&lt;01.01.2022",манзилли!$E:$E,"1"))</f>
        <v>0</v>
      </c>
      <c r="AG8" s="47">
        <f>(+SUMIFS(манзилли!$R:$R,манзилли!$D:$D,'свод (сектор вилоят)'!$B$7,манзилли!$AB:$AB,"&gt;31.12.2020",манзилли!$AA:$AA,"&gt;31.12.2020",манзилли!$AA:$AA,"&lt;01.01.2022",манзилли!$E:$E,"1"))</f>
        <v>0</v>
      </c>
      <c r="AH8" s="47">
        <f>(+SUMIFS(манзилли!$T:$T,манзилли!$D:$D,'свод (сектор вилоят)'!$B$7,манзилли!$AB:$AB,"&gt;31.12.2020",манзилли!$AA:$AA,"&gt;31.12.2020",манзилли!$AA:$AA,"&lt;01.01.2022",манзилли!$E:$E,"1"))</f>
        <v>0</v>
      </c>
      <c r="AI8" s="47">
        <f>(+SUMIFS(манзилли!$V:$V,манзилли!$D:$D,'свод (сектор вилоят)'!$B$7,манзилли!$AB:$AB,"&gt;31.12.2020",манзилли!$AA:$AA,"&gt;31.12.2020",манзилли!$AA:$AA,"&lt;01.01.2022",манзилли!$E:$E,"1"))</f>
        <v>0</v>
      </c>
      <c r="AJ8" s="48">
        <f>+SUMIFS(манзилли!$Z:$Z,манзилли!$D:$D,'свод (сектор вилоят)'!$B$7,манзилли!$AB:$AB,"&gt;31.12.2020",манзилли!$AA:$AA,"&gt;31.12.2020",манзилли!$AA:$AA,"&lt;01.01.2022",манзилли!$E:$E,"1")</f>
        <v>0</v>
      </c>
      <c r="AK8" s="46">
        <f>+COUNTIFS('Қўшимча ишга тушган'!$D:$D,'свод (сектор вилоят)'!B7,'Қўшимча ишга тушган'!$AO:$AO,"&lt;01.10.2023",манзилли!$E:$E,"1")</f>
        <v>0</v>
      </c>
      <c r="AL8" s="47">
        <f>(+SUMIFS('Қўшимча ишга тушган'!$T:$T,'Қўшимча ишга тушган'!$D:$D,'свод (сектор вилоят)'!$B$7,'Қўшимча ишга тушган'!$AO:$AO,"&lt;01.10.2023",манзилли!$E:$E,"1"))</f>
        <v>0</v>
      </c>
      <c r="AM8" s="47">
        <f>(+SUMIFS('Қўшимча ишга тушган'!$V:$V,'Қўшимча ишга тушган'!$D:$D,'свод (сектор вилоят)'!$B$7,'Қўшимча ишга тушган'!$AO:$AO,"&lt;01.10.2023",манзилли!$E:$E,"1"))</f>
        <v>0</v>
      </c>
      <c r="AN8" s="47">
        <f>(+SUMIFS('Қўшимча ишга тушган'!$Z:$Z,'Қўшимча ишга тушган'!$D:$D,'свод (сектор вилоят)'!$B$7,'Қўшимча ишга тушган'!$AO:$AO,"&lt;01.10.2023",манзилли!$E:$E,"1"))</f>
        <v>0</v>
      </c>
      <c r="AO8" s="47">
        <f>(+SUMIFS('Қўшимча ишга тушган'!$AB:$AB,'Қўшимча ишга тушган'!$D:$D,'свод (сектор вилоят)'!$B$7,'Қўшимча ишга тушган'!$AO:$AO,"&lt;01.10.2023",манзилли!$E:$E,"1"))</f>
        <v>0</v>
      </c>
      <c r="AP8" s="47">
        <f>(+SUMIFS('Қўшимча ишга тушган'!$AD:$AD,'Қўшимча ишга тушган'!$D:$D,'свод (сектор вилоят)'!$B$7,'Қўшимча ишга тушган'!$AO:$AO,"&lt;01.10.2023",манзилли!$E:$E,"1"))</f>
        <v>0</v>
      </c>
      <c r="AQ8" s="48">
        <f>+SUMIFS('Қўшимча ишга тушган'!$AM:$AM,'Қўшимча ишга тушган'!$D:$D,'свод (сектор вилоят)'!$B$7,'Қўшимча ишга тушган'!$AO:$AO,"&lt;01.10.2023",манзилли!$E:$E,"1")</f>
        <v>0</v>
      </c>
      <c r="AR8" s="46">
        <f>+COUNTIFS(манзилли!$D:$D,'свод (сектор вилоят)'!$B$7,манзилли!$AA:$AA,"&lt;01.02.2021",манзилли!$AB:$AB,"",манзилли!$E:$E,"1")</f>
        <v>0</v>
      </c>
      <c r="AS8" s="47">
        <f>(+SUMIFS(манзилли!$K:$K,манзилли!$D:$D,'свод (сектор вилоят)'!$B$7,манзилли!$AA:$AA,"&lt;01.02.2021",манзилли!$AB:$AB,"",манзилли!$E:$E,"1"))</f>
        <v>0</v>
      </c>
      <c r="AT8" s="47">
        <f>(+SUMIFS(манзилли!$M:$M,манзилли!$D:$D,'свод (сектор вилоят)'!$B$7,манзилли!$AA:$AA,"&lt;01.02.2021",манзилли!$AB:$AB,"",манзилли!$E:$E,"1"))</f>
        <v>0</v>
      </c>
      <c r="AU8" s="47">
        <f>(+SUMIFS(манзилли!$Q:$Q,манзилли!$D:$D,'свод (сектор вилоят)'!$B$7,манзилли!$AA:$AA,"&lt;01.02.2021",манзилли!$AB:$AB,"",манзилли!$E:$E,"1"))</f>
        <v>0</v>
      </c>
      <c r="AV8" s="47">
        <f>(+SUMIFS(манзилли!$S:$S,манзилли!$D:$D,'свод (сектор вилоят)'!$B$7,манзилли!$AA:$AA,"&lt;01.02.2021",манзилли!$AB:$AB,"",манзилли!$E:$E,"1"))</f>
        <v>0</v>
      </c>
      <c r="AW8" s="47">
        <f>(+SUMIFS(манзилли!$U:$U,манзилли!$D:$D,'свод (сектор вилоят)'!$B$7,манзилли!$AA:$AA,"&lt;01.02.2021",манзилли!$AB:$AB,"",манзилли!$E:$E,"1"))</f>
        <v>0</v>
      </c>
      <c r="AX8" s="48">
        <f>+SUMIFS(манзилли!$Y:$Y,манзилли!$D:$D,'свод (сектор вилоят)'!$B$7,манзилли!$AA:$AA,"&lt;01.02.2021",манзилли!$AB:$AB,"",манзилли!$E:$E,"1")</f>
        <v>0</v>
      </c>
      <c r="AY8" s="46">
        <f>+COUNTIFS(манзилли!$D:$D,'свод (сектор вилоят)'!$B$7,манзилли!$AA:$AA,"&lt;01.01.2022",манзилли!$AB:$AB,"",манзилли!$E:$E,"1")</f>
        <v>2</v>
      </c>
      <c r="AZ8" s="47">
        <f>(+SUMIFS(манзилли!$K:$K,манзилли!$D:$D,'свод (сектор вилоят)'!$B$7,манзилли!$AA:$AA,"&lt;01.01.2022",манзилли!$AB:$AB,"",манзилли!$E:$E,"1"))</f>
        <v>18200</v>
      </c>
      <c r="BA8" s="47">
        <f>(+SUMIFS(манзилли!$M:$M,манзилли!$D:$D,'свод (сектор вилоят)'!$B$7,манзилли!$AA:$AA,"&lt;01.01.2022",манзилли!$AB:$AB,"",манзилли!$E:$E,"1"))</f>
        <v>7900</v>
      </c>
      <c r="BB8" s="47">
        <f>(+SUMIFS(манзилли!$Q:$Q,манзилли!$D:$D,'свод (сектор вилоят)'!$B$7,манзилли!$AA:$AA,"&lt;01.01.2022",манзилли!$AB:$AB,"",манзилли!$E:$E,"1"))</f>
        <v>0</v>
      </c>
      <c r="BC8" s="47">
        <f>(+SUMIFS(манзилли!$S:$S,манзилли!$D:$D,'свод (сектор вилоят)'!$B$7,манзилли!$AA:$AA,"&lt;01.01.2022",манзилли!$AB:$AB,"",манзилли!$E:$E,"1"))</f>
        <v>0</v>
      </c>
      <c r="BD8" s="47">
        <f>(+SUMIFS(манзилли!$U:$U,манзилли!$D:$D,'свод (сектор вилоят)'!$B$7,манзилли!$AA:$AA,"&lt;01.01.2022",манзилли!$AB:$AB,"",манзилли!$E:$E,"1"))</f>
        <v>1000</v>
      </c>
      <c r="BE8" s="48">
        <f>+SUMIFS(манзилли!$Y:$Y,манзилли!$D:$D,'свод (сектор вилоят)'!$B$7,манзилли!$AA:$AA,"&lt;01.01.2022",манзилли!$AB:$AB,"",манзилли!$E:$E,"1")</f>
        <v>35</v>
      </c>
      <c r="BF8" s="46">
        <f>+COUNTIFS(манзилли!$D:$D,'свод (сектор вилоят)'!$B$7,манзилли!$AA:$AA,"&lt;01.01.2023",манзилли!$AA:$AA,"&gt;=01.01.2022",манзилли!$E:$E,"1")</f>
        <v>1</v>
      </c>
      <c r="BG8" s="47">
        <f>(+SUMIFS(манзилли!$K:$K,манзилли!$D:$D,'свод (сектор вилоят)'!$B$7,манзилли!$AA:$AA,"&lt;01.01.2023",манзилли!$AA:$AA,"&gt;=01.01.2022",манзилли!$E:$E,"1"))</f>
        <v>15450.000000000002</v>
      </c>
      <c r="BH8" s="47">
        <f>(+SUMIFS(манзилли!$M:$M,манзилли!$D:$D,'свод (сектор вилоят)'!$B$7,манзилли!$AA:$AA,"&lt;01.01.2023",манзилли!$AA:$AA,"&gt;=01.01.2022",манзилли!$E:$E,"1"))</f>
        <v>0</v>
      </c>
      <c r="BI8" s="47">
        <f>(+SUMIFS(манзилли!$Q:$Q,манзилли!$D:$D,'свод (сектор вилоят)'!$B$7,манзилли!$AA:$AA,"&lt;01.01.2023",манзилли!$AA:$AA,"&gt;=01.01.2022",манзилли!$E:$E,"1"))</f>
        <v>0</v>
      </c>
      <c r="BJ8" s="47">
        <f>(+SUMIFS(манзилли!$S:$S,манзилли!$D:$D,'свод (сектор вилоят)'!$B$7,манзилли!$AA:$AA,"&lt;01.01.2023",манзилли!$AA:$AA,"&gt;=01.01.2022",манзилли!$E:$E,"1"))</f>
        <v>0</v>
      </c>
      <c r="BK8" s="47">
        <f>(+SUMIFS(манзилли!$U:$U,манзилли!$D:$D,'свод (сектор вилоят)'!$B$7,манзилли!$AA:$AA,"&lt;01.01.2023",манзилли!$AA:$AA,"&gt;=01.01.2022",манзилли!$E:$E,"1"))</f>
        <v>1500</v>
      </c>
      <c r="BL8" s="48">
        <f>+SUMIFS(манзилли!$Y:$Y,манзилли!$D:$D,'свод (сектор вилоят)'!$B$7,манзилли!$AA:$AA,"&lt;01.01.2023",манзилли!$AA:$AA,"&gt;=01.01.2022",манзилли!$E:$E,"1")</f>
        <v>25</v>
      </c>
    </row>
    <row r="9" spans="1:64" s="3" customFormat="1" ht="39.75" customHeight="1">
      <c r="A9" s="51"/>
      <c r="B9" s="27" t="s">
        <v>1772</v>
      </c>
      <c r="C9" s="28">
        <f>+COUNTIFS(манзилли!$D:$D,'свод (сектор вилоят)'!$B$7,манзилли!$E:$E,"2")</f>
        <v>10</v>
      </c>
      <c r="D9" s="29">
        <f>(+SUMIFS(манзилли!$K:$K,манзилли!$D:$D,'свод (сектор вилоят)'!$B$7,манзилли!$E:$E,"2"))</f>
        <v>20200</v>
      </c>
      <c r="E9" s="29">
        <f>(+SUMIFS(манзилли!$M:$M,манзилли!$D:$D,'свод (сектор вилоят)'!$B$7,манзилли!$E:$E,"2"))</f>
        <v>9487</v>
      </c>
      <c r="F9" s="29">
        <f>(+SUMIFS(манзилли!$Q:$Q,манзилли!$D:$D,'свод (сектор вилоят)'!$B$7,манзилли!$E:$E,"2"))</f>
        <v>10713</v>
      </c>
      <c r="G9" s="29">
        <f>(+SUMIFS(манзилли!$S:$S,манзилли!$D:$D,'свод (сектор вилоят)'!$B$7,манзилли!$E:$E,"2"))</f>
        <v>0</v>
      </c>
      <c r="H9" s="29">
        <f>(+SUMIFS(манзилли!$U:$U,манзилли!$D:$D,'свод (сектор вилоят)'!$B$7,манзилли!$E:$E,"2"))</f>
        <v>0</v>
      </c>
      <c r="I9" s="30">
        <f>+SUMIFS(манзилли!$Y:$Y,манзилли!$D:$D,'свод (сектор вилоят)'!$B$7,манзилли!$E:$E,"2")</f>
        <v>81</v>
      </c>
      <c r="J9" s="28">
        <f>(+COUNTIFS(манзилли!$L:$L,"&gt;0",манзилли!$D:$D,'свод (сектор вилоят)'!$B$7,манзилли!$E:$E,"2")+COUNTIFS('Қўшимча ишга тушган'!$T:$T,"&gt;0",'Қўшимча ишга тушган'!$D:$D,'свод (сектор вилоят)'!$B$7,'Қўшимча ишга тушган'!$E:$E,"2"))</f>
        <v>5</v>
      </c>
      <c r="K9" s="30">
        <f>(+SUMIFS(манзилли!$L:$L,манзилли!$D:$D,'свод (сектор вилоят)'!$B$7,манзилли!$E:$E,"2")+SUMIFS('Қўшимча ишга тушган'!$T:$T,'Қўшимча ишга тушган'!$D:$D,'свод (сектор вилоят)'!$B$7,'Қўшимча ишга тушган'!$E:$E,"2"))</f>
        <v>4850</v>
      </c>
      <c r="L9" s="31">
        <f>(+SUMIFS(манзилли!$N:$N,манзилли!$D:$D,'свод (сектор вилоят)'!$B$7,манзилли!$E:$E,"2")+SUMIFS('Қўшимча ишга тушган'!$V:$V,'Қўшимча ишга тушган'!$D:$D,'свод (сектор вилоят)'!$B$7,'Қўшимча ишга тушган'!$E:$E,"2"))</f>
        <v>2141</v>
      </c>
      <c r="M9" s="29">
        <f>(+SUMIFS(манзилли!$R:$R,манзилли!$D:$D,'свод (сектор вилоят)'!$B$7,манзилли!$E:$E,"2")+SUMIFS('Қўшимча ишга тушган'!$Z:$Z,'Қўшимча ишга тушган'!$D:$D,'свод (сектор вилоят)'!$B$7,'Қўшимча ишга тушган'!$E:$E,"2"))</f>
        <v>2709</v>
      </c>
      <c r="N9" s="29">
        <f>(+SUMIFS(манзилли!$T:$T,манзилли!$D:$D,'свод (сектор вилоят)'!$B$7,манзилли!$E:$E,"2")+SUMIFS('Қўшимча ишга тушган'!$AB:$AB,'Қўшимча ишга тушган'!$D:$D,'свод (сектор вилоят)'!$B$7,'Қўшимча ишга тушган'!$E:$E,"2"))</f>
        <v>0</v>
      </c>
      <c r="O9" s="30">
        <f>(+SUMIFS(манзилли!$V:$V,манзилли!$D:$D,'свод (сектор вилоят)'!$B$7,манзилли!$E:$E,"2")+SUMIFS('Қўшимча ишга тушган'!$AD:$AD,'Қўшимча ишга тушган'!$D:$D,'свод (сектор вилоят)'!$B$7,'Қўшимча ишга тушган'!$E:$E,"2"))</f>
        <v>0</v>
      </c>
      <c r="P9" s="28">
        <f>+COUNTIFS(манзилли!$D:$D,'свод (сектор вилоят)'!$B$7,манзилли!$AA:$AA,"&gt;31.12.2020",манзилли!$AA:$AA,"&lt;01.01.2022",манзилли!$E:$E,"2")</f>
        <v>7</v>
      </c>
      <c r="Q9" s="29">
        <f>(+SUMIFS(манзилли!$K:$K,манзилли!$D:$D,'свод (сектор вилоят)'!$B$7,манзилли!$AA:$AA,"&gt;31.12.2020",манзилли!$AA:$AA,"&lt;01.01.2022",манзилли!$E:$E,"2"))</f>
        <v>17300</v>
      </c>
      <c r="R9" s="29">
        <f>(+SUMIFS(манзилли!$M:$M,манзилли!$D:$D,'свод (сектор вилоят)'!$B$7,манзилли!$AA:$AA,"&gt;31.12.2020",манзилли!$AA:$AA,"&lt;01.01.2022",манзилли!$E:$E,"2"))</f>
        <v>8800</v>
      </c>
      <c r="S9" s="29">
        <f>(+SUMIFS(манзилли!$Q:$Q,манзилли!$D:$D,'свод (сектор вилоят)'!$B$7,манзилли!$AA:$AA,"&gt;31.12.2020",манзилли!$AA:$AA,"&lt;01.01.2022",манзилли!$E:$E,"2"))</f>
        <v>8500</v>
      </c>
      <c r="T9" s="29">
        <f>(+SUMIFS(манзилли!$S:$S,манзилли!$D:$D,'свод (сектор вилоят)'!$B$7,манзилли!$AA:$AA,"&gt;31.12.2020",манзилли!$AA:$AA,"&lt;01.01.2022",манзилли!$E:$E,"2"))</f>
        <v>0</v>
      </c>
      <c r="U9" s="29">
        <f>(+SUMIFS(манзилли!$U:$U,манзилли!$D:$D,'свод (сектор вилоят)'!$B$7,манзилли!$AA:$AA,"&gt;31.12.2020",манзилли!$AA:$AA,"&lt;01.01.2022",манзилли!$E:$E,"2"))</f>
        <v>0</v>
      </c>
      <c r="V9" s="30">
        <f>+SUMIFS(манзилли!$Y:$Y,манзилли!$D:$D,'свод (сектор вилоят)'!$B$7,манзилли!$AA:$AA,"&gt;31.12.2020",манзилли!$AA:$AA,"&lt;01.01.2022",манзилли!$E:$E,"2")</f>
        <v>66</v>
      </c>
      <c r="W9" s="28">
        <f t="shared" ref="W9:W11" si="10">+AD9+AK9</f>
        <v>0</v>
      </c>
      <c r="X9" s="29">
        <f t="shared" ref="X9:X11" si="11">+AE9+AL9</f>
        <v>0</v>
      </c>
      <c r="Y9" s="29">
        <f t="shared" ref="Y9:Y11" si="12">+AF9+AM9</f>
        <v>0</v>
      </c>
      <c r="Z9" s="29">
        <f t="shared" ref="Z9:Z11" si="13">+AG9+AN9</f>
        <v>0</v>
      </c>
      <c r="AA9" s="29">
        <f t="shared" ref="AA9:AA11" si="14">+AH9+AO9</f>
        <v>0</v>
      </c>
      <c r="AB9" s="29">
        <f t="shared" ref="AB9:AB11" si="15">+AI9+AP9</f>
        <v>0</v>
      </c>
      <c r="AC9" s="30">
        <f t="shared" ref="AC9:AC11" si="16">+AJ9+AQ9</f>
        <v>0</v>
      </c>
      <c r="AD9" s="28">
        <f>+COUNTIFS(манзилли!$D:$D,'свод (сектор вилоят)'!$B$7,манзилли!$AB:$AB,"&gt;31.12.2020",манзилли!$AA:$AA,"&gt;31.12.2020",манзилли!$AA:$AA,"&lt;01.01.2022",манзилли!$E:$E,"2")</f>
        <v>0</v>
      </c>
      <c r="AE9" s="29">
        <f>(+SUMIFS(манзилли!$L:$L,манзилли!$D:$D,'свод (сектор вилоят)'!$B$7,манзилли!$AB:$AB,"&gt;31.12.2020",манзилли!$AA:$AA,"&gt;31.12.2020",манзилли!$AA:$AA,"&lt;01.01.2022",манзилли!$E:$E,"2"))</f>
        <v>0</v>
      </c>
      <c r="AF9" s="29">
        <f>(+SUMIFS(манзилли!$N:$N,манзилли!$D:$D,'свод (сектор вилоят)'!$B$7,манзилли!$AB:$AB,"&gt;31.12.2020",манзилли!$AA:$AA,"&gt;31.12.2020",манзилли!$AA:$AA,"&lt;01.01.2022",манзилли!$E:$E,"2"))</f>
        <v>0</v>
      </c>
      <c r="AG9" s="29">
        <f>(+SUMIFS(манзилли!$R:$R,манзилли!$D:$D,'свод (сектор вилоят)'!$B$7,манзилли!$AB:$AB,"&gt;31.12.2020",манзилли!$AA:$AA,"&gt;31.12.2020",манзилли!$AA:$AA,"&lt;01.01.2022",манзилли!$E:$E,"2"))</f>
        <v>0</v>
      </c>
      <c r="AH9" s="29">
        <f>(+SUMIFS(манзилли!$T:$T,манзилли!$D:$D,'свод (сектор вилоят)'!$B$7,манзилли!$AB:$AB,"&gt;31.12.2020",манзилли!$AA:$AA,"&gt;31.12.2020",манзилли!$AA:$AA,"&lt;01.01.2022",манзилли!$E:$E,"2"))</f>
        <v>0</v>
      </c>
      <c r="AI9" s="29">
        <f>(+SUMIFS(манзилли!$V:$V,манзилли!$D:$D,'свод (сектор вилоят)'!$B$7,манзилли!$AB:$AB,"&gt;31.12.2020",манзилли!$AA:$AA,"&gt;31.12.2020",манзилли!$AA:$AA,"&lt;01.01.2022",манзилли!$E:$E,"2"))</f>
        <v>0</v>
      </c>
      <c r="AJ9" s="30">
        <f>+SUMIFS(манзилли!$Z:$Z,манзилли!$D:$D,'свод (сектор вилоят)'!$B$7,манзилли!$AB:$AB,"&gt;31.12.2020",манзилли!$AA:$AA,"&gt;31.12.2020",манзилли!$AA:$AA,"&lt;01.01.2022",манзилли!$E:$E,"2")</f>
        <v>0</v>
      </c>
      <c r="AK9" s="28">
        <f>+COUNTIFS('Қўшимча ишга тушган'!$D:$D,'свод (сектор вилоят)'!B7,'Қўшимча ишга тушган'!$AO:$AO,"&lt;01.10.2023",манзилли!$E:$E,"2")</f>
        <v>0</v>
      </c>
      <c r="AL9" s="29">
        <f>(+SUMIFS('Қўшимча ишга тушган'!$T:$T,'Қўшимча ишга тушган'!$D:$D,'свод (сектор вилоят)'!$B$7,'Қўшимча ишга тушган'!$AO:$AO,"&lt;01.10.2023",манзилли!$E:$E,"2"))</f>
        <v>0</v>
      </c>
      <c r="AM9" s="29">
        <f>(+SUMIFS('Қўшимча ишга тушган'!$V:$V,'Қўшимча ишга тушган'!$D:$D,'свод (сектор вилоят)'!$B$7,'Қўшимча ишга тушган'!$AO:$AO,"&lt;01.10.2023",манзилли!$E:$E,"2"))</f>
        <v>0</v>
      </c>
      <c r="AN9" s="29">
        <f>(+SUMIFS('Қўшимча ишга тушган'!$Z:$Z,'Қўшимча ишга тушган'!$D:$D,'свод (сектор вилоят)'!$B$7,'Қўшимча ишга тушган'!$AO:$AO,"&lt;01.10.2023",манзилли!$E:$E,"2"))</f>
        <v>0</v>
      </c>
      <c r="AO9" s="29">
        <f>(+SUMIFS('Қўшимча ишга тушган'!$AB:$AB,'Қўшимча ишга тушган'!$D:$D,'свод (сектор вилоят)'!$B$7,'Қўшимча ишга тушган'!$AO:$AO,"&lt;01.10.2023",манзилли!$E:$E,"2"))</f>
        <v>0</v>
      </c>
      <c r="AP9" s="29">
        <f>(+SUMIFS('Қўшимча ишга тушган'!$AD:$AD,'Қўшимча ишга тушган'!$D:$D,'свод (сектор вилоят)'!$B$7,'Қўшимча ишга тушган'!$AO:$AO,"&lt;01.10.2023",манзилли!$E:$E,"2"))</f>
        <v>0</v>
      </c>
      <c r="AQ9" s="30">
        <f>+SUMIFS('Қўшимча ишга тушган'!$AM:$AM,'Қўшимча ишга тушган'!$D:$D,'свод (сектор вилоят)'!$B$7,'Қўшимча ишга тушган'!$AO:$AO,"&lt;01.10.2023",манзилли!$E:$E,"2")</f>
        <v>0</v>
      </c>
      <c r="AR9" s="28">
        <f>+COUNTIFS(манзилли!$D:$D,'свод (сектор вилоят)'!$B$7,манзилли!$AA:$AA,"&lt;01.02.2021",манзилли!$AB:$AB,"",манзилли!$E:$E,"2")</f>
        <v>0</v>
      </c>
      <c r="AS9" s="29">
        <f>(+SUMIFS(манзилли!$K:$K,манзилли!$D:$D,'свод (сектор вилоят)'!$B$7,манзилли!$AA:$AA,"&lt;01.02.2021",манзилли!$AB:$AB,"",манзилли!$E:$E,"2"))</f>
        <v>0</v>
      </c>
      <c r="AT9" s="29">
        <f>(+SUMIFS(манзилли!$M:$M,манзилли!$D:$D,'свод (сектор вилоят)'!$B$7,манзилли!$AA:$AA,"&lt;01.02.2021",манзилли!$AB:$AB,"",манзилли!$E:$E,"2"))</f>
        <v>0</v>
      </c>
      <c r="AU9" s="29">
        <f>(+SUMIFS(манзилли!$Q:$Q,манзилли!$D:$D,'свод (сектор вилоят)'!$B$7,манзилли!$AA:$AA,"&lt;01.02.2021",манзилли!$AB:$AB,"",манзилли!$E:$E,"2"))</f>
        <v>0</v>
      </c>
      <c r="AV9" s="29">
        <f>(+SUMIFS(манзилли!$S:$S,манзилли!$D:$D,'свод (сектор вилоят)'!$B$7,манзилли!$AA:$AA,"&lt;01.02.2021",манзилли!$AB:$AB,"",манзилли!$E:$E,"2"))</f>
        <v>0</v>
      </c>
      <c r="AW9" s="29">
        <f>(+SUMIFS(манзилли!$U:$U,манзилли!$D:$D,'свод (сектор вилоят)'!$B$7,манзилли!$AA:$AA,"&lt;01.02.2021",манзилли!$AB:$AB,"",манзилли!$E:$E,"2"))</f>
        <v>0</v>
      </c>
      <c r="AX9" s="30">
        <f>+SUMIFS(манзилли!$Y:$Y,манзилли!$D:$D,'свод (сектор вилоят)'!$B$7,манзилли!$AA:$AA,"&lt;01.02.2021",манзилли!$AB:$AB,"",манзилли!$E:$E,"2")</f>
        <v>0</v>
      </c>
      <c r="AY9" s="28">
        <f>+COUNTIFS(манзилли!$D:$D,'свод (сектор вилоят)'!$B$7,манзилли!$AA:$AA,"&lt;01.01.2022",манзилли!$AB:$AB,"",манзилли!$E:$E,"2")</f>
        <v>5</v>
      </c>
      <c r="AZ9" s="29">
        <f>(+SUMIFS(манзилли!$K:$K,манзилли!$D:$D,'свод (сектор вилоят)'!$B$7,манзилли!$AA:$AA,"&lt;01.01.2022",манзилли!$AB:$AB,"",манзилли!$E:$E,"2"))</f>
        <v>15400</v>
      </c>
      <c r="BA9" s="29">
        <f>(+SUMIFS(манзилли!$M:$M,манзилли!$D:$D,'свод (сектор вилоят)'!$B$7,манзилли!$AA:$AA,"&lt;01.01.2022",манзилли!$AB:$AB,"",манзилли!$E:$E,"2"))</f>
        <v>8200</v>
      </c>
      <c r="BB9" s="29">
        <f>(+SUMIFS(манзилли!$Q:$Q,манзилли!$D:$D,'свод (сектор вилоят)'!$B$7,манзилли!$AA:$AA,"&lt;01.01.2022",манзилли!$AB:$AB,"",манзилли!$E:$E,"2"))</f>
        <v>7200</v>
      </c>
      <c r="BC9" s="29">
        <f>(+SUMIFS(манзилли!$S:$S,манзилли!$D:$D,'свод (сектор вилоят)'!$B$7,манзилли!$AA:$AA,"&lt;01.01.2022",манзилли!$AB:$AB,"",манзилли!$E:$E,"2"))</f>
        <v>0</v>
      </c>
      <c r="BD9" s="29">
        <f>(+SUMIFS(манзилли!$U:$U,манзилли!$D:$D,'свод (сектор вилоят)'!$B$7,манзилли!$AA:$AA,"&lt;01.01.2022",манзилли!$AB:$AB,"",манзилли!$E:$E,"2"))</f>
        <v>0</v>
      </c>
      <c r="BE9" s="30">
        <f>+SUMIFS(манзилли!$Y:$Y,манзилли!$D:$D,'свод (сектор вилоят)'!$B$7,манзилли!$AA:$AA,"&lt;01.01.2022",манзилли!$AB:$AB,"",манзилли!$E:$E,"2")</f>
        <v>53</v>
      </c>
      <c r="BF9" s="28">
        <f>+COUNTIFS(манзилли!$D:$D,'свод (сектор вилоят)'!$B$7,манзилли!$AA:$AA,"&lt;01.01.2023",манзилли!$AA:$AA,"&gt;=01.01.2022",манзилли!$E:$E,"2")</f>
        <v>0</v>
      </c>
      <c r="BG9" s="29">
        <f>(+SUMIFS(манзилли!$K:$K,манзилли!$D:$D,'свод (сектор вилоят)'!$B$7,манзилли!$AA:$AA,"&lt;01.01.2023",манзилли!$AA:$AA,"&gt;=01.01.2022",манзилли!$E:$E,"2"))</f>
        <v>0</v>
      </c>
      <c r="BH9" s="29">
        <f>(+SUMIFS(манзилли!$M:$M,манзилли!$D:$D,'свод (сектор вилоят)'!$B$7,манзилли!$AA:$AA,"&lt;01.01.2023",манзилли!$AA:$AA,"&gt;=01.01.2022",манзилли!$E:$E,"2"))</f>
        <v>0</v>
      </c>
      <c r="BI9" s="29">
        <f>(+SUMIFS(манзилли!$Q:$Q,манзилли!$D:$D,'свод (сектор вилоят)'!$B$7,манзилли!$AA:$AA,"&lt;01.01.2023",манзилли!$AA:$AA,"&gt;=01.01.2022",манзилли!$E:$E,"2"))</f>
        <v>0</v>
      </c>
      <c r="BJ9" s="29">
        <f>(+SUMIFS(манзилли!$S:$S,манзилли!$D:$D,'свод (сектор вилоят)'!$B$7,манзилли!$AA:$AA,"&lt;01.01.2023",манзилли!$AA:$AA,"&gt;=01.01.2022",манзилли!$E:$E,"2"))</f>
        <v>0</v>
      </c>
      <c r="BK9" s="29">
        <f>(+SUMIFS(манзилли!$U:$U,манзилли!$D:$D,'свод (сектор вилоят)'!$B$7,манзилли!$AA:$AA,"&lt;01.01.2023",манзилли!$AA:$AA,"&gt;=01.01.2022",манзилли!$E:$E,"2"))</f>
        <v>0</v>
      </c>
      <c r="BL9" s="30">
        <f>+SUMIFS(манзилли!$Y:$Y,манзилли!$D:$D,'свод (сектор вилоят)'!$B$7,манзилли!$AA:$AA,"&lt;01.01.2023",манзилли!$AA:$AA,"&gt;=01.01.2022",манзилли!$E:$E,"2")</f>
        <v>0</v>
      </c>
    </row>
    <row r="10" spans="1:64" s="3" customFormat="1" ht="39.75" customHeight="1">
      <c r="A10" s="51"/>
      <c r="B10" s="27" t="s">
        <v>1773</v>
      </c>
      <c r="C10" s="28">
        <f>+COUNTIFS(манзилли!$D:$D,'свод (сектор вилоят)'!$B$7,манзилли!$E:$E,"3")</f>
        <v>17</v>
      </c>
      <c r="D10" s="29">
        <f>(+SUMIFS(манзилли!$K:$K,манзилли!$D:$D,'свод (сектор вилоят)'!$B$7,манзилли!$E:$E,"3"))</f>
        <v>417530</v>
      </c>
      <c r="E10" s="29">
        <f>(+SUMIFS(манзилли!$M:$M,манзилли!$D:$D,'свод (сектор вилоят)'!$B$7,манзилли!$E:$E,"3"))</f>
        <v>232255</v>
      </c>
      <c r="F10" s="29">
        <f>(+SUMIFS(манзилли!$Q:$Q,манзилли!$D:$D,'свод (сектор вилоят)'!$B$7,манзилли!$E:$E,"3"))</f>
        <v>16355</v>
      </c>
      <c r="G10" s="29">
        <f>(+SUMIFS(манзилли!$S:$S,манзилли!$D:$D,'свод (сектор вилоят)'!$B$7,манзилли!$E:$E,"3"))</f>
        <v>15900</v>
      </c>
      <c r="H10" s="29">
        <f>(+SUMIFS(манзилли!$U:$U,манзилли!$D:$D,'свод (сектор вилоят)'!$B$7,манзилли!$E:$E,"3"))</f>
        <v>500</v>
      </c>
      <c r="I10" s="30">
        <f>+SUMIFS(манзилли!$Y:$Y,манзилли!$D:$D,'свод (сектор вилоят)'!$B$7,манзилли!$E:$E,"3")</f>
        <v>880</v>
      </c>
      <c r="J10" s="28">
        <f>(+COUNTIFS(манзилли!$L:$L,"&gt;0",манзилли!$D:$D,'свод (сектор вилоят)'!$B$7,манзилли!$E:$E,"3")+COUNTIFS('Қўшимча ишга тушган'!$T:$T,"&gt;0",'Қўшимча ишга тушган'!$D:$D,'свод (сектор вилоят)'!$B$7,'Қўшимча ишга тушган'!$E:$E,"3"))</f>
        <v>10</v>
      </c>
      <c r="K10" s="30">
        <f>(+SUMIFS(манзилли!$L:$L,манзилли!$D:$D,'свод (сектор вилоят)'!$B$7,манзилли!$E:$E,"3")+SUMIFS('Қўшимча ишга тушган'!$T:$T,'Қўшимча ишга тушган'!$D:$D,'свод (сектор вилоят)'!$B$7,'Қўшимча ишга тушган'!$E:$E,"3"))</f>
        <v>28078</v>
      </c>
      <c r="L10" s="31">
        <f>(+SUMIFS(манзилли!$N:$N,манзилли!$D:$D,'свод (сектор вилоят)'!$B$7,манзилли!$E:$E,"3")+SUMIFS('Қўшимча ишга тушган'!$V:$V,'Қўшимча ишга тушган'!$D:$D,'свод (сектор вилоят)'!$B$7,'Қўшимча ишга тушган'!$E:$E,"3"))</f>
        <v>13540</v>
      </c>
      <c r="M10" s="29">
        <f>(+SUMIFS(манзилли!$R:$R,манзилли!$D:$D,'свод (сектор вилоят)'!$B$7,манзилли!$E:$E,"3")+SUMIFS('Қўшимча ишга тушган'!$Z:$Z,'Қўшимча ишга тушган'!$D:$D,'свод (сектор вилоят)'!$B$7,'Қўшимча ишга тушган'!$E:$E,"3"))</f>
        <v>9438</v>
      </c>
      <c r="N10" s="29">
        <f>(+SUMIFS(манзилли!$T:$T,манзилли!$D:$D,'свод (сектор вилоят)'!$B$7,манзилли!$E:$E,"3")+SUMIFS('Қўшимча ишга тушган'!$AB:$AB,'Қўшимча ишга тушган'!$D:$D,'свод (сектор вилоят)'!$B$7,'Қўшимча ишга тушган'!$E:$E,"3"))</f>
        <v>500</v>
      </c>
      <c r="O10" s="30">
        <f>(+SUMIFS(манзилли!$V:$V,манзилли!$D:$D,'свод (сектор вилоят)'!$B$7,манзилли!$E:$E,"3")+SUMIFS('Қўшимча ишга тушган'!$AD:$AD,'Қўшимча ишга тушган'!$D:$D,'свод (сектор вилоят)'!$B$7,'Қўшимча ишга тушган'!$E:$E,"3"))</f>
        <v>0</v>
      </c>
      <c r="P10" s="28">
        <f>+COUNTIFS(манзилли!$D:$D,'свод (сектор вилоят)'!$B$7,манзилли!$AA:$AA,"&gt;31.12.2020",манзилли!$AA:$AA,"&lt;01.01.2022",манзилли!$E:$E,"3")</f>
        <v>6</v>
      </c>
      <c r="Q10" s="29">
        <f>(+SUMIFS(манзилли!$K:$K,манзилли!$D:$D,'свод (сектор вилоят)'!$B$7,манзилли!$AA:$AA,"&gt;31.12.2020",манзилли!$AA:$AA,"&lt;01.01.2022",манзилли!$E:$E,"3"))</f>
        <v>232525</v>
      </c>
      <c r="R10" s="29">
        <f>(+SUMIFS(манзилли!$M:$M,манзилли!$D:$D,'свод (сектор вилоят)'!$B$7,манзилли!$AA:$AA,"&gt;31.12.2020",манзилли!$AA:$AA,"&lt;01.01.2022",манзилли!$E:$E,"3"))</f>
        <v>160225</v>
      </c>
      <c r="S10" s="29">
        <f>(+SUMIFS(манзилли!$Q:$Q,манзилли!$D:$D,'свод (сектор вилоят)'!$B$7,манзилли!$AA:$AA,"&gt;31.12.2020",манзилли!$AA:$AA,"&lt;01.01.2022",манзилли!$E:$E,"3"))</f>
        <v>200</v>
      </c>
      <c r="T10" s="29">
        <f>(+SUMIFS(манзилли!$S:$S,манзилли!$D:$D,'свод (сектор вилоят)'!$B$7,манзилли!$AA:$AA,"&gt;31.12.2020",манзилли!$AA:$AA,"&lt;01.01.2022",манзилли!$E:$E,"3"))</f>
        <v>6500</v>
      </c>
      <c r="U10" s="29">
        <f>(+SUMIFS(манзилли!$U:$U,манзилли!$D:$D,'свод (сектор вилоят)'!$B$7,манзилли!$AA:$AA,"&gt;31.12.2020",манзилли!$AA:$AA,"&lt;01.01.2022",манзилли!$E:$E,"3"))</f>
        <v>500</v>
      </c>
      <c r="V10" s="30">
        <f>+SUMIFS(манзилли!$Y:$Y,манзилли!$D:$D,'свод (сектор вилоят)'!$B$7,манзилли!$AA:$AA,"&gt;31.12.2020",манзилли!$AA:$AA,"&lt;01.01.2022",манзилли!$E:$E,"3")</f>
        <v>603</v>
      </c>
      <c r="W10" s="28">
        <f t="shared" si="10"/>
        <v>0</v>
      </c>
      <c r="X10" s="29">
        <f t="shared" si="11"/>
        <v>0</v>
      </c>
      <c r="Y10" s="29">
        <f t="shared" si="12"/>
        <v>0</v>
      </c>
      <c r="Z10" s="29">
        <f t="shared" si="13"/>
        <v>0</v>
      </c>
      <c r="AA10" s="29">
        <f t="shared" si="14"/>
        <v>0</v>
      </c>
      <c r="AB10" s="29">
        <f t="shared" si="15"/>
        <v>0</v>
      </c>
      <c r="AC10" s="30">
        <f t="shared" si="16"/>
        <v>0</v>
      </c>
      <c r="AD10" s="28">
        <f>+COUNTIFS(манзилли!$D:$D,'свод (сектор вилоят)'!$B$7,манзилли!$AB:$AB,"&gt;31.12.2020",манзилли!$AA:$AA,"&gt;31.12.2020",манзилли!$AA:$AA,"&lt;01.01.2022",манзилли!$E:$E,"3")</f>
        <v>0</v>
      </c>
      <c r="AE10" s="29">
        <f>(+SUMIFS(манзилли!$L:$L,манзилли!$D:$D,'свод (сектор вилоят)'!$B$7,манзилли!$AB:$AB,"&gt;31.12.2020",манзилли!$AA:$AA,"&gt;31.12.2020",манзилли!$AA:$AA,"&lt;01.01.2022",манзилли!$E:$E,"3"))</f>
        <v>0</v>
      </c>
      <c r="AF10" s="29">
        <f>(+SUMIFS(манзилли!$N:$N,манзилли!$D:$D,'свод (сектор вилоят)'!$B$7,манзилли!$AB:$AB,"&gt;31.12.2020",манзилли!$AA:$AA,"&gt;31.12.2020",манзилли!$AA:$AA,"&lt;01.01.2022",манзилли!$E:$E,"3"))</f>
        <v>0</v>
      </c>
      <c r="AG10" s="29">
        <f>(+SUMIFS(манзилли!$R:$R,манзилли!$D:$D,'свод (сектор вилоят)'!$B$7,манзилли!$AB:$AB,"&gt;31.12.2020",манзилли!$AA:$AA,"&gt;31.12.2020",манзилли!$AA:$AA,"&lt;01.01.2022",манзилли!$E:$E,"3"))</f>
        <v>0</v>
      </c>
      <c r="AH10" s="29">
        <f>(+SUMIFS(манзилли!$T:$T,манзилли!$D:$D,'свод (сектор вилоят)'!$B$7,манзилли!$AB:$AB,"&gt;31.12.2020",манзилли!$AA:$AA,"&gt;31.12.2020",манзилли!$AA:$AA,"&lt;01.01.2022",манзилли!$E:$E,"3"))</f>
        <v>0</v>
      </c>
      <c r="AI10" s="29">
        <f>(+SUMIFS(манзилли!$V:$V,манзилли!$D:$D,'свод (сектор вилоят)'!$B$7,манзилли!$AB:$AB,"&gt;31.12.2020",манзилли!$AA:$AA,"&gt;31.12.2020",манзилли!$AA:$AA,"&lt;01.01.2022",манзилли!$E:$E,"3"))</f>
        <v>0</v>
      </c>
      <c r="AJ10" s="30">
        <f>+SUMIFS(манзилли!$Z:$Z,манзилли!$D:$D,'свод (сектор вилоят)'!$B$7,манзилли!$AB:$AB,"&gt;31.12.2020",манзилли!$AA:$AA,"&gt;31.12.2020",манзилли!$AA:$AA,"&lt;01.01.2022",манзилли!$E:$E,"3")</f>
        <v>0</v>
      </c>
      <c r="AK10" s="28">
        <f>+COUNTIFS('Қўшимча ишга тушган'!$D:$D,'свод (сектор вилоят)'!B7,'Қўшимча ишга тушган'!$AO:$AO,"&lt;01.10.2023",манзилли!$E:$E,"3")</f>
        <v>0</v>
      </c>
      <c r="AL10" s="29">
        <f>(+SUMIFS('Қўшимча ишга тушган'!$T:$T,'Қўшимча ишга тушган'!$D:$D,'свод (сектор вилоят)'!$B$7,'Қўшимча ишга тушган'!$AO:$AO,"&lt;01.10.2023",манзилли!$E:$E,"3"))</f>
        <v>0</v>
      </c>
      <c r="AM10" s="29">
        <f>(+SUMIFS('Қўшимча ишга тушган'!$V:$V,'Қўшимча ишга тушган'!$D:$D,'свод (сектор вилоят)'!$B$7,'Қўшимча ишга тушган'!$AO:$AO,"&lt;01.10.2023",манзилли!$E:$E,"3"))</f>
        <v>0</v>
      </c>
      <c r="AN10" s="29">
        <f>(+SUMIFS('Қўшимча ишга тушган'!$Z:$Z,'Қўшимча ишга тушган'!$D:$D,'свод (сектор вилоят)'!$B$7,'Қўшимча ишга тушган'!$AO:$AO,"&lt;01.10.2023",манзилли!$E:$E,"3"))</f>
        <v>0</v>
      </c>
      <c r="AO10" s="29">
        <f>(+SUMIFS('Қўшимча ишга тушган'!$AB:$AB,'Қўшимча ишга тушган'!$D:$D,'свод (сектор вилоят)'!$B$7,'Қўшимча ишга тушган'!$AO:$AO,"&lt;01.10.2023",манзилли!$E:$E,"3"))</f>
        <v>0</v>
      </c>
      <c r="AP10" s="29">
        <f>(+SUMIFS('Қўшимча ишга тушган'!$AD:$AD,'Қўшимча ишга тушган'!$D:$D,'свод (сектор вилоят)'!$B$7,'Қўшимча ишга тушган'!$AO:$AO,"&lt;01.10.2023",манзилли!$E:$E,"3"))</f>
        <v>0</v>
      </c>
      <c r="AQ10" s="30">
        <f>+SUMIFS('Қўшимча ишга тушган'!$AM:$AM,'Қўшимча ишга тушган'!$D:$D,'свод (сектор вилоят)'!$B$7,'Қўшимча ишга тушган'!$AO:$AO,"&lt;01.10.2023",манзилли!$E:$E,"3")</f>
        <v>0</v>
      </c>
      <c r="AR10" s="28">
        <f>+COUNTIFS(манзилли!$D:$D,'свод (сектор вилоят)'!$B$7,манзилли!$AA:$AA,"&lt;01.02.2021",манзилли!$AB:$AB,"",манзилли!$E:$E,"3")</f>
        <v>0</v>
      </c>
      <c r="AS10" s="29">
        <f>(+SUMIFS(манзилли!$K:$K,манзилли!$D:$D,'свод (сектор вилоят)'!$B$7,манзилли!$AA:$AA,"&lt;01.02.2021",манзилли!$AB:$AB,"",манзилли!$E:$E,"3"))</f>
        <v>0</v>
      </c>
      <c r="AT10" s="29">
        <f>(+SUMIFS(манзилли!$M:$M,манзилли!$D:$D,'свод (сектор вилоят)'!$B$7,манзилли!$AA:$AA,"&lt;01.02.2021",манзилли!$AB:$AB,"",манзилли!$E:$E,"3"))</f>
        <v>0</v>
      </c>
      <c r="AU10" s="29">
        <f>(+SUMIFS(манзилли!$Q:$Q,манзилли!$D:$D,'свод (сектор вилоят)'!$B$7,манзилли!$AA:$AA,"&lt;01.02.2021",манзилли!$AB:$AB,"",манзилли!$E:$E,"3"))</f>
        <v>0</v>
      </c>
      <c r="AV10" s="29">
        <f>(+SUMIFS(манзилли!$S:$S,манзилли!$D:$D,'свод (сектор вилоят)'!$B$7,манзилли!$AA:$AA,"&lt;01.02.2021",манзилли!$AB:$AB,"",манзилли!$E:$E,"3"))</f>
        <v>0</v>
      </c>
      <c r="AW10" s="29">
        <f>(+SUMIFS(манзилли!$U:$U,манзилли!$D:$D,'свод (сектор вилоят)'!$B$7,манзилли!$AA:$AA,"&lt;01.02.2021",манзилли!$AB:$AB,"",манзилли!$E:$E,"3"))</f>
        <v>0</v>
      </c>
      <c r="AX10" s="30">
        <f>+SUMIFS(манзилли!$Y:$Y,манзилли!$D:$D,'свод (сектор вилоят)'!$B$7,манзилли!$AA:$AA,"&lt;01.02.2021",манзилли!$AB:$AB,"",манзилли!$E:$E,"3")</f>
        <v>0</v>
      </c>
      <c r="AY10" s="28">
        <f>+COUNTIFS(манзилли!$D:$D,'свод (сектор вилоят)'!$B$7,манзилли!$AA:$AA,"&lt;01.01.2022",манзилли!$AB:$AB,"",манзилли!$E:$E,"3")</f>
        <v>6</v>
      </c>
      <c r="AZ10" s="29">
        <f>(+SUMIFS(манзилли!$K:$K,манзилли!$D:$D,'свод (сектор вилоят)'!$B$7,манзилли!$AA:$AA,"&lt;01.01.2022",манзилли!$AB:$AB,"",манзилли!$E:$E,"3"))</f>
        <v>232525</v>
      </c>
      <c r="BA10" s="29">
        <f>(+SUMIFS(манзилли!$M:$M,манзилли!$D:$D,'свод (сектор вилоят)'!$B$7,манзилли!$AA:$AA,"&lt;01.01.2022",манзилли!$AB:$AB,"",манзилли!$E:$E,"3"))</f>
        <v>160225</v>
      </c>
      <c r="BB10" s="29">
        <f>(+SUMIFS(манзилли!$Q:$Q,манзилли!$D:$D,'свод (сектор вилоят)'!$B$7,манзилли!$AA:$AA,"&lt;01.01.2022",манзилли!$AB:$AB,"",манзилли!$E:$E,"3"))</f>
        <v>200</v>
      </c>
      <c r="BC10" s="29">
        <f>(+SUMIFS(манзилли!$S:$S,манзилли!$D:$D,'свод (сектор вилоят)'!$B$7,манзилли!$AA:$AA,"&lt;01.01.2022",манзилли!$AB:$AB,"",манзилли!$E:$E,"3"))</f>
        <v>6500</v>
      </c>
      <c r="BD10" s="29">
        <f>(+SUMIFS(манзилли!$U:$U,манзилли!$D:$D,'свод (сектор вилоят)'!$B$7,манзилли!$AA:$AA,"&lt;01.01.2022",манзилли!$AB:$AB,"",манзилли!$E:$E,"3"))</f>
        <v>500</v>
      </c>
      <c r="BE10" s="30">
        <f>+SUMIFS(манзилли!$Y:$Y,манзилли!$D:$D,'свод (сектор вилоят)'!$B$7,манзилли!$AA:$AA,"&lt;01.01.2022",манзилли!$AB:$AB,"",манзилли!$E:$E,"3")</f>
        <v>603</v>
      </c>
      <c r="BF10" s="28">
        <f>+COUNTIFS(манзилли!$D:$D,'свод (сектор вилоят)'!$B$7,манзилли!$AA:$AA,"&lt;01.01.2023",манзилли!$AA:$AA,"&gt;=01.01.2022",манзилли!$E:$E,"3")</f>
        <v>4</v>
      </c>
      <c r="BG10" s="29">
        <f>(+SUMIFS(манзилли!$K:$K,манзилли!$D:$D,'свод (сектор вилоят)'!$B$7,манзилли!$AA:$AA,"&lt;01.01.2023",манзилли!$AA:$AA,"&gt;=01.01.2022",манзилли!$E:$E,"3"))</f>
        <v>165660</v>
      </c>
      <c r="BH10" s="29">
        <f>(+SUMIFS(манзилли!$M:$M,манзилли!$D:$D,'свод (сектор вилоят)'!$B$7,манзилли!$AA:$AA,"&lt;01.01.2023",манзилли!$AA:$AA,"&gt;=01.01.2022",манзилли!$E:$E,"3"))</f>
        <v>59090</v>
      </c>
      <c r="BI10" s="29">
        <f>(+SUMIFS(манзилли!$Q:$Q,манзилли!$D:$D,'свод (сектор вилоят)'!$B$7,манзилли!$AA:$AA,"&lt;01.01.2023",манзилли!$AA:$AA,"&gt;=01.01.2022",манзилли!$E:$E,"3"))</f>
        <v>9750</v>
      </c>
      <c r="BJ10" s="29">
        <f>(+SUMIFS(манзилли!$S:$S,манзилли!$D:$D,'свод (сектор вилоят)'!$B$7,манзилли!$AA:$AA,"&lt;01.01.2023",манзилли!$AA:$AA,"&gt;=01.01.2022",манзилли!$E:$E,"3"))</f>
        <v>9400</v>
      </c>
      <c r="BK10" s="29">
        <f>(+SUMIFS(манзилли!$U:$U,манзилли!$D:$D,'свод (сектор вилоят)'!$B$7,манзилли!$AA:$AA,"&lt;01.01.2023",манзилли!$AA:$AA,"&gt;=01.01.2022",манзилли!$E:$E,"3"))</f>
        <v>0</v>
      </c>
      <c r="BL10" s="30">
        <f>+SUMIFS(манзилли!$Y:$Y,манзилли!$D:$D,'свод (сектор вилоят)'!$B$7,манзилли!$AA:$AA,"&lt;01.01.2023",манзилли!$AA:$AA,"&gt;=01.01.2022",манзилли!$E:$E,"3")</f>
        <v>236</v>
      </c>
    </row>
    <row r="11" spans="1:64" s="3" customFormat="1" ht="39.75" customHeight="1" thickBot="1">
      <c r="A11" s="55"/>
      <c r="B11" s="36" t="s">
        <v>1774</v>
      </c>
      <c r="C11" s="37">
        <f>+COUNTIFS(манзилли!$D:$D,'свод (сектор вилоят)'!$B$7,манзилли!$E:$E,"4")</f>
        <v>18</v>
      </c>
      <c r="D11" s="38">
        <f>(+SUMIFS(манзилли!$K:$K,манзилли!$D:$D,'свод (сектор вилоят)'!$B$7,манзилли!$E:$E,"4"))</f>
        <v>224383</v>
      </c>
      <c r="E11" s="38">
        <f>(+SUMIFS(манзилли!$M:$M,манзилли!$D:$D,'свод (сектор вилоят)'!$B$7,манзилли!$E:$E,"4"))</f>
        <v>82452</v>
      </c>
      <c r="F11" s="38">
        <f>(+SUMIFS(манзилли!$Q:$Q,манзилли!$D:$D,'свод (сектор вилоят)'!$B$7,манзилли!$E:$E,"4"))</f>
        <v>131631</v>
      </c>
      <c r="G11" s="38">
        <f>(+SUMIFS(манзилли!$S:$S,манзилли!$D:$D,'свод (сектор вилоят)'!$B$7,манзилли!$E:$E,"4"))</f>
        <v>1000</v>
      </c>
      <c r="H11" s="38">
        <f>(+SUMIFS(манзилли!$U:$U,манзилли!$D:$D,'свод (сектор вилоят)'!$B$7,манзилли!$E:$E,"4"))</f>
        <v>0</v>
      </c>
      <c r="I11" s="39">
        <f>+SUMIFS(манзилли!$Y:$Y,манзилли!$D:$D,'свод (сектор вилоят)'!$B$7,манзилли!$E:$E,"4")</f>
        <v>265</v>
      </c>
      <c r="J11" s="37">
        <f>(+COUNTIFS(манзилли!$L:$L,"&gt;0",манзилли!$D:$D,'свод (сектор вилоят)'!$B$7,манзилли!$E:$E,"4")+COUNTIFS('Қўшимча ишга тушган'!$T:$T,"&gt;0",'Қўшимча ишга тушган'!$D:$D,'свод (сектор вилоят)'!$B$7,'Қўшимча ишга тушган'!$E:$E,"4"))</f>
        <v>15</v>
      </c>
      <c r="K11" s="39">
        <f>(+SUMIFS(манзилли!$L:$L,манзилли!$D:$D,'свод (сектор вилоят)'!$B$7,манзилли!$E:$E,"4")+SUMIFS('Қўшимча ишга тушган'!$T:$T,'Қўшимча ишга тушган'!$D:$D,'свод (сектор вилоят)'!$B$7,'Қўшимча ишга тушган'!$E:$E,"4"))</f>
        <v>99569</v>
      </c>
      <c r="L11" s="40">
        <f>(+SUMIFS(манзилли!$N:$N,манзилли!$D:$D,'свод (сектор вилоят)'!$B$7,манзилли!$E:$E,"4")+SUMIFS('Қўшимча ишга тушган'!$V:$V,'Қўшимча ишга тушган'!$D:$D,'свод (сектор вилоят)'!$B$7,'Қўшимча ишга тушган'!$E:$E,"4"))</f>
        <v>2993</v>
      </c>
      <c r="M11" s="38">
        <f>(+SUMIFS(манзилли!$R:$R,манзилли!$D:$D,'свод (сектор вилоят)'!$B$7,манзилли!$E:$E,"4")+SUMIFS('Қўшимча ишга тушган'!$Z:$Z,'Қўшимча ишга тушган'!$D:$D,'свод (сектор вилоят)'!$B$7,'Қўшимча ишга тушган'!$E:$E,"4"))</f>
        <v>86376</v>
      </c>
      <c r="N11" s="38">
        <f>(+SUMIFS(манзилли!$T:$T,манзилли!$D:$D,'свод (сектор вилоят)'!$B$7,манзилли!$E:$E,"4")+SUMIFS('Қўшимча ишга тушган'!$AB:$AB,'Қўшимча ишга тушган'!$D:$D,'свод (сектор вилоят)'!$B$7,'Қўшимча ишга тушган'!$E:$E,"4"))</f>
        <v>1000</v>
      </c>
      <c r="O11" s="39">
        <f>(+SUMIFS(манзилли!$V:$V,манзилли!$D:$D,'свод (сектор вилоят)'!$B$7,манзилли!$E:$E,"4")+SUMIFS('Қўшимча ишга тушган'!$AD:$AD,'Қўшимча ишга тушган'!$D:$D,'свод (сектор вилоят)'!$B$7,'Қўшимча ишга тушган'!$E:$E,"4"))</f>
        <v>0</v>
      </c>
      <c r="P11" s="37">
        <f>+COUNTIFS(манзилли!$D:$D,'свод (сектор вилоят)'!$B$7,манзилли!$AA:$AA,"&gt;31.12.2020",манзилли!$AA:$AA,"&lt;01.01.2022",манзилли!$E:$E,"4")</f>
        <v>13</v>
      </c>
      <c r="Q11" s="38">
        <f>(+SUMIFS(манзилли!$K:$K,манзилли!$D:$D,'свод (сектор вилоят)'!$B$7,манзилли!$AA:$AA,"&gt;31.12.2020",манзилли!$AA:$AA,"&lt;01.01.2022",манзилли!$E:$E,"4"))</f>
        <v>219399</v>
      </c>
      <c r="R11" s="38">
        <f>(+SUMIFS(манзилли!$M:$M,манзилли!$D:$D,'свод (сектор вилоят)'!$B$7,манзилли!$AA:$AA,"&gt;31.12.2020",манзилли!$AA:$AA,"&lt;01.01.2022",манзилли!$E:$E,"4"))</f>
        <v>80099</v>
      </c>
      <c r="S11" s="38">
        <f>(+SUMIFS(манзилли!$Q:$Q,манзилли!$D:$D,'свод (сектор вилоят)'!$B$7,манзилли!$AA:$AA,"&gt;31.12.2020",манзилли!$AA:$AA,"&lt;01.01.2022",манзилли!$E:$E,"4"))</f>
        <v>129000</v>
      </c>
      <c r="T11" s="38">
        <f>(+SUMIFS(манзилли!$S:$S,манзилли!$D:$D,'свод (сектор вилоят)'!$B$7,манзилли!$AA:$AA,"&gt;31.12.2020",манзилли!$AA:$AA,"&lt;01.01.2022",манзилли!$E:$E,"4"))</f>
        <v>1000</v>
      </c>
      <c r="U11" s="38">
        <f>(+SUMIFS(манзилли!$U:$U,манзилли!$D:$D,'свод (сектор вилоят)'!$B$7,манзилли!$AA:$AA,"&gt;31.12.2020",манзилли!$AA:$AA,"&lt;01.01.2022",манзилли!$E:$E,"4"))</f>
        <v>0</v>
      </c>
      <c r="V11" s="39">
        <f>+SUMIFS(манзилли!$Y:$Y,манзилли!$D:$D,'свод (сектор вилоят)'!$B$7,манзилли!$AA:$AA,"&gt;31.12.2020",манзилли!$AA:$AA,"&lt;01.01.2022",манзилли!$E:$E,"4")</f>
        <v>241</v>
      </c>
      <c r="W11" s="37">
        <f t="shared" si="10"/>
        <v>0</v>
      </c>
      <c r="X11" s="38">
        <f t="shared" si="11"/>
        <v>0</v>
      </c>
      <c r="Y11" s="38">
        <f t="shared" si="12"/>
        <v>0</v>
      </c>
      <c r="Z11" s="38">
        <f t="shared" si="13"/>
        <v>0</v>
      </c>
      <c r="AA11" s="38">
        <f t="shared" si="14"/>
        <v>0</v>
      </c>
      <c r="AB11" s="38">
        <f t="shared" si="15"/>
        <v>0</v>
      </c>
      <c r="AC11" s="39">
        <f t="shared" si="16"/>
        <v>0</v>
      </c>
      <c r="AD11" s="37">
        <f>+COUNTIFS(манзилли!$D:$D,'свод (сектор вилоят)'!$B$7,манзилли!$AB:$AB,"&gt;31.12.2020",манзилли!$AA:$AA,"&gt;31.12.2020",манзилли!$AA:$AA,"&lt;01.01.2022",манзилли!$E:$E,"4")</f>
        <v>0</v>
      </c>
      <c r="AE11" s="38">
        <f>(+SUMIFS(манзилли!$L:$L,манзилли!$D:$D,'свод (сектор вилоят)'!$B$7,манзилли!$AB:$AB,"&gt;31.12.2020",манзилли!$AA:$AA,"&gt;31.12.2020",манзилли!$AA:$AA,"&lt;01.01.2022",манзилли!$E:$E,"4"))</f>
        <v>0</v>
      </c>
      <c r="AF11" s="38">
        <f>(+SUMIFS(манзилли!$N:$N,манзилли!$D:$D,'свод (сектор вилоят)'!$B$7,манзилли!$AB:$AB,"&gt;31.12.2020",манзилли!$AA:$AA,"&gt;31.12.2020",манзилли!$AA:$AA,"&lt;01.01.2022",манзилли!$E:$E,"4"))</f>
        <v>0</v>
      </c>
      <c r="AG11" s="38">
        <f>(+SUMIFS(манзилли!$R:$R,манзилли!$D:$D,'свод (сектор вилоят)'!$B$7,манзилли!$AB:$AB,"&gt;31.12.2020",манзилли!$AA:$AA,"&gt;31.12.2020",манзилли!$AA:$AA,"&lt;01.01.2022",манзилли!$E:$E,"4"))</f>
        <v>0</v>
      </c>
      <c r="AH11" s="38">
        <f>(+SUMIFS(манзилли!$T:$T,манзилли!$D:$D,'свод (сектор вилоят)'!$B$7,манзилли!$AB:$AB,"&gt;31.12.2020",манзилли!$AA:$AA,"&gt;31.12.2020",манзилли!$AA:$AA,"&lt;01.01.2022",манзилли!$E:$E,"4"))</f>
        <v>0</v>
      </c>
      <c r="AI11" s="38">
        <f>(+SUMIFS(манзилли!$V:$V,манзилли!$D:$D,'свод (сектор вилоят)'!$B$7,манзилли!$AB:$AB,"&gt;31.12.2020",манзилли!$AA:$AA,"&gt;31.12.2020",манзилли!$AA:$AA,"&lt;01.01.2022",манзилли!$E:$E,"4"))</f>
        <v>0</v>
      </c>
      <c r="AJ11" s="39">
        <f>+SUMIFS(манзилли!$Z:$Z,манзилли!$D:$D,'свод (сектор вилоят)'!$B$7,манзилли!$AB:$AB,"&gt;31.12.2020",манзилли!$AA:$AA,"&gt;31.12.2020",манзилли!$AA:$AA,"&lt;01.01.2022",манзилли!$E:$E,"4")</f>
        <v>0</v>
      </c>
      <c r="AK11" s="37">
        <f>+COUNTIFS('Қўшимча ишга тушган'!$D:$D,'свод (сектор вилоят)'!B7,'Қўшимча ишга тушган'!$AO:$AO,"&lt;01.10.2023",манзилли!$E:$E,"4")</f>
        <v>0</v>
      </c>
      <c r="AL11" s="38">
        <f>(+SUMIFS('Қўшимча ишга тушган'!$T:$T,'Қўшимча ишга тушган'!$D:$D,'свод (сектор вилоят)'!$B$7,'Қўшимча ишга тушган'!$AO:$AO,"&lt;01.10.2023",манзилли!$E:$E,"4"))</f>
        <v>0</v>
      </c>
      <c r="AM11" s="38">
        <f>(+SUMIFS('Қўшимча ишга тушган'!$V:$V,'Қўшимча ишга тушган'!$D:$D,'свод (сектор вилоят)'!$B$7,'Қўшимча ишга тушган'!$AO:$AO,"&lt;01.10.2023",манзилли!$E:$E,"4"))</f>
        <v>0</v>
      </c>
      <c r="AN11" s="38">
        <f>(+SUMIFS('Қўшимча ишга тушган'!$Z:$Z,'Қўшимча ишга тушган'!$D:$D,'свод (сектор вилоят)'!$B$7,'Қўшимча ишга тушган'!$AO:$AO,"&lt;01.10.2023",манзилли!$E:$E,"4"))</f>
        <v>0</v>
      </c>
      <c r="AO11" s="38">
        <f>(+SUMIFS('Қўшимча ишга тушган'!$AB:$AB,'Қўшимча ишга тушган'!$D:$D,'свод (сектор вилоят)'!$B$7,'Қўшимча ишга тушган'!$AO:$AO,"&lt;01.10.2023",манзилли!$E:$E,"4"))</f>
        <v>0</v>
      </c>
      <c r="AP11" s="38">
        <f>(+SUMIFS('Қўшимча ишга тушган'!$AD:$AD,'Қўшимча ишга тушган'!$D:$D,'свод (сектор вилоят)'!$B$7,'Қўшимча ишга тушган'!$AO:$AO,"&lt;01.10.2023",манзилли!$E:$E,"4"))</f>
        <v>0</v>
      </c>
      <c r="AQ11" s="39">
        <f>+SUMIFS('Қўшимча ишга тушган'!$AM:$AM,'Қўшимча ишга тушган'!$D:$D,'свод (сектор вилоят)'!$B$7,'Қўшимча ишга тушган'!$AO:$AO,"&lt;01.10.2023",манзилли!$E:$E,"4")</f>
        <v>0</v>
      </c>
      <c r="AR11" s="37">
        <f>+COUNTIFS(манзилли!$D:$D,'свод (сектор вилоят)'!$B$7,манзилли!$AA:$AA,"&lt;01.02.2021",манзилли!$AB:$AB,"",манзилли!$E:$E,"4")</f>
        <v>0</v>
      </c>
      <c r="AS11" s="38">
        <f>(+SUMIFS(манзилли!$K:$K,манзилли!$D:$D,'свод (сектор вилоят)'!$B$7,манзилли!$AA:$AA,"&lt;01.02.2021",манзилли!$AB:$AB,"",манзилли!$E:$E,"4"))</f>
        <v>0</v>
      </c>
      <c r="AT11" s="38">
        <f>(+SUMIFS(манзилли!$M:$M,манзилли!$D:$D,'свод (сектор вилоят)'!$B$7,манзилли!$AA:$AA,"&lt;01.02.2021",манзилли!$AB:$AB,"",манзилли!$E:$E,"4"))</f>
        <v>0</v>
      </c>
      <c r="AU11" s="38">
        <f>(+SUMIFS(манзилли!$Q:$Q,манзилли!$D:$D,'свод (сектор вилоят)'!$B$7,манзилли!$AA:$AA,"&lt;01.02.2021",манзилли!$AB:$AB,"",манзилли!$E:$E,"4"))</f>
        <v>0</v>
      </c>
      <c r="AV11" s="38">
        <f>(+SUMIFS(манзилли!$S:$S,манзилли!$D:$D,'свод (сектор вилоят)'!$B$7,манзилли!$AA:$AA,"&lt;01.02.2021",манзилли!$AB:$AB,"",манзилли!$E:$E,"4"))</f>
        <v>0</v>
      </c>
      <c r="AW11" s="38">
        <f>(+SUMIFS(манзилли!$U:$U,манзилли!$D:$D,'свод (сектор вилоят)'!$B$7,манзилли!$AA:$AA,"&lt;01.02.2021",манзилли!$AB:$AB,"",манзилли!$E:$E,"4"))</f>
        <v>0</v>
      </c>
      <c r="AX11" s="39">
        <f>+SUMIFS(манзилли!$Y:$Y,манзилли!$D:$D,'свод (сектор вилоят)'!$B$7,манзилли!$AA:$AA,"&lt;01.02.2021",манзилли!$AB:$AB,"",манзилли!$E:$E,"4")</f>
        <v>0</v>
      </c>
      <c r="AY11" s="37">
        <f>+COUNTIFS(манзилли!$D:$D,'свод (сектор вилоят)'!$B$7,манзилли!$AA:$AA,"&lt;01.01.2022",манзилли!$AB:$AB,"",манзилли!$E:$E,"4")</f>
        <v>11</v>
      </c>
      <c r="AZ11" s="38">
        <f>(+SUMIFS(манзилли!$K:$K,манзилли!$D:$D,'свод (сектор вилоят)'!$B$7,манзилли!$AA:$AA,"&lt;01.01.2022",манзилли!$AB:$AB,"",манзилли!$E:$E,"4"))</f>
        <v>217359</v>
      </c>
      <c r="BA11" s="38">
        <f>(+SUMIFS(манзилли!$M:$M,манзилли!$D:$D,'свод (сектор вилоят)'!$B$7,манзилли!$AA:$AA,"&lt;01.01.2022",манзилли!$AB:$AB,"",манзилли!$E:$E,"4"))</f>
        <v>79459</v>
      </c>
      <c r="BB11" s="38">
        <f>(+SUMIFS(манзилли!$Q:$Q,манзилли!$D:$D,'свод (сектор вилоят)'!$B$7,манзилли!$AA:$AA,"&lt;01.01.2022",манзилли!$AB:$AB,"",манзилли!$E:$E,"4"))</f>
        <v>127600</v>
      </c>
      <c r="BC11" s="38">
        <f>(+SUMIFS(манзилли!$S:$S,манзилли!$D:$D,'свод (сектор вилоят)'!$B$7,манзилли!$AA:$AA,"&lt;01.01.2022",манзилли!$AB:$AB,"",манзилли!$E:$E,"4"))</f>
        <v>1000</v>
      </c>
      <c r="BD11" s="38">
        <f>(+SUMIFS(манзилли!$U:$U,манзилли!$D:$D,'свод (сектор вилоят)'!$B$7,манзилли!$AA:$AA,"&lt;01.01.2022",манзилли!$AB:$AB,"",манзилли!$E:$E,"4"))</f>
        <v>0</v>
      </c>
      <c r="BE11" s="39">
        <f>+SUMIFS(манзилли!$Y:$Y,манзилли!$D:$D,'свод (сектор вилоят)'!$B$7,манзилли!$AA:$AA,"&lt;01.01.2022",манзилли!$AB:$AB,"",манзилли!$E:$E,"4")</f>
        <v>231</v>
      </c>
      <c r="BF11" s="37">
        <f>+COUNTIFS(манзилли!$D:$D,'свод (сектор вилоят)'!$B$7,манзилли!$AA:$AA,"&lt;01.01.2023",манзилли!$AA:$AA,"&gt;=01.01.2022",манзилли!$E:$E,"4")</f>
        <v>0</v>
      </c>
      <c r="BG11" s="38">
        <f>(+SUMIFS(манзилли!$K:$K,манзилли!$D:$D,'свод (сектор вилоят)'!$B$7,манзилли!$AA:$AA,"&lt;01.01.2023",манзилли!$AA:$AA,"&gt;=01.01.2022",манзилли!$E:$E,"4"))</f>
        <v>0</v>
      </c>
      <c r="BH11" s="38">
        <f>(+SUMIFS(манзилли!$M:$M,манзилли!$D:$D,'свод (сектор вилоят)'!$B$7,манзилли!$AA:$AA,"&lt;01.01.2023",манзилли!$AA:$AA,"&gt;=01.01.2022",манзилли!$E:$E,"4"))</f>
        <v>0</v>
      </c>
      <c r="BI11" s="38">
        <f>(+SUMIFS(манзилли!$Q:$Q,манзилли!$D:$D,'свод (сектор вилоят)'!$B$7,манзилли!$AA:$AA,"&lt;01.01.2023",манзилли!$AA:$AA,"&gt;=01.01.2022",манзилли!$E:$E,"4"))</f>
        <v>0</v>
      </c>
      <c r="BJ11" s="38">
        <f>(+SUMIFS(манзилли!$S:$S,манзилли!$D:$D,'свод (сектор вилоят)'!$B$7,манзилли!$AA:$AA,"&lt;01.01.2023",манзилли!$AA:$AA,"&gt;=01.01.2022",манзилли!$E:$E,"4"))</f>
        <v>0</v>
      </c>
      <c r="BK11" s="38">
        <f>(+SUMIFS(манзилли!$U:$U,манзилли!$D:$D,'свод (сектор вилоят)'!$B$7,манзилли!$AA:$AA,"&lt;01.01.2023",манзилли!$AA:$AA,"&gt;=01.01.2022",манзилли!$E:$E,"4"))</f>
        <v>0</v>
      </c>
      <c r="BL11" s="39">
        <f>+SUMIFS(манзилли!$Y:$Y,манзилли!$D:$D,'свод (сектор вилоят)'!$B$7,манзилли!$AA:$AA,"&lt;01.01.2023",манзилли!$AA:$AA,"&gt;=01.01.2022",манзилли!$E:$E,"4")</f>
        <v>0</v>
      </c>
    </row>
    <row r="12" spans="1:64" s="3" customFormat="1" ht="39.75" customHeight="1" thickBot="1">
      <c r="A12" s="53">
        <v>2</v>
      </c>
      <c r="B12" s="54" t="s">
        <v>183</v>
      </c>
      <c r="C12" s="41">
        <f>+SUM(C13:C16)</f>
        <v>66</v>
      </c>
      <c r="D12" s="41">
        <f t="shared" ref="D12" si="17">+SUM(D13:D16)</f>
        <v>229473.3</v>
      </c>
      <c r="E12" s="41">
        <f t="shared" ref="E12" si="18">+SUM(E13:E16)</f>
        <v>83944</v>
      </c>
      <c r="F12" s="41">
        <f t="shared" ref="F12" si="19">+SUM(F13:F16)</f>
        <v>45595</v>
      </c>
      <c r="G12" s="41">
        <f t="shared" ref="G12" si="20">+SUM(G13:G16)</f>
        <v>8771</v>
      </c>
      <c r="H12" s="41">
        <f t="shared" ref="H12" si="21">+SUM(H13:H16)</f>
        <v>0</v>
      </c>
      <c r="I12" s="41">
        <f t="shared" ref="I12" si="22">+SUM(I13:I16)</f>
        <v>1172</v>
      </c>
      <c r="J12" s="41">
        <f t="shared" ref="J12" si="23">+SUM(J13:J16)</f>
        <v>42</v>
      </c>
      <c r="K12" s="41">
        <f t="shared" ref="K12" si="24">+SUM(K13:K16)</f>
        <v>54731.6</v>
      </c>
      <c r="L12" s="41">
        <f t="shared" ref="L12" si="25">+SUM(L13:L16)</f>
        <v>13132.1</v>
      </c>
      <c r="M12" s="41">
        <f t="shared" ref="M12" si="26">+SUM(M13:M16)</f>
        <v>18795.5</v>
      </c>
      <c r="N12" s="41">
        <f t="shared" ref="N12" si="27">+SUM(N13:N16)</f>
        <v>2229.5</v>
      </c>
      <c r="O12" s="41">
        <f t="shared" ref="O12" si="28">+SUM(O13:O16)</f>
        <v>0</v>
      </c>
      <c r="P12" s="41">
        <f t="shared" ref="P12" si="29">+SUM(P13:P16)</f>
        <v>47</v>
      </c>
      <c r="Q12" s="41">
        <f t="shared" ref="Q12" si="30">+SUM(Q13:Q16)</f>
        <v>84451.5</v>
      </c>
      <c r="R12" s="41">
        <f t="shared" ref="R12" si="31">+SUM(R13:R16)</f>
        <v>34007</v>
      </c>
      <c r="S12" s="41">
        <f t="shared" ref="S12" si="32">+SUM(S13:S16)</f>
        <v>33295</v>
      </c>
      <c r="T12" s="41">
        <f t="shared" ref="T12" si="33">+SUM(T13:T16)</f>
        <v>1665</v>
      </c>
      <c r="U12" s="41">
        <f t="shared" ref="U12" si="34">+SUM(U13:U16)</f>
        <v>0</v>
      </c>
      <c r="V12" s="41">
        <f t="shared" ref="V12" si="35">+SUM(V13:V16)</f>
        <v>343</v>
      </c>
      <c r="W12" s="41">
        <f t="shared" ref="W12" si="36">+SUM(W13:W16)</f>
        <v>5</v>
      </c>
      <c r="X12" s="41">
        <f t="shared" ref="X12" si="37">+SUM(X13:X16)</f>
        <v>2762</v>
      </c>
      <c r="Y12" s="41">
        <f t="shared" ref="Y12" si="38">+SUM(Y13:Y16)</f>
        <v>900</v>
      </c>
      <c r="Z12" s="41">
        <f t="shared" ref="Z12" si="39">+SUM(Z13:Z16)</f>
        <v>1862</v>
      </c>
      <c r="AA12" s="41">
        <f t="shared" ref="AA12" si="40">+SUM(AA13:AA16)</f>
        <v>0</v>
      </c>
      <c r="AB12" s="41">
        <f t="shared" ref="AB12" si="41">+SUM(AB13:AB16)</f>
        <v>0</v>
      </c>
      <c r="AC12" s="41">
        <f t="shared" ref="AC12" si="42">+SUM(AC13:AC16)</f>
        <v>33</v>
      </c>
      <c r="AD12" s="41">
        <f t="shared" ref="AD12" si="43">+SUM(AD13:AD16)</f>
        <v>5</v>
      </c>
      <c r="AE12" s="41">
        <f t="shared" ref="AE12" si="44">+SUM(AE13:AE16)</f>
        <v>2762</v>
      </c>
      <c r="AF12" s="41">
        <f t="shared" ref="AF12" si="45">+SUM(AF13:AF16)</f>
        <v>900</v>
      </c>
      <c r="AG12" s="41">
        <f t="shared" ref="AG12" si="46">+SUM(AG13:AG16)</f>
        <v>1862</v>
      </c>
      <c r="AH12" s="41">
        <f t="shared" ref="AH12" si="47">+SUM(AH13:AH16)</f>
        <v>0</v>
      </c>
      <c r="AI12" s="41">
        <f t="shared" ref="AI12" si="48">+SUM(AI13:AI16)</f>
        <v>0</v>
      </c>
      <c r="AJ12" s="41">
        <f t="shared" ref="AJ12" si="49">+SUM(AJ13:AJ16)</f>
        <v>33</v>
      </c>
      <c r="AK12" s="41">
        <f t="shared" ref="AK12" si="50">+SUM(AK13:AK16)</f>
        <v>0</v>
      </c>
      <c r="AL12" s="41">
        <f t="shared" ref="AL12" si="51">+SUM(AL13:AL16)</f>
        <v>0</v>
      </c>
      <c r="AM12" s="41">
        <f t="shared" ref="AM12" si="52">+SUM(AM13:AM16)</f>
        <v>0</v>
      </c>
      <c r="AN12" s="41">
        <f t="shared" ref="AN12" si="53">+SUM(AN13:AN16)</f>
        <v>0</v>
      </c>
      <c r="AO12" s="41">
        <f t="shared" ref="AO12" si="54">+SUM(AO13:AO16)</f>
        <v>0</v>
      </c>
      <c r="AP12" s="41">
        <f t="shared" ref="AP12" si="55">+SUM(AP13:AP16)</f>
        <v>0</v>
      </c>
      <c r="AQ12" s="41">
        <f t="shared" ref="AQ12" si="56">+SUM(AQ13:AQ16)</f>
        <v>0</v>
      </c>
      <c r="AR12" s="41">
        <f t="shared" ref="AR12" si="57">+SUM(AR13:AR16)</f>
        <v>0</v>
      </c>
      <c r="AS12" s="41">
        <f t="shared" ref="AS12" si="58">+SUM(AS13:AS16)</f>
        <v>0</v>
      </c>
      <c r="AT12" s="41">
        <f t="shared" ref="AT12" si="59">+SUM(AT13:AT16)</f>
        <v>0</v>
      </c>
      <c r="AU12" s="41">
        <f t="shared" ref="AU12" si="60">+SUM(AU13:AU16)</f>
        <v>0</v>
      </c>
      <c r="AV12" s="41">
        <f t="shared" ref="AV12" si="61">+SUM(AV13:AV16)</f>
        <v>0</v>
      </c>
      <c r="AW12" s="41">
        <f t="shared" ref="AW12" si="62">+SUM(AW13:AW16)</f>
        <v>0</v>
      </c>
      <c r="AX12" s="41">
        <f t="shared" ref="AX12" si="63">+SUM(AX13:AX16)</f>
        <v>0</v>
      </c>
      <c r="AY12" s="41">
        <f t="shared" ref="AY12" si="64">+SUM(AY13:AY16)</f>
        <v>39</v>
      </c>
      <c r="AZ12" s="41">
        <f t="shared" ref="AZ12" si="65">+SUM(AZ13:AZ16)</f>
        <v>75051.5</v>
      </c>
      <c r="BA12" s="41">
        <f t="shared" ref="BA12" si="66">+SUM(BA13:BA16)</f>
        <v>29707</v>
      </c>
      <c r="BB12" s="41">
        <f t="shared" ref="BB12" si="67">+SUM(BB13:BB16)</f>
        <v>28195</v>
      </c>
      <c r="BC12" s="41">
        <f t="shared" ref="BC12" si="68">+SUM(BC13:BC16)</f>
        <v>1665</v>
      </c>
      <c r="BD12" s="41">
        <f t="shared" ref="BD12" si="69">+SUM(BD13:BD16)</f>
        <v>0</v>
      </c>
      <c r="BE12" s="41">
        <f t="shared" ref="BE12" si="70">+SUM(BE13:BE16)</f>
        <v>284</v>
      </c>
      <c r="BF12" s="41">
        <f t="shared" ref="BF12" si="71">+SUM(BF13:BF16)</f>
        <v>10</v>
      </c>
      <c r="BG12" s="41">
        <f t="shared" ref="BG12" si="72">+SUM(BG13:BG16)</f>
        <v>127291.8</v>
      </c>
      <c r="BH12" s="41">
        <f t="shared" ref="BH12" si="73">+SUM(BH13:BH16)</f>
        <v>46727</v>
      </c>
      <c r="BI12" s="41">
        <f t="shared" ref="BI12" si="74">+SUM(BI13:BI16)</f>
        <v>7500</v>
      </c>
      <c r="BJ12" s="41">
        <f t="shared" ref="BJ12" si="75">+SUM(BJ13:BJ16)</f>
        <v>7106</v>
      </c>
      <c r="BK12" s="41">
        <f t="shared" ref="BK12" si="76">+SUM(BK13:BK16)</f>
        <v>0</v>
      </c>
      <c r="BL12" s="43">
        <f t="shared" ref="BL12" si="77">+SUM(BL13:BL16)</f>
        <v>760</v>
      </c>
    </row>
    <row r="13" spans="1:64" s="3" customFormat="1" ht="39.75" customHeight="1">
      <c r="A13" s="52"/>
      <c r="B13" s="50" t="s">
        <v>1771</v>
      </c>
      <c r="C13" s="46">
        <f>+COUNTIFS(манзилли!$D:$D,'свод (сектор вилоят)'!$B$12,манзилли!$E:$E,"1")</f>
        <v>32</v>
      </c>
      <c r="D13" s="47">
        <f>(+SUMIFS(манзилли!$K:$K,манзилли!$D:$D,'свод (сектор вилоят)'!$B$12,манзилли!$E:$E,"1"))</f>
        <v>139243.79999999999</v>
      </c>
      <c r="E13" s="47">
        <f>(+SUMIFS(манзилли!$M:$M,манзилли!$D:$D,'свод (сектор вилоят)'!$B$12,манзилли!$E:$E,"1"))</f>
        <v>50324</v>
      </c>
      <c r="F13" s="47">
        <f>(+SUMIFS(манзилли!$Q:$Q,манзилли!$D:$D,'свод (сектор вилоят)'!$B$12,манзилли!$E:$E,"1"))</f>
        <v>12765</v>
      </c>
      <c r="G13" s="47">
        <f>(+SUMIFS(манзилли!$S:$S,манзилли!$D:$D,'свод (сектор вилоят)'!$B$12,манзилли!$E:$E,"1"))</f>
        <v>7406</v>
      </c>
      <c r="H13" s="47">
        <f>(+SUMIFS(манзилли!$U:$U,манзилли!$D:$D,'свод (сектор вилоят)'!$B$12,манзилли!$E:$E,"1"))</f>
        <v>0</v>
      </c>
      <c r="I13" s="48">
        <f>+SUMIFS(манзилли!$Y:$Y,манзилли!$D:$D,'свод (сектор вилоят)'!$B$12,манзилли!$E:$E,"1")</f>
        <v>872</v>
      </c>
      <c r="J13" s="46">
        <f>(+COUNTIFS(манзилли!$L:$L,"&gt;0",манзилли!$D:$D,'свод (сектор вилоят)'!$B$12,манзилли!$E:$E,"1")+COUNTIFS('Қўшимча ишга тушган'!$T:$T,"&gt;0",'Қўшимча ишга тушган'!$D:$D,'свод (сектор вилоят)'!$B$12,'Қўшимча ишга тушган'!$E:$E,"1"))</f>
        <v>19</v>
      </c>
      <c r="K13" s="48">
        <f>(+SUMIFS(манзилли!$L:$L,манзилли!$D:$D,'свод (сектор вилоят)'!$B$12,манзилли!$E:$E,"1")+SUMIFS('Қўшимча ишга тушган'!$T:$T,'Қўшимча ишга тушган'!$D:$D,'свод (сектор вилоят)'!$B$12,'Қўшимча ишга тушган'!$E:$E,"1"))</f>
        <v>10927</v>
      </c>
      <c r="L13" s="49">
        <f>(+SUMIFS(манзилли!$N:$N,манзилли!$D:$D,'свод (сектор вилоят)'!$B$12,манзилли!$E:$E,"1")+SUMIFS('Қўшимча ишга тушган'!$V:$V,'Қўшимча ишга тушган'!$D:$D,'свод (сектор вилоят)'!$B$12,'Қўшимча ишга тушган'!$E:$E,"1"))</f>
        <v>1100</v>
      </c>
      <c r="M13" s="47">
        <f>(+SUMIFS(манзилли!$R:$R,манзилли!$D:$D,'свод (сектор вилоят)'!$B$12,манзилли!$E:$E,"1")+SUMIFS('Қўшимча ишга тушган'!$Z:$Z,'Қўшимча ишга тушган'!$D:$D,'свод (сектор вилоят)'!$B$12,'Қўшимча ишга тушган'!$E:$E,"1"))</f>
        <v>6767</v>
      </c>
      <c r="N13" s="47">
        <f>(+SUMIFS(манзилли!$T:$T,манзилли!$D:$D,'свод (сектор вилоят)'!$B$12,манзилли!$E:$E,"1")+SUMIFS('Қўшимча ишга тушган'!$AB:$AB,'Қўшимча ишга тушган'!$D:$D,'свод (сектор вилоят)'!$B$12,'Қўшимча ишга тушган'!$E:$E,"1"))</f>
        <v>300</v>
      </c>
      <c r="O13" s="48">
        <f>(+SUMIFS(манзилли!$V:$V,манзилли!$D:$D,'свод (сектор вилоят)'!$B$12,манзилли!$E:$E,"1")+SUMIFS('Қўшимча ишга тушган'!$AD:$AD,'Қўшимча ишга тушган'!$D:$D,'свод (сектор вилоят)'!$B$12,'Қўшимча ишга тушган'!$E:$E,"1"))</f>
        <v>0</v>
      </c>
      <c r="P13" s="46">
        <f>+COUNTIFS(манзилли!$D:$D,'свод (сектор вилоят)'!$B$12,манзилли!$AA:$AA,"&gt;31.12.2020",манзилли!$AA:$AA,"&lt;01.01.2022",манзилли!$E:$E,"1")</f>
        <v>19</v>
      </c>
      <c r="Q13" s="47">
        <f>(+SUMIFS(манзилли!$K:$K,манзилли!$D:$D,'свод (сектор вилоят)'!$B$12,манзилли!$AA:$AA,"&gt;31.12.2020",манзилли!$AA:$AA,"&lt;01.01.2022",манзилли!$E:$E,"1"))</f>
        <v>17482</v>
      </c>
      <c r="R13" s="47">
        <f>(+SUMIFS(манзилли!$M:$M,манзилли!$D:$D,'свод (сектор вилоят)'!$B$12,манзилли!$AA:$AA,"&gt;31.12.2020",манзилли!$AA:$AA,"&lt;01.01.2022",манзилли!$E:$E,"1"))</f>
        <v>6147</v>
      </c>
      <c r="S13" s="47">
        <f>(+SUMIFS(манзилли!$Q:$Q,манзилли!$D:$D,'свод (сектор вилоят)'!$B$12,манзилли!$AA:$AA,"&gt;31.12.2020",манзилли!$AA:$AA,"&lt;01.01.2022",манзилли!$E:$E,"1"))</f>
        <v>8245</v>
      </c>
      <c r="T13" s="47">
        <f>(+SUMIFS(манзилли!$S:$S,манзилли!$D:$D,'свод (сектор вилоят)'!$B$12,манзилли!$AA:$AA,"&gt;31.12.2020",манзилли!$AA:$AA,"&lt;01.01.2022",манзилли!$E:$E,"1"))</f>
        <v>300</v>
      </c>
      <c r="U13" s="47">
        <f>(+SUMIFS(манзилли!$U:$U,манзилли!$D:$D,'свод (сектор вилоят)'!$B$12,манзилли!$AA:$AA,"&gt;31.12.2020",манзилли!$AA:$AA,"&lt;01.01.2022",манзилли!$E:$E,"1"))</f>
        <v>0</v>
      </c>
      <c r="V13" s="48">
        <f>+SUMIFS(манзилли!$Y:$Y,манзилли!$D:$D,'свод (сектор вилоят)'!$B$12,манзилли!$AA:$AA,"&gt;31.12.2020",манзилли!$AA:$AA,"&lt;01.01.2022",манзилли!$E:$E,"1")</f>
        <v>124</v>
      </c>
      <c r="W13" s="46">
        <f>+AD13+AK13</f>
        <v>3</v>
      </c>
      <c r="X13" s="47">
        <f t="shared" ref="X13:X16" si="78">+AE13+AL13</f>
        <v>1420</v>
      </c>
      <c r="Y13" s="47">
        <f t="shared" ref="Y13:Y16" si="79">+AF13+AM13</f>
        <v>650</v>
      </c>
      <c r="Z13" s="47">
        <f t="shared" ref="Z13:Z16" si="80">+AG13+AN13</f>
        <v>770</v>
      </c>
      <c r="AA13" s="47">
        <f t="shared" ref="AA13:AA16" si="81">+AH13+AO13</f>
        <v>0</v>
      </c>
      <c r="AB13" s="47">
        <f t="shared" ref="AB13:AB16" si="82">+AI13+AP13</f>
        <v>0</v>
      </c>
      <c r="AC13" s="48">
        <f t="shared" ref="AC13:AC16" si="83">+AJ13+AQ13</f>
        <v>25</v>
      </c>
      <c r="AD13" s="46">
        <f>+COUNTIFS(манзилли!$D:$D,'свод (сектор вилоят)'!$B$12,манзилли!$AB:$AB,"&gt;31.12.2020",манзилли!$AA:$AA,"&gt;31.12.2020",манзилли!$AA:$AA,"&lt;01.01.2022",манзилли!$E:$E,"1")</f>
        <v>3</v>
      </c>
      <c r="AE13" s="47">
        <f>(+SUMIFS(манзилли!$L:$L,манзилли!$D:$D,'свод (сектор вилоят)'!$B$12,манзилли!$AB:$AB,"&gt;31.12.2020",манзилли!$AA:$AA,"&gt;31.12.2020",манзилли!$AA:$AA,"&lt;01.01.2022",манзилли!$E:$E,"1"))</f>
        <v>1420</v>
      </c>
      <c r="AF13" s="47">
        <f>(+SUMIFS(манзилли!$N:$N,манзилли!$D:$D,'свод (сектор вилоят)'!$B$12,манзилли!$AB:$AB,"&gt;31.12.2020",манзилли!$AA:$AA,"&gt;31.12.2020",манзилли!$AA:$AA,"&lt;01.01.2022",манзилли!$E:$E,"1"))</f>
        <v>650</v>
      </c>
      <c r="AG13" s="47">
        <f>(+SUMIFS(манзилли!$R:$R,манзилли!$D:$D,'свод (сектор вилоят)'!$B$12,манзилли!$AB:$AB,"&gt;31.12.2020",манзилли!$AA:$AA,"&gt;31.12.2020",манзилли!$AA:$AA,"&lt;01.01.2022",манзилли!$E:$E,"1"))</f>
        <v>770</v>
      </c>
      <c r="AH13" s="47">
        <f>(+SUMIFS(манзилли!$T:$T,манзилли!$D:$D,'свод (сектор вилоят)'!$B$12,манзилли!$AB:$AB,"&gt;31.12.2020",манзилли!$AA:$AA,"&gt;31.12.2020",манзилли!$AA:$AA,"&lt;01.01.2022",манзилли!$E:$E,"1"))</f>
        <v>0</v>
      </c>
      <c r="AI13" s="47">
        <f>(+SUMIFS(манзилли!$V:$V,манзилли!$D:$D,'свод (сектор вилоят)'!$B$12,манзилли!$AB:$AB,"&gt;31.12.2020",манзилли!$AA:$AA,"&gt;31.12.2020",манзилли!$AA:$AA,"&lt;01.01.2022",манзилли!$E:$E,"1"))</f>
        <v>0</v>
      </c>
      <c r="AJ13" s="48">
        <f>+SUMIFS(манзилли!$Z:$Z,манзилли!$D:$D,'свод (сектор вилоят)'!$B$12,манзилли!$AB:$AB,"&gt;31.12.2020",манзилли!$AA:$AA,"&gt;31.12.2020",манзилли!$AA:$AA,"&lt;01.01.2022",манзилли!$E:$E,"1")</f>
        <v>25</v>
      </c>
      <c r="AK13" s="46">
        <f>+COUNTIFS('Қўшимча ишга тушган'!$D:$D,'свод (сектор вилоят)'!B12,'Қўшимча ишга тушган'!$AO:$AO,"&lt;01.10.2023",манзилли!$E:$E,"1")</f>
        <v>0</v>
      </c>
      <c r="AL13" s="47">
        <f>(+SUMIFS('Қўшимча ишга тушган'!$T:$T,'Қўшимча ишга тушган'!$D:$D,'свод (сектор вилоят)'!$B$12,'Қўшимча ишга тушган'!$AO:$AO,"&lt;01.10.2023",манзилли!$E:$E,"1"))</f>
        <v>0</v>
      </c>
      <c r="AM13" s="47">
        <f>(+SUMIFS('Қўшимча ишга тушган'!$V:$V,'Қўшимча ишга тушган'!$D:$D,'свод (сектор вилоят)'!$B$12,'Қўшимча ишга тушган'!$AO:$AO,"&lt;01.10.2023",манзилли!$E:$E,"1"))</f>
        <v>0</v>
      </c>
      <c r="AN13" s="47">
        <f>(+SUMIFS('Қўшимча ишга тушган'!$Z:$Z,'Қўшимча ишга тушган'!$D:$D,'свод (сектор вилоят)'!$B$12,'Қўшимча ишга тушган'!$AO:$AO,"&lt;01.10.2023",манзилли!$E:$E,"1"))</f>
        <v>0</v>
      </c>
      <c r="AO13" s="47">
        <f>(+SUMIFS('Қўшимча ишга тушган'!$AB:$AB,'Қўшимча ишга тушган'!$D:$D,'свод (сектор вилоят)'!$B$12,'Қўшимча ишга тушган'!$AO:$AO,"&lt;01.10.2023",манзилли!$E:$E,"1"))</f>
        <v>0</v>
      </c>
      <c r="AP13" s="47">
        <f>(+SUMIFS('Қўшимча ишга тушган'!$AD:$AD,'Қўшимча ишга тушган'!$D:$D,'свод (сектор вилоят)'!$B$12,'Қўшимча ишга тушган'!$AO:$AO,"&lt;01.10.2023",манзилли!$E:$E,"1"))</f>
        <v>0</v>
      </c>
      <c r="AQ13" s="48">
        <f>+SUMIFS('Қўшимча ишга тушган'!$AM:$AM,'Қўшимча ишга тушган'!$D:$D,'свод (сектор вилоят)'!$B$12,'Қўшимча ишга тушган'!$AO:$AO,"&lt;01.10.2023",манзилли!$E:$E,"1")</f>
        <v>0</v>
      </c>
      <c r="AR13" s="46">
        <f>+COUNTIFS(манзилли!$D:$D,'свод (сектор вилоят)'!$B$12,манзилли!$AA:$AA,"&lt;01.02.2021",манзилли!$AB:$AB,"",манзилли!$E:$E,"1")</f>
        <v>0</v>
      </c>
      <c r="AS13" s="47">
        <f>(+SUMIFS(манзилли!$K:$K,манзилли!$D:$D,'свод (сектор вилоят)'!$B$12,манзилли!$AA:$AA,"&lt;01.02.2021",манзилли!$AB:$AB,"",манзилли!$E:$E,"1"))</f>
        <v>0</v>
      </c>
      <c r="AT13" s="47">
        <f>(+SUMIFS(манзилли!$M:$M,манзилли!$D:$D,'свод (сектор вилоят)'!$B$12,манзилли!$AA:$AA,"&lt;01.02.2021",манзилли!$AB:$AB,"",манзилли!$E:$E,"1"))</f>
        <v>0</v>
      </c>
      <c r="AU13" s="47">
        <f>(+SUMIFS(манзилли!$Q:$Q,манзилли!$D:$D,'свод (сектор вилоят)'!$B$12,манзилли!$AA:$AA,"&lt;01.02.2021",манзилли!$AB:$AB,"",манзилли!$E:$E,"1"))</f>
        <v>0</v>
      </c>
      <c r="AV13" s="47">
        <f>(+SUMIFS(манзилли!$S:$S,манзилли!$D:$D,'свод (сектор вилоят)'!$B$12,манзилли!$AA:$AA,"&lt;01.02.2021",манзилли!$AB:$AB,"",манзилли!$E:$E,"1"))</f>
        <v>0</v>
      </c>
      <c r="AW13" s="47">
        <f>(+SUMIFS(манзилли!$U:$U,манзилли!$D:$D,'свод (сектор вилоят)'!$B$12,манзилли!$AA:$AA,"&lt;01.02.2021",манзилли!$AB:$AB,"",манзилли!$E:$E,"1"))</f>
        <v>0</v>
      </c>
      <c r="AX13" s="48">
        <f>+SUMIFS(манзилли!$Y:$Y,манзилли!$D:$D,'свод (сектор вилоят)'!$B$12,манзилли!$AA:$AA,"&lt;01.02.2021",манзилли!$AB:$AB,"",манзилли!$E:$E,"1")</f>
        <v>0</v>
      </c>
      <c r="AY13" s="46">
        <f>+COUNTIFS(манзилли!$D:$D,'свод (сектор вилоят)'!$B$12,манзилли!$AA:$AA,"&lt;01.01.2022",манзилли!$AB:$AB,"",манзилли!$E:$E,"1")</f>
        <v>16</v>
      </c>
      <c r="AZ13" s="47">
        <f>(+SUMIFS(манзилли!$K:$K,манзилли!$D:$D,'свод (сектор вилоят)'!$B$12,манзилли!$AA:$AA,"&lt;01.01.2022",манзилли!$AB:$AB,"",манзилли!$E:$E,"1"))</f>
        <v>15182</v>
      </c>
      <c r="BA13" s="47">
        <f>(+SUMIFS(манзилли!$M:$M,манзилли!$D:$D,'свод (сектор вилоят)'!$B$12,манзилли!$AA:$AA,"&lt;01.01.2022",манзилли!$AB:$AB,"",манзилли!$E:$E,"1"))</f>
        <v>5297</v>
      </c>
      <c r="BB13" s="47">
        <f>(+SUMIFS(манзилли!$Q:$Q,манзилли!$D:$D,'свод (сектор вилоят)'!$B$12,манзилли!$AA:$AA,"&lt;01.01.2022",манзилли!$AB:$AB,"",манзилли!$E:$E,"1"))</f>
        <v>6795</v>
      </c>
      <c r="BC13" s="47">
        <f>(+SUMIFS(манзилли!$S:$S,манзилли!$D:$D,'свод (сектор вилоят)'!$B$12,манзилли!$AA:$AA,"&lt;01.01.2022",манзилли!$AB:$AB,"",манзилли!$E:$E,"1"))</f>
        <v>300</v>
      </c>
      <c r="BD13" s="47">
        <f>(+SUMIFS(манзилли!$U:$U,манзилли!$D:$D,'свод (сектор вилоят)'!$B$12,манзилли!$AA:$AA,"&lt;01.01.2022",манзилли!$AB:$AB,"",манзилли!$E:$E,"1"))</f>
        <v>0</v>
      </c>
      <c r="BE13" s="48">
        <f>+SUMIFS(манзилли!$Y:$Y,манзилли!$D:$D,'свод (сектор вилоят)'!$B$12,манзилли!$AA:$AA,"&lt;01.01.2022",манзилли!$AB:$AB,"",манзилли!$E:$E,"1")</f>
        <v>99</v>
      </c>
      <c r="BF13" s="46">
        <f>+COUNTIFS(манзилли!$D:$D,'свод (сектор вилоят)'!$B$12,манзилли!$AA:$AA,"&lt;01.01.2023",манзилли!$AA:$AA,"&gt;=01.01.2022",манзилли!$E:$E,"1")</f>
        <v>8</v>
      </c>
      <c r="BG13" s="47">
        <f>(+SUMIFS(манзилли!$K:$K,манзилли!$D:$D,'свод (сектор вилоят)'!$B$12,манзилли!$AA:$AA,"&lt;01.01.2023",манзилли!$AA:$AA,"&gt;=01.01.2022",манзилли!$E:$E,"1"))</f>
        <v>119291.8</v>
      </c>
      <c r="BH13" s="47">
        <f>(+SUMIFS(манзилли!$M:$M,манзилли!$D:$D,'свод (сектор вилоят)'!$B$12,манзилли!$AA:$AA,"&lt;01.01.2023",манзилли!$AA:$AA,"&gt;=01.01.2022",манзилли!$E:$E,"1"))</f>
        <v>43227</v>
      </c>
      <c r="BI13" s="47">
        <f>(+SUMIFS(манзилли!$Q:$Q,манзилли!$D:$D,'свод (сектор вилоят)'!$B$12,манзилли!$AA:$AA,"&lt;01.01.2023",манзилли!$AA:$AA,"&gt;=01.01.2022",манзилли!$E:$E,"1"))</f>
        <v>3000</v>
      </c>
      <c r="BJ13" s="47">
        <f>(+SUMIFS(манзилли!$S:$S,манзилли!$D:$D,'свод (сектор вилоят)'!$B$12,манзилли!$AA:$AA,"&lt;01.01.2023",манзилли!$AA:$AA,"&gt;=01.01.2022",манзилли!$E:$E,"1"))</f>
        <v>7106</v>
      </c>
      <c r="BK13" s="47">
        <f>(+SUMIFS(манзилли!$U:$U,манзилли!$D:$D,'свод (сектор вилоят)'!$B$12,манзилли!$AA:$AA,"&lt;01.01.2023",манзилли!$AA:$AA,"&gt;=01.01.2022",манзилли!$E:$E,"1"))</f>
        <v>0</v>
      </c>
      <c r="BL13" s="48">
        <f>+SUMIFS(манзилли!$Y:$Y,манзилли!$D:$D,'свод (сектор вилоят)'!$B$12,манзилли!$AA:$AA,"&lt;01.01.2023",манзилли!$AA:$AA,"&gt;=01.01.2022",манзилли!$E:$E,"1")</f>
        <v>733</v>
      </c>
    </row>
    <row r="14" spans="1:64" s="3" customFormat="1" ht="39.75" customHeight="1">
      <c r="A14" s="51"/>
      <c r="B14" s="27" t="s">
        <v>1772</v>
      </c>
      <c r="C14" s="28">
        <f>+COUNTIFS(манзилли!$D:$D,'свод (сектор вилоят)'!$B$12,манзилли!$E:$E,"2")</f>
        <v>24</v>
      </c>
      <c r="D14" s="29">
        <f>(+SUMIFS(манзилли!$K:$K,манзилли!$D:$D,'свод (сектор вилоят)'!$B$12,манзилли!$E:$E,"2"))</f>
        <v>85259.5</v>
      </c>
      <c r="E14" s="29">
        <f>(+SUMIFS(манзилли!$M:$M,манзилли!$D:$D,'свод (сектор вилоят)'!$B$12,манзилли!$E:$E,"2"))</f>
        <v>30970</v>
      </c>
      <c r="F14" s="29">
        <f>(+SUMIFS(манзилли!$Q:$Q,манзилли!$D:$D,'свод (сектор вилоят)'!$B$12,манзилли!$E:$E,"2"))</f>
        <v>30510</v>
      </c>
      <c r="G14" s="29">
        <f>(+SUMIFS(манзилли!$S:$S,манзилли!$D:$D,'свод (сектор вилоят)'!$B$12,манзилли!$E:$E,"2"))</f>
        <v>1365</v>
      </c>
      <c r="H14" s="29">
        <f>(+SUMIFS(манзилли!$U:$U,манзилли!$D:$D,'свод (сектор вилоят)'!$B$12,манзилли!$E:$E,"2"))</f>
        <v>0</v>
      </c>
      <c r="I14" s="30">
        <f>+SUMIFS(манзилли!$Y:$Y,манзилли!$D:$D,'свод (сектор вилоят)'!$B$12,манзилли!$E:$E,"2")</f>
        <v>255</v>
      </c>
      <c r="J14" s="28">
        <f>(+COUNTIFS(манзилли!$L:$L,"&gt;0",манзилли!$D:$D,'свод (сектор вилоят)'!$B$12,манзилли!$E:$E,"2")+COUNTIFS('Қўшимча ишга тушган'!$T:$T,"&gt;0",'Қўшимча ишга тушган'!$D:$D,'свод (сектор вилоят)'!$B$12,'Қўшимча ишга тушган'!$E:$E,"2"))</f>
        <v>16</v>
      </c>
      <c r="K14" s="30">
        <f>(+SUMIFS(манзилли!$L:$L,манзилли!$D:$D,'свод (сектор вилоят)'!$B$12,манзилли!$E:$E,"2")+SUMIFS('Қўшимча ишга тушган'!$T:$T,'Қўшимча ишга тушган'!$D:$D,'свод (сектор вилоят)'!$B$12,'Қўшимча ишга тушган'!$E:$E,"2"))</f>
        <v>40504.6</v>
      </c>
      <c r="L14" s="31">
        <f>(+SUMIFS(манзилли!$N:$N,манзилли!$D:$D,'свод (сектор вилоят)'!$B$12,манзилли!$E:$E,"2")+SUMIFS('Қўшимча ишга тушган'!$V:$V,'Қўшимча ишга тушган'!$D:$D,'свод (сектор вилоят)'!$B$12,'Қўшимча ишга тушган'!$E:$E,"2"))</f>
        <v>10832.1</v>
      </c>
      <c r="M14" s="29">
        <f>(+SUMIFS(манзилли!$R:$R,манзилли!$D:$D,'свод (сектор вилоят)'!$B$12,манзилли!$E:$E,"2")+SUMIFS('Қўшимча ишга тушган'!$Z:$Z,'Қўшимча ишга тушган'!$D:$D,'свод (сектор вилоят)'!$B$12,'Қўшимча ишга тушган'!$E:$E,"2"))</f>
        <v>9928.5</v>
      </c>
      <c r="N14" s="29">
        <f>(+SUMIFS(манзилли!$T:$T,манзилли!$D:$D,'свод (сектор вилоят)'!$B$12,манзилли!$E:$E,"2")+SUMIFS('Қўшимча ишга тушган'!$AB:$AB,'Қўшимча ишга тушган'!$D:$D,'свод (сектор вилоят)'!$B$12,'Қўшимча ишга тушган'!$E:$E,"2"))</f>
        <v>1929.5</v>
      </c>
      <c r="O14" s="30">
        <f>(+SUMIFS(манзилли!$V:$V,манзилли!$D:$D,'свод (сектор вилоят)'!$B$12,манзилли!$E:$E,"2")+SUMIFS('Қўшимча ишга тушган'!$AD:$AD,'Қўшимча ишга тушган'!$D:$D,'свод (сектор вилоят)'!$B$12,'Қўшимча ишга тушган'!$E:$E,"2"))</f>
        <v>0</v>
      </c>
      <c r="P14" s="28">
        <f>+COUNTIFS(манзилли!$D:$D,'свод (сектор вилоят)'!$B$12,манзилли!$AA:$AA,"&gt;31.12.2020",манзилли!$AA:$AA,"&lt;01.01.2022",манзилли!$E:$E,"2")</f>
        <v>19</v>
      </c>
      <c r="Q14" s="29">
        <f>(+SUMIFS(манзилли!$K:$K,манзилли!$D:$D,'свод (сектор вилоят)'!$B$12,манзилли!$AA:$AA,"&gt;31.12.2020",манзилли!$AA:$AA,"&lt;01.01.2022",манзилли!$E:$E,"2"))</f>
        <v>62999.5</v>
      </c>
      <c r="R14" s="29">
        <f>(+SUMIFS(манзилли!$M:$M,манзилли!$D:$D,'свод (сектор вилоят)'!$B$12,манзилли!$AA:$AA,"&gt;31.12.2020",манзилли!$AA:$AA,"&lt;01.01.2022",манзилли!$E:$E,"2"))</f>
        <v>26210</v>
      </c>
      <c r="S14" s="29">
        <f>(+SUMIFS(манзилли!$Q:$Q,манзилли!$D:$D,'свод (сектор вилоят)'!$B$12,манзилли!$AA:$AA,"&gt;31.12.2020",манзилли!$AA:$AA,"&lt;01.01.2022",манзилли!$E:$E,"2"))</f>
        <v>22730</v>
      </c>
      <c r="T14" s="29">
        <f>(+SUMIFS(манзилли!$S:$S,манзилли!$D:$D,'свод (сектор вилоят)'!$B$12,манзилли!$AA:$AA,"&gt;31.12.2020",манзилли!$AA:$AA,"&lt;01.01.2022",манзилли!$E:$E,"2"))</f>
        <v>1365</v>
      </c>
      <c r="U14" s="29">
        <f>(+SUMIFS(манзилли!$U:$U,манзилли!$D:$D,'свод (сектор вилоят)'!$B$12,манзилли!$AA:$AA,"&gt;31.12.2020",манзилли!$AA:$AA,"&lt;01.01.2022",манзилли!$E:$E,"2"))</f>
        <v>0</v>
      </c>
      <c r="V14" s="30">
        <f>+SUMIFS(манзилли!$Y:$Y,манзилли!$D:$D,'свод (сектор вилоят)'!$B$12,манзилли!$AA:$AA,"&gt;31.12.2020",манзилли!$AA:$AA,"&lt;01.01.2022",манзилли!$E:$E,"2")</f>
        <v>184</v>
      </c>
      <c r="W14" s="28">
        <f t="shared" ref="W14:W16" si="84">+AD14+AK14</f>
        <v>2</v>
      </c>
      <c r="X14" s="29">
        <f t="shared" si="78"/>
        <v>1342</v>
      </c>
      <c r="Y14" s="29">
        <f t="shared" si="79"/>
        <v>250</v>
      </c>
      <c r="Z14" s="29">
        <f t="shared" si="80"/>
        <v>1092</v>
      </c>
      <c r="AA14" s="29">
        <f t="shared" si="81"/>
        <v>0</v>
      </c>
      <c r="AB14" s="29">
        <f t="shared" si="82"/>
        <v>0</v>
      </c>
      <c r="AC14" s="30">
        <f t="shared" si="83"/>
        <v>8</v>
      </c>
      <c r="AD14" s="28">
        <f>+COUNTIFS(манзилли!$D:$D,'свод (сектор вилоят)'!$B$12,манзилли!$AB:$AB,"&gt;31.12.2020",манзилли!$AA:$AA,"&gt;31.12.2020",манзилли!$AA:$AA,"&lt;01.01.2022",манзилли!$E:$E,"2")</f>
        <v>2</v>
      </c>
      <c r="AE14" s="29">
        <f>(+SUMIFS(манзилли!$L:$L,манзилли!$D:$D,'свод (сектор вилоят)'!$B$12,манзилли!$AB:$AB,"&gt;31.12.2020",манзилли!$AA:$AA,"&gt;31.12.2020",манзилли!$AA:$AA,"&lt;01.01.2022",манзилли!$E:$E,"2"))</f>
        <v>1342</v>
      </c>
      <c r="AF14" s="29">
        <f>(+SUMIFS(манзилли!$N:$N,манзилли!$D:$D,'свод (сектор вилоят)'!$B$12,манзилли!$AB:$AB,"&gt;31.12.2020",манзилли!$AA:$AA,"&gt;31.12.2020",манзилли!$AA:$AA,"&lt;01.01.2022",манзилли!$E:$E,"2"))</f>
        <v>250</v>
      </c>
      <c r="AG14" s="29">
        <f>(+SUMIFS(манзилли!$R:$R,манзилли!$D:$D,'свод (сектор вилоят)'!$B$12,манзилли!$AB:$AB,"&gt;31.12.2020",манзилли!$AA:$AA,"&gt;31.12.2020",манзилли!$AA:$AA,"&lt;01.01.2022",манзилли!$E:$E,"2"))</f>
        <v>1092</v>
      </c>
      <c r="AH14" s="29">
        <f>(+SUMIFS(манзилли!$T:$T,манзилли!$D:$D,'свод (сектор вилоят)'!$B$12,манзилли!$AB:$AB,"&gt;31.12.2020",манзилли!$AA:$AA,"&gt;31.12.2020",манзилли!$AA:$AA,"&lt;01.01.2022",манзилли!$E:$E,"2"))</f>
        <v>0</v>
      </c>
      <c r="AI14" s="29">
        <f>(+SUMIFS(манзилли!$V:$V,манзилли!$D:$D,'свод (сектор вилоят)'!$B$12,манзилли!$AB:$AB,"&gt;31.12.2020",манзилли!$AA:$AA,"&gt;31.12.2020",манзилли!$AA:$AA,"&lt;01.01.2022",манзилли!$E:$E,"2"))</f>
        <v>0</v>
      </c>
      <c r="AJ14" s="30">
        <f>+SUMIFS(манзилли!$Z:$Z,манзилли!$D:$D,'свод (сектор вилоят)'!$B$12,манзилли!$AB:$AB,"&gt;31.12.2020",манзилли!$AA:$AA,"&gt;31.12.2020",манзилли!$AA:$AA,"&lt;01.01.2022",манзилли!$E:$E,"2")</f>
        <v>8</v>
      </c>
      <c r="AK14" s="28">
        <f>+COUNTIFS('Қўшимча ишга тушган'!$D:$D,'свод (сектор вилоят)'!B12,'Қўшимча ишга тушган'!$AO:$AO,"&lt;01.10.2023",манзилли!$E:$E,"2")</f>
        <v>0</v>
      </c>
      <c r="AL14" s="29">
        <f>(+SUMIFS('Қўшимча ишга тушган'!$T:$T,'Қўшимча ишга тушган'!$D:$D,'свод (сектор вилоят)'!$B$12,'Қўшимча ишга тушган'!$AO:$AO,"&lt;01.10.2023",манзилли!$E:$E,"2"))</f>
        <v>0</v>
      </c>
      <c r="AM14" s="29">
        <f>(+SUMIFS('Қўшимча ишга тушган'!$V:$V,'Қўшимча ишга тушган'!$D:$D,'свод (сектор вилоят)'!$B$12,'Қўшимча ишга тушган'!$AO:$AO,"&lt;01.10.2023",манзилли!$E:$E,"2"))</f>
        <v>0</v>
      </c>
      <c r="AN14" s="29">
        <f>(+SUMIFS('Қўшимча ишга тушган'!$Z:$Z,'Қўшимча ишга тушган'!$D:$D,'свод (сектор вилоят)'!$B$12,'Қўшимча ишга тушган'!$AO:$AO,"&lt;01.10.2023",манзилли!$E:$E,"2"))</f>
        <v>0</v>
      </c>
      <c r="AO14" s="29">
        <f>(+SUMIFS('Қўшимча ишга тушган'!$AB:$AB,'Қўшимча ишга тушган'!$D:$D,'свод (сектор вилоят)'!$B$12,'Қўшимча ишга тушган'!$AO:$AO,"&lt;01.10.2023",манзилли!$E:$E,"2"))</f>
        <v>0</v>
      </c>
      <c r="AP14" s="29">
        <f>(+SUMIFS('Қўшимча ишга тушган'!$AD:$AD,'Қўшимча ишга тушган'!$D:$D,'свод (сектор вилоят)'!$B$12,'Қўшимча ишга тушган'!$AO:$AO,"&lt;01.10.2023",манзилли!$E:$E,"2"))</f>
        <v>0</v>
      </c>
      <c r="AQ14" s="30">
        <f>+SUMIFS('Қўшимча ишга тушган'!$AM:$AM,'Қўшимча ишга тушган'!$D:$D,'свод (сектор вилоят)'!$B$12,'Қўшимча ишга тушган'!$AO:$AO,"&lt;01.10.2023",манзилли!$E:$E,"2")</f>
        <v>0</v>
      </c>
      <c r="AR14" s="28">
        <f>+COUNTIFS(манзилли!$D:$D,'свод (сектор вилоят)'!$B$12,манзилли!$AA:$AA,"&lt;01.02.2021",манзилли!$AB:$AB,"",манзилли!$E:$E,"2")</f>
        <v>0</v>
      </c>
      <c r="AS14" s="29">
        <f>(+SUMIFS(манзилли!$K:$K,манзилли!$D:$D,'свод (сектор вилоят)'!$B$12,манзилли!$AA:$AA,"&lt;01.02.2021",манзилли!$AB:$AB,"",манзилли!$E:$E,"2"))</f>
        <v>0</v>
      </c>
      <c r="AT14" s="29">
        <f>(+SUMIFS(манзилли!$M:$M,манзилли!$D:$D,'свод (сектор вилоят)'!$B$12,манзилли!$AA:$AA,"&lt;01.02.2021",манзилли!$AB:$AB,"",манзилли!$E:$E,"2"))</f>
        <v>0</v>
      </c>
      <c r="AU14" s="29">
        <f>(+SUMIFS(манзилли!$Q:$Q,манзилли!$D:$D,'свод (сектор вилоят)'!$B$12,манзилли!$AA:$AA,"&lt;01.02.2021",манзилли!$AB:$AB,"",манзилли!$E:$E,"2"))</f>
        <v>0</v>
      </c>
      <c r="AV14" s="29">
        <f>(+SUMIFS(манзилли!$S:$S,манзилли!$D:$D,'свод (сектор вилоят)'!$B$12,манзилли!$AA:$AA,"&lt;01.02.2021",манзилли!$AB:$AB,"",манзилли!$E:$E,"2"))</f>
        <v>0</v>
      </c>
      <c r="AW14" s="29">
        <f>(+SUMIFS(манзилли!$U:$U,манзилли!$D:$D,'свод (сектор вилоят)'!$B$12,манзилли!$AA:$AA,"&lt;01.02.2021",манзилли!$AB:$AB,"",манзилли!$E:$E,"2"))</f>
        <v>0</v>
      </c>
      <c r="AX14" s="30">
        <f>+SUMIFS(манзилли!$Y:$Y,манзилли!$D:$D,'свод (сектор вилоят)'!$B$12,манзилли!$AA:$AA,"&lt;01.02.2021",манзилли!$AB:$AB,"",манзилли!$E:$E,"2")</f>
        <v>0</v>
      </c>
      <c r="AY14" s="28">
        <f>+COUNTIFS(манзилли!$D:$D,'свод (сектор вилоят)'!$B$12,манзилли!$AA:$AA,"&lt;01.01.2022",манзилли!$AB:$AB,"",манзилли!$E:$E,"2")</f>
        <v>16</v>
      </c>
      <c r="AZ14" s="29">
        <f>(+SUMIFS(манзилли!$K:$K,манзилли!$D:$D,'свод (сектор вилоят)'!$B$12,манзилли!$AA:$AA,"&lt;01.01.2022",манзилли!$AB:$AB,"",манзилли!$E:$E,"2"))</f>
        <v>56599.5</v>
      </c>
      <c r="BA14" s="29">
        <f>(+SUMIFS(манзилли!$M:$M,манзилли!$D:$D,'свод (сектор вилоят)'!$B$12,манзилли!$AA:$AA,"&lt;01.01.2022",манзилли!$AB:$AB,"",манзилли!$E:$E,"2"))</f>
        <v>22960</v>
      </c>
      <c r="BB14" s="29">
        <f>(+SUMIFS(манзилли!$Q:$Q,манзилли!$D:$D,'свод (сектор вилоят)'!$B$12,манзилли!$AA:$AA,"&lt;01.01.2022",манзилли!$AB:$AB,"",манзилли!$E:$E,"2"))</f>
        <v>19580</v>
      </c>
      <c r="BC14" s="29">
        <f>(+SUMIFS(манзилли!$S:$S,манзилли!$D:$D,'свод (сектор вилоят)'!$B$12,манзилли!$AA:$AA,"&lt;01.01.2022",манзилли!$AB:$AB,"",манзилли!$E:$E,"2"))</f>
        <v>1365</v>
      </c>
      <c r="BD14" s="29">
        <f>(+SUMIFS(манзилли!$U:$U,манзилли!$D:$D,'свод (сектор вилоят)'!$B$12,манзилли!$AA:$AA,"&lt;01.01.2022",манзилли!$AB:$AB,"",манзилли!$E:$E,"2"))</f>
        <v>0</v>
      </c>
      <c r="BE14" s="30">
        <f>+SUMIFS(манзилли!$Y:$Y,манзилли!$D:$D,'свод (сектор вилоят)'!$B$12,манзилли!$AA:$AA,"&lt;01.01.2022",манзилли!$AB:$AB,"",манзилли!$E:$E,"2")</f>
        <v>157</v>
      </c>
      <c r="BF14" s="28">
        <f>+COUNTIFS(манзилли!$D:$D,'свод (сектор вилоят)'!$B$12,манзилли!$AA:$AA,"&lt;01.01.2023",манзилли!$AA:$AA,"&gt;=01.01.2022",манзилли!$E:$E,"2")</f>
        <v>2</v>
      </c>
      <c r="BG14" s="29">
        <f>(+SUMIFS(манзилли!$K:$K,манзилли!$D:$D,'свод (сектор вилоят)'!$B$12,манзилли!$AA:$AA,"&lt;01.01.2023",манзилли!$AA:$AA,"&gt;=01.01.2022",манзилли!$E:$E,"2"))</f>
        <v>8000</v>
      </c>
      <c r="BH14" s="29">
        <f>(+SUMIFS(манзилли!$M:$M,манзилли!$D:$D,'свод (сектор вилоят)'!$B$12,манзилли!$AA:$AA,"&lt;01.01.2023",манзилли!$AA:$AA,"&gt;=01.01.2022",манзилли!$E:$E,"2"))</f>
        <v>3500</v>
      </c>
      <c r="BI14" s="29">
        <f>(+SUMIFS(манзилли!$Q:$Q,манзилли!$D:$D,'свод (сектор вилоят)'!$B$12,манзилли!$AA:$AA,"&lt;01.01.2023",манзилли!$AA:$AA,"&gt;=01.01.2022",манзилли!$E:$E,"2"))</f>
        <v>4500</v>
      </c>
      <c r="BJ14" s="29">
        <f>(+SUMIFS(манзилли!$S:$S,манзилли!$D:$D,'свод (сектор вилоят)'!$B$12,манзилли!$AA:$AA,"&lt;01.01.2023",манзилли!$AA:$AA,"&gt;=01.01.2022",манзилли!$E:$E,"2"))</f>
        <v>0</v>
      </c>
      <c r="BK14" s="29">
        <f>(+SUMIFS(манзилли!$U:$U,манзилли!$D:$D,'свод (сектор вилоят)'!$B$12,манзилли!$AA:$AA,"&lt;01.01.2023",манзилли!$AA:$AA,"&gt;=01.01.2022",манзилли!$E:$E,"2"))</f>
        <v>0</v>
      </c>
      <c r="BL14" s="30">
        <f>+SUMIFS(манзилли!$Y:$Y,манзилли!$D:$D,'свод (сектор вилоят)'!$B$12,манзилли!$AA:$AA,"&lt;01.01.2023",манзилли!$AA:$AA,"&gt;=01.01.2022",манзилли!$E:$E,"2")</f>
        <v>27</v>
      </c>
    </row>
    <row r="15" spans="1:64" s="3" customFormat="1" ht="39.75" customHeight="1">
      <c r="A15" s="51"/>
      <c r="B15" s="27" t="s">
        <v>1773</v>
      </c>
      <c r="C15" s="28">
        <f>+COUNTIFS(манзилли!$D:$D,'свод (сектор вилоят)'!$B$12,манзилли!$E:$E,"3")</f>
        <v>4</v>
      </c>
      <c r="D15" s="29">
        <f>(+SUMIFS(манзилли!$K:$K,манзилли!$D:$D,'свод (сектор вилоят)'!$B$12,манзилли!$E:$E,"3"))</f>
        <v>1310</v>
      </c>
      <c r="E15" s="29">
        <f>(+SUMIFS(манзилли!$M:$M,манзилли!$D:$D,'свод (сектор вилоят)'!$B$12,манзилли!$E:$E,"3"))</f>
        <v>790</v>
      </c>
      <c r="F15" s="29">
        <f>(+SUMIFS(манзилли!$Q:$Q,манзилли!$D:$D,'свод (сектор вилоят)'!$B$12,манзилли!$E:$E,"3"))</f>
        <v>520</v>
      </c>
      <c r="G15" s="29">
        <f>(+SUMIFS(манзилли!$S:$S,манзилли!$D:$D,'свод (сектор вилоят)'!$B$12,манзилли!$E:$E,"3"))</f>
        <v>0</v>
      </c>
      <c r="H15" s="29">
        <f>(+SUMIFS(манзилли!$U:$U,манзилли!$D:$D,'свод (сектор вилоят)'!$B$12,манзилли!$E:$E,"3"))</f>
        <v>0</v>
      </c>
      <c r="I15" s="30">
        <f>+SUMIFS(манзилли!$Y:$Y,манзилли!$D:$D,'свод (сектор вилоят)'!$B$12,манзилли!$E:$E,"3")</f>
        <v>18</v>
      </c>
      <c r="J15" s="28">
        <f>(+COUNTIFS(манзилли!$L:$L,"&gt;0",манзилли!$D:$D,'свод (сектор вилоят)'!$B$12,манзилли!$E:$E,"3")+COUNTIFS('Қўшимча ишга тушган'!$T:$T,"&gt;0",'Қўшимча ишга тушган'!$D:$D,'свод (сектор вилоят)'!$B$12,'Қўшимча ишга тушган'!$E:$E,"3"))</f>
        <v>2</v>
      </c>
      <c r="K15" s="30">
        <f>(+SUMIFS(манзилли!$L:$L,манзилли!$D:$D,'свод (сектор вилоят)'!$B$12,манзилли!$E:$E,"3")+SUMIFS('Қўшимча ишга тушган'!$T:$T,'Қўшимча ишга тушган'!$D:$D,'свод (сектор вилоят)'!$B$12,'Қўшимча ишга тушган'!$E:$E,"3"))</f>
        <v>500</v>
      </c>
      <c r="L15" s="31">
        <f>(+SUMIFS(манзилли!$N:$N,манзилли!$D:$D,'свод (сектор вилоят)'!$B$12,манзилли!$E:$E,"3")+SUMIFS('Қўшимча ишга тушган'!$V:$V,'Қўшимча ишга тушган'!$D:$D,'свод (сектор вилоят)'!$B$12,'Қўшимча ишга тушган'!$E:$E,"3"))</f>
        <v>100</v>
      </c>
      <c r="M15" s="29">
        <f>(+SUMIFS(манзилли!$R:$R,манзилли!$D:$D,'свод (сектор вилоят)'!$B$12,манзилли!$E:$E,"3")+SUMIFS('Қўшимча ишга тушган'!$Z:$Z,'Қўшимча ишга тушган'!$D:$D,'свод (сектор вилоят)'!$B$12,'Қўшимча ишга тушган'!$E:$E,"3"))</f>
        <v>400</v>
      </c>
      <c r="N15" s="29">
        <f>(+SUMIFS(манзилли!$T:$T,манзилли!$D:$D,'свод (сектор вилоят)'!$B$12,манзилли!$E:$E,"3")+SUMIFS('Қўшимча ишга тушган'!$AB:$AB,'Қўшимча ишга тушган'!$D:$D,'свод (сектор вилоят)'!$B$12,'Қўшимча ишга тушган'!$E:$E,"3"))</f>
        <v>0</v>
      </c>
      <c r="O15" s="30">
        <f>(+SUMIFS(манзилли!$V:$V,манзилли!$D:$D,'свод (сектор вилоят)'!$B$12,манзилли!$E:$E,"3")+SUMIFS('Қўшимча ишга тушган'!$AD:$AD,'Қўшимча ишга тушган'!$D:$D,'свод (сектор вилоят)'!$B$12,'Қўшимча ишга тушган'!$E:$E,"3"))</f>
        <v>0</v>
      </c>
      <c r="P15" s="28">
        <f>+COUNTIFS(манзилли!$D:$D,'свод (сектор вилоят)'!$B$12,манзилли!$AA:$AA,"&gt;31.12.2020",манзилли!$AA:$AA,"&lt;01.01.2022",манзилли!$E:$E,"3")</f>
        <v>4</v>
      </c>
      <c r="Q15" s="29">
        <f>(+SUMIFS(манзилли!$K:$K,манзилли!$D:$D,'свод (сектор вилоят)'!$B$12,манзилли!$AA:$AA,"&gt;31.12.2020",манзилли!$AA:$AA,"&lt;01.01.2022",манзилли!$E:$E,"3"))</f>
        <v>1310</v>
      </c>
      <c r="R15" s="29">
        <f>(+SUMIFS(манзилли!$M:$M,манзилли!$D:$D,'свод (сектор вилоят)'!$B$12,манзилли!$AA:$AA,"&gt;31.12.2020",манзилли!$AA:$AA,"&lt;01.01.2022",манзилли!$E:$E,"3"))</f>
        <v>790</v>
      </c>
      <c r="S15" s="29">
        <f>(+SUMIFS(манзилли!$Q:$Q,манзилли!$D:$D,'свод (сектор вилоят)'!$B$12,манзилли!$AA:$AA,"&gt;31.12.2020",манзилли!$AA:$AA,"&lt;01.01.2022",манзилли!$E:$E,"3"))</f>
        <v>520</v>
      </c>
      <c r="T15" s="29">
        <f>(+SUMIFS(манзилли!$S:$S,манзилли!$D:$D,'свод (сектор вилоят)'!$B$12,манзилли!$AA:$AA,"&gt;31.12.2020",манзилли!$AA:$AA,"&lt;01.01.2022",манзилли!$E:$E,"3"))</f>
        <v>0</v>
      </c>
      <c r="U15" s="29">
        <f>(+SUMIFS(манзилли!$U:$U,манзилли!$D:$D,'свод (сектор вилоят)'!$B$12,манзилли!$AA:$AA,"&gt;31.12.2020",манзилли!$AA:$AA,"&lt;01.01.2022",манзилли!$E:$E,"3"))</f>
        <v>0</v>
      </c>
      <c r="V15" s="30">
        <f>+SUMIFS(манзилли!$Y:$Y,манзилли!$D:$D,'свод (сектор вилоят)'!$B$12,манзилли!$AA:$AA,"&gt;31.12.2020",манзилли!$AA:$AA,"&lt;01.01.2022",манзилли!$E:$E,"3")</f>
        <v>18</v>
      </c>
      <c r="W15" s="28">
        <f t="shared" si="84"/>
        <v>0</v>
      </c>
      <c r="X15" s="29">
        <f t="shared" si="78"/>
        <v>0</v>
      </c>
      <c r="Y15" s="29">
        <f t="shared" si="79"/>
        <v>0</v>
      </c>
      <c r="Z15" s="29">
        <f t="shared" si="80"/>
        <v>0</v>
      </c>
      <c r="AA15" s="29">
        <f t="shared" si="81"/>
        <v>0</v>
      </c>
      <c r="AB15" s="29">
        <f t="shared" si="82"/>
        <v>0</v>
      </c>
      <c r="AC15" s="30">
        <f t="shared" si="83"/>
        <v>0</v>
      </c>
      <c r="AD15" s="28">
        <f>+COUNTIFS(манзилли!$D:$D,'свод (сектор вилоят)'!$B$12,манзилли!$AB:$AB,"&gt;31.12.2020",манзилли!$AA:$AA,"&gt;31.12.2020",манзилли!$AA:$AA,"&lt;01.01.2022",манзилли!$E:$E,"3")</f>
        <v>0</v>
      </c>
      <c r="AE15" s="29">
        <f>(+SUMIFS(манзилли!$L:$L,манзилли!$D:$D,'свод (сектор вилоят)'!$B$12,манзилли!$AB:$AB,"&gt;31.12.2020",манзилли!$AA:$AA,"&gt;31.12.2020",манзилли!$AA:$AA,"&lt;01.01.2022",манзилли!$E:$E,"3"))</f>
        <v>0</v>
      </c>
      <c r="AF15" s="29">
        <f>(+SUMIFS(манзилли!$N:$N,манзилли!$D:$D,'свод (сектор вилоят)'!$B$12,манзилли!$AB:$AB,"&gt;31.12.2020",манзилли!$AA:$AA,"&gt;31.12.2020",манзилли!$AA:$AA,"&lt;01.01.2022",манзилли!$E:$E,"3"))</f>
        <v>0</v>
      </c>
      <c r="AG15" s="29">
        <f>(+SUMIFS(манзилли!$R:$R,манзилли!$D:$D,'свод (сектор вилоят)'!$B$12,манзилли!$AB:$AB,"&gt;31.12.2020",манзилли!$AA:$AA,"&gt;31.12.2020",манзилли!$AA:$AA,"&lt;01.01.2022",манзилли!$E:$E,"3"))</f>
        <v>0</v>
      </c>
      <c r="AH15" s="29">
        <f>(+SUMIFS(манзилли!$T:$T,манзилли!$D:$D,'свод (сектор вилоят)'!$B$12,манзилли!$AB:$AB,"&gt;31.12.2020",манзилли!$AA:$AA,"&gt;31.12.2020",манзилли!$AA:$AA,"&lt;01.01.2022",манзилли!$E:$E,"3"))</f>
        <v>0</v>
      </c>
      <c r="AI15" s="29">
        <f>(+SUMIFS(манзилли!$V:$V,манзилли!$D:$D,'свод (сектор вилоят)'!$B$12,манзилли!$AB:$AB,"&gt;31.12.2020",манзилли!$AA:$AA,"&gt;31.12.2020",манзилли!$AA:$AA,"&lt;01.01.2022",манзилли!$E:$E,"3"))</f>
        <v>0</v>
      </c>
      <c r="AJ15" s="30">
        <f>+SUMIFS(манзилли!$Z:$Z,манзилли!$D:$D,'свод (сектор вилоят)'!$B$12,манзилли!$AB:$AB,"&gt;31.12.2020",манзилли!$AA:$AA,"&gt;31.12.2020",манзилли!$AA:$AA,"&lt;01.01.2022",манзилли!$E:$E,"3")</f>
        <v>0</v>
      </c>
      <c r="AK15" s="28">
        <f>+COUNTIFS('Қўшимча ишга тушган'!$D:$D,'свод (сектор вилоят)'!B12,'Қўшимча ишга тушган'!$AO:$AO,"&lt;01.10.2023",манзилли!$E:$E,"3")</f>
        <v>0</v>
      </c>
      <c r="AL15" s="29">
        <f>(+SUMIFS('Қўшимча ишга тушган'!$T:$T,'Қўшимча ишга тушган'!$D:$D,'свод (сектор вилоят)'!$B$12,'Қўшимча ишга тушган'!$AO:$AO,"&lt;01.10.2023",манзилли!$E:$E,"3"))</f>
        <v>0</v>
      </c>
      <c r="AM15" s="29">
        <f>(+SUMIFS('Қўшимча ишга тушган'!$V:$V,'Қўшимча ишга тушган'!$D:$D,'свод (сектор вилоят)'!$B$12,'Қўшимча ишга тушган'!$AO:$AO,"&lt;01.10.2023",манзилли!$E:$E,"3"))</f>
        <v>0</v>
      </c>
      <c r="AN15" s="29">
        <f>(+SUMIFS('Қўшимча ишга тушган'!$Z:$Z,'Қўшимча ишга тушган'!$D:$D,'свод (сектор вилоят)'!$B$12,'Қўшимча ишга тушган'!$AO:$AO,"&lt;01.10.2023",манзилли!$E:$E,"3"))</f>
        <v>0</v>
      </c>
      <c r="AO15" s="29">
        <f>(+SUMIFS('Қўшимча ишга тушган'!$AB:$AB,'Қўшимча ишга тушган'!$D:$D,'свод (сектор вилоят)'!$B$12,'Қўшимча ишга тушган'!$AO:$AO,"&lt;01.10.2023",манзилли!$E:$E,"3"))</f>
        <v>0</v>
      </c>
      <c r="AP15" s="29">
        <f>(+SUMIFS('Қўшимча ишга тушган'!$AD:$AD,'Қўшимча ишга тушган'!$D:$D,'свод (сектор вилоят)'!$B$12,'Қўшимча ишга тушган'!$AO:$AO,"&lt;01.10.2023",манзилли!$E:$E,"3"))</f>
        <v>0</v>
      </c>
      <c r="AQ15" s="30">
        <f>+SUMIFS('Қўшимча ишга тушган'!$AM:$AM,'Қўшимча ишга тушган'!$D:$D,'свод (сектор вилоят)'!$B$12,'Қўшимча ишга тушган'!$AO:$AO,"&lt;01.10.2023",манзилли!$E:$E,"3")</f>
        <v>0</v>
      </c>
      <c r="AR15" s="28">
        <f>+COUNTIFS(манзилли!$D:$D,'свод (сектор вилоят)'!$B$12,манзилли!$AA:$AA,"&lt;01.02.2021",манзилли!$AB:$AB,"",манзилли!$E:$E,"3")</f>
        <v>0</v>
      </c>
      <c r="AS15" s="29">
        <f>(+SUMIFS(манзилли!$K:$K,манзилли!$D:$D,'свод (сектор вилоят)'!$B$12,манзилли!$AA:$AA,"&lt;01.02.2021",манзилли!$AB:$AB,"",манзилли!$E:$E,"3"))</f>
        <v>0</v>
      </c>
      <c r="AT15" s="29">
        <f>(+SUMIFS(манзилли!$M:$M,манзилли!$D:$D,'свод (сектор вилоят)'!$B$12,манзилли!$AA:$AA,"&lt;01.02.2021",манзилли!$AB:$AB,"",манзилли!$E:$E,"3"))</f>
        <v>0</v>
      </c>
      <c r="AU15" s="29">
        <f>(+SUMIFS(манзилли!$Q:$Q,манзилли!$D:$D,'свод (сектор вилоят)'!$B$12,манзилли!$AA:$AA,"&lt;01.02.2021",манзилли!$AB:$AB,"",манзилли!$E:$E,"3"))</f>
        <v>0</v>
      </c>
      <c r="AV15" s="29">
        <f>(+SUMIFS(манзилли!$S:$S,манзилли!$D:$D,'свод (сектор вилоят)'!$B$12,манзилли!$AA:$AA,"&lt;01.02.2021",манзилли!$AB:$AB,"",манзилли!$E:$E,"3"))</f>
        <v>0</v>
      </c>
      <c r="AW15" s="29">
        <f>(+SUMIFS(манзилли!$U:$U,манзилли!$D:$D,'свод (сектор вилоят)'!$B$12,манзилли!$AA:$AA,"&lt;01.02.2021",манзилли!$AB:$AB,"",манзилли!$E:$E,"3"))</f>
        <v>0</v>
      </c>
      <c r="AX15" s="30">
        <f>+SUMIFS(манзилли!$Y:$Y,манзилли!$D:$D,'свод (сектор вилоят)'!$B$12,манзилли!$AA:$AA,"&lt;01.02.2021",манзилли!$AB:$AB,"",манзилли!$E:$E,"3")</f>
        <v>0</v>
      </c>
      <c r="AY15" s="28">
        <f>+COUNTIFS(манзилли!$D:$D,'свод (сектор вилоят)'!$B$12,манзилли!$AA:$AA,"&lt;01.01.2022",манзилли!$AB:$AB,"",манзилли!$E:$E,"3")</f>
        <v>3</v>
      </c>
      <c r="AZ15" s="29">
        <f>(+SUMIFS(манзилли!$K:$K,манзилли!$D:$D,'свод (сектор вилоят)'!$B$12,манзилли!$AA:$AA,"&lt;01.01.2022",манзилли!$AB:$AB,"",манзилли!$E:$E,"3"))</f>
        <v>910</v>
      </c>
      <c r="BA15" s="29">
        <f>(+SUMIFS(манзилли!$M:$M,манзилли!$D:$D,'свод (сектор вилоят)'!$B$12,манзилли!$AA:$AA,"&lt;01.01.2022",манзилли!$AB:$AB,"",манзилли!$E:$E,"3"))</f>
        <v>690</v>
      </c>
      <c r="BB15" s="29">
        <f>(+SUMIFS(манзилли!$Q:$Q,манзилли!$D:$D,'свод (сектор вилоят)'!$B$12,манзилли!$AA:$AA,"&lt;01.01.2022",манзилли!$AB:$AB,"",манзилли!$E:$E,"3"))</f>
        <v>220</v>
      </c>
      <c r="BC15" s="29">
        <f>(+SUMIFS(манзилли!$S:$S,манзилли!$D:$D,'свод (сектор вилоят)'!$B$12,манзилли!$AA:$AA,"&lt;01.01.2022",манзилли!$AB:$AB,"",манзилли!$E:$E,"3"))</f>
        <v>0</v>
      </c>
      <c r="BD15" s="29">
        <f>(+SUMIFS(манзилли!$U:$U,манзилли!$D:$D,'свод (сектор вилоят)'!$B$12,манзилли!$AA:$AA,"&lt;01.01.2022",манзилли!$AB:$AB,"",манзилли!$E:$E,"3"))</f>
        <v>0</v>
      </c>
      <c r="BE15" s="30">
        <f>+SUMIFS(манзилли!$Y:$Y,манзилли!$D:$D,'свод (сектор вилоят)'!$B$12,манзилли!$AA:$AA,"&lt;01.01.2022",манзилли!$AB:$AB,"",манзилли!$E:$E,"3")</f>
        <v>14</v>
      </c>
      <c r="BF15" s="28">
        <f>+COUNTIFS(манзилли!$D:$D,'свод (сектор вилоят)'!$B$12,манзилли!$AA:$AA,"&lt;01.01.2023",манзилли!$AA:$AA,"&gt;=01.01.2022",манзилли!$E:$E,"3")</f>
        <v>0</v>
      </c>
      <c r="BG15" s="29">
        <f>(+SUMIFS(манзилли!$K:$K,манзилли!$D:$D,'свод (сектор вилоят)'!$B$12,манзилли!$AA:$AA,"&lt;01.01.2023",манзилли!$AA:$AA,"&gt;=01.01.2022",манзилли!$E:$E,"3"))</f>
        <v>0</v>
      </c>
      <c r="BH15" s="29">
        <f>(+SUMIFS(манзилли!$M:$M,манзилли!$D:$D,'свод (сектор вилоят)'!$B$12,манзилли!$AA:$AA,"&lt;01.01.2023",манзилли!$AA:$AA,"&gt;=01.01.2022",манзилли!$E:$E,"3"))</f>
        <v>0</v>
      </c>
      <c r="BI15" s="29">
        <f>(+SUMIFS(манзилли!$Q:$Q,манзилли!$D:$D,'свод (сектор вилоят)'!$B$12,манзилли!$AA:$AA,"&lt;01.01.2023",манзилли!$AA:$AA,"&gt;=01.01.2022",манзилли!$E:$E,"3"))</f>
        <v>0</v>
      </c>
      <c r="BJ15" s="29">
        <f>(+SUMIFS(манзилли!$S:$S,манзилли!$D:$D,'свод (сектор вилоят)'!$B$12,манзилли!$AA:$AA,"&lt;01.01.2023",манзилли!$AA:$AA,"&gt;=01.01.2022",манзилли!$E:$E,"3"))</f>
        <v>0</v>
      </c>
      <c r="BK15" s="29">
        <f>(+SUMIFS(манзилли!$U:$U,манзилли!$D:$D,'свод (сектор вилоят)'!$B$12,манзилли!$AA:$AA,"&lt;01.01.2023",манзилли!$AA:$AA,"&gt;=01.01.2022",манзилли!$E:$E,"3"))</f>
        <v>0</v>
      </c>
      <c r="BL15" s="30">
        <f>+SUMIFS(манзилли!$Y:$Y,манзилли!$D:$D,'свод (сектор вилоят)'!$B$12,манзилли!$AA:$AA,"&lt;01.01.2023",манзилли!$AA:$AA,"&gt;=01.01.2022",манзилли!$E:$E,"3")</f>
        <v>0</v>
      </c>
    </row>
    <row r="16" spans="1:64" s="3" customFormat="1" ht="39.75" customHeight="1" thickBot="1">
      <c r="A16" s="55"/>
      <c r="B16" s="36" t="s">
        <v>1774</v>
      </c>
      <c r="C16" s="37">
        <f>+COUNTIFS(манзилли!$D:$D,'свод (сектор вилоят)'!$B$12,манзилли!$E:$E,"4")</f>
        <v>6</v>
      </c>
      <c r="D16" s="38">
        <f>(+SUMIFS(манзилли!$K:$K,манзилли!$D:$D,'свод (сектор вилоят)'!$B$12,манзилли!$E:$E,"4"))</f>
        <v>3660</v>
      </c>
      <c r="E16" s="38">
        <f>(+SUMIFS(манзилли!$M:$M,манзилли!$D:$D,'свод (сектор вилоят)'!$B$12,манзилли!$E:$E,"4"))</f>
        <v>1860</v>
      </c>
      <c r="F16" s="38">
        <f>(+SUMIFS(манзилли!$Q:$Q,манзилли!$D:$D,'свод (сектор вилоят)'!$B$12,манзилли!$E:$E,"4"))</f>
        <v>1800</v>
      </c>
      <c r="G16" s="38">
        <f>(+SUMIFS(манзилли!$S:$S,манзилли!$D:$D,'свод (сектор вилоят)'!$B$12,манзилли!$E:$E,"4"))</f>
        <v>0</v>
      </c>
      <c r="H16" s="38">
        <f>(+SUMIFS(манзилли!$U:$U,манзилли!$D:$D,'свод (сектор вилоят)'!$B$12,манзилли!$E:$E,"4"))</f>
        <v>0</v>
      </c>
      <c r="I16" s="39">
        <f>+SUMIFS(манзилли!$Y:$Y,манзилли!$D:$D,'свод (сектор вилоят)'!$B$12,манзилли!$E:$E,"4")</f>
        <v>27</v>
      </c>
      <c r="J16" s="37">
        <f>(+COUNTIFS(манзилли!$L:$L,"&gt;0",манзилли!$D:$D,'свод (сектор вилоят)'!$B$12,манзилли!$E:$E,"4")+COUNTIFS('Қўшимча ишга тушган'!$T:$T,"&gt;0",'Қўшимча ишга тушган'!$D:$D,'свод (сектор вилоят)'!$B$12,'Қўшимча ишга тушган'!$E:$E,"4"))</f>
        <v>5</v>
      </c>
      <c r="K16" s="39">
        <f>(+SUMIFS(манзилли!$L:$L,манзилли!$D:$D,'свод (сектор вилоят)'!$B$12,манзилли!$E:$E,"4")+SUMIFS('Қўшимча ишга тушган'!$T:$T,'Қўшимча ишга тушган'!$D:$D,'свод (сектор вилоят)'!$B$12,'Қўшимча ишга тушган'!$E:$E,"4"))</f>
        <v>2800</v>
      </c>
      <c r="L16" s="40">
        <f>(+SUMIFS(манзилли!$N:$N,манзилли!$D:$D,'свод (сектор вилоят)'!$B$12,манзилли!$E:$E,"4")+SUMIFS('Қўшимча ишга тушган'!$V:$V,'Қўшимча ишга тушган'!$D:$D,'свод (сектор вилоят)'!$B$12,'Қўшимча ишга тушган'!$E:$E,"4"))</f>
        <v>1100</v>
      </c>
      <c r="M16" s="38">
        <f>(+SUMIFS(манзилли!$R:$R,манзилли!$D:$D,'свод (сектор вилоят)'!$B$12,манзилли!$E:$E,"4")+SUMIFS('Қўшимча ишга тушган'!$Z:$Z,'Қўшимча ишга тушган'!$D:$D,'свод (сектор вилоят)'!$B$12,'Қўшимча ишга тушган'!$E:$E,"4"))</f>
        <v>1700</v>
      </c>
      <c r="N16" s="38">
        <f>(+SUMIFS(манзилли!$T:$T,манзилли!$D:$D,'свод (сектор вилоят)'!$B$12,манзилли!$E:$E,"4")+SUMIFS('Қўшимча ишга тушган'!$AB:$AB,'Қўшимча ишга тушган'!$D:$D,'свод (сектор вилоят)'!$B$12,'Қўшимча ишга тушган'!$E:$E,"4"))</f>
        <v>0</v>
      </c>
      <c r="O16" s="39">
        <f>(+SUMIFS(манзилли!$V:$V,манзилли!$D:$D,'свод (сектор вилоят)'!$B$12,манзилли!$E:$E,"4")+SUMIFS('Қўшимча ишга тушган'!$AD:$AD,'Қўшимча ишга тушган'!$D:$D,'свод (сектор вилоят)'!$B$12,'Қўшимча ишга тушган'!$E:$E,"4"))</f>
        <v>0</v>
      </c>
      <c r="P16" s="37">
        <f>+COUNTIFS(манзилли!$D:$D,'свод (сектор вилоят)'!$B$12,манзилли!$AA:$AA,"&gt;31.12.2020",манзилли!$AA:$AA,"&lt;01.01.2022",манзилли!$E:$E,"4")</f>
        <v>5</v>
      </c>
      <c r="Q16" s="38">
        <f>(+SUMIFS(манзилли!$K:$K,манзилли!$D:$D,'свод (сектор вилоят)'!$B$12,манзилли!$AA:$AA,"&gt;31.12.2020",манзилли!$AA:$AA,"&lt;01.01.2022",манзилли!$E:$E,"4"))</f>
        <v>2660</v>
      </c>
      <c r="R16" s="38">
        <f>(+SUMIFS(манзилли!$M:$M,манзилли!$D:$D,'свод (сектор вилоят)'!$B$12,манзилли!$AA:$AA,"&gt;31.12.2020",манзилли!$AA:$AA,"&lt;01.01.2022",манзилли!$E:$E,"4"))</f>
        <v>860</v>
      </c>
      <c r="S16" s="38">
        <f>(+SUMIFS(манзилли!$Q:$Q,манзилли!$D:$D,'свод (сектор вилоят)'!$B$12,манзилли!$AA:$AA,"&gt;31.12.2020",манзилли!$AA:$AA,"&lt;01.01.2022",манзилли!$E:$E,"4"))</f>
        <v>1800</v>
      </c>
      <c r="T16" s="38">
        <f>(+SUMIFS(манзилли!$S:$S,манзилли!$D:$D,'свод (сектор вилоят)'!$B$12,манзилли!$AA:$AA,"&gt;31.12.2020",манзилли!$AA:$AA,"&lt;01.01.2022",манзилли!$E:$E,"4"))</f>
        <v>0</v>
      </c>
      <c r="U16" s="38">
        <f>(+SUMIFS(манзилли!$U:$U,манзилли!$D:$D,'свод (сектор вилоят)'!$B$12,манзилли!$AA:$AA,"&gt;31.12.2020",манзилли!$AA:$AA,"&lt;01.01.2022",манзилли!$E:$E,"4"))</f>
        <v>0</v>
      </c>
      <c r="V16" s="39">
        <f>+SUMIFS(манзилли!$Y:$Y,манзилли!$D:$D,'свод (сектор вилоят)'!$B$12,манзилли!$AA:$AA,"&gt;31.12.2020",манзилли!$AA:$AA,"&lt;01.01.2022",манзилли!$E:$E,"4")</f>
        <v>17</v>
      </c>
      <c r="W16" s="37">
        <f t="shared" si="84"/>
        <v>0</v>
      </c>
      <c r="X16" s="38">
        <f t="shared" si="78"/>
        <v>0</v>
      </c>
      <c r="Y16" s="38">
        <f t="shared" si="79"/>
        <v>0</v>
      </c>
      <c r="Z16" s="38">
        <f t="shared" si="80"/>
        <v>0</v>
      </c>
      <c r="AA16" s="38">
        <f t="shared" si="81"/>
        <v>0</v>
      </c>
      <c r="AB16" s="38">
        <f t="shared" si="82"/>
        <v>0</v>
      </c>
      <c r="AC16" s="39">
        <f t="shared" si="83"/>
        <v>0</v>
      </c>
      <c r="AD16" s="37">
        <f>+COUNTIFS(манзилли!$D:$D,'свод (сектор вилоят)'!$B$12,манзилли!$AB:$AB,"&gt;31.12.2020",манзилли!$AA:$AA,"&gt;31.12.2020",манзилли!$AA:$AA,"&lt;01.01.2022",манзилли!$E:$E,"4")</f>
        <v>0</v>
      </c>
      <c r="AE16" s="38">
        <f>(+SUMIFS(манзилли!$L:$L,манзилли!$D:$D,'свод (сектор вилоят)'!$B$12,манзилли!$AB:$AB,"&gt;31.12.2020",манзилли!$AA:$AA,"&gt;31.12.2020",манзилли!$AA:$AA,"&lt;01.01.2022",манзилли!$E:$E,"4"))</f>
        <v>0</v>
      </c>
      <c r="AF16" s="38">
        <f>(+SUMIFS(манзилли!$N:$N,манзилли!$D:$D,'свод (сектор вилоят)'!$B$12,манзилли!$AB:$AB,"&gt;31.12.2020",манзилли!$AA:$AA,"&gt;31.12.2020",манзилли!$AA:$AA,"&lt;01.01.2022",манзилли!$E:$E,"4"))</f>
        <v>0</v>
      </c>
      <c r="AG16" s="38">
        <f>(+SUMIFS(манзилли!$R:$R,манзилли!$D:$D,'свод (сектор вилоят)'!$B$12,манзилли!$AB:$AB,"&gt;31.12.2020",манзилли!$AA:$AA,"&gt;31.12.2020",манзилли!$AA:$AA,"&lt;01.01.2022",манзилли!$E:$E,"4"))</f>
        <v>0</v>
      </c>
      <c r="AH16" s="38">
        <f>(+SUMIFS(манзилли!$T:$T,манзилли!$D:$D,'свод (сектор вилоят)'!$B$12,манзилли!$AB:$AB,"&gt;31.12.2020",манзилли!$AA:$AA,"&gt;31.12.2020",манзилли!$AA:$AA,"&lt;01.01.2022",манзилли!$E:$E,"4"))</f>
        <v>0</v>
      </c>
      <c r="AI16" s="38">
        <f>(+SUMIFS(манзилли!$V:$V,манзилли!$D:$D,'свод (сектор вилоят)'!$B$12,манзилли!$AB:$AB,"&gt;31.12.2020",манзилли!$AA:$AA,"&gt;31.12.2020",манзилли!$AA:$AA,"&lt;01.01.2022",манзилли!$E:$E,"4"))</f>
        <v>0</v>
      </c>
      <c r="AJ16" s="39">
        <f>+SUMIFS(манзилли!$Z:$Z,манзилли!$D:$D,'свод (сектор вилоят)'!$B$12,манзилли!$AB:$AB,"&gt;31.12.2020",манзилли!$AA:$AA,"&gt;31.12.2020",манзилли!$AA:$AA,"&lt;01.01.2022",манзилли!$E:$E,"4")</f>
        <v>0</v>
      </c>
      <c r="AK16" s="37">
        <f>+COUNTIFS('Қўшимча ишга тушган'!$D:$D,'свод (сектор вилоят)'!B12,'Қўшимча ишга тушган'!$AO:$AO,"&lt;01.10.2023",манзилли!$E:$E,"4")</f>
        <v>0</v>
      </c>
      <c r="AL16" s="38">
        <f>(+SUMIFS('Қўшимча ишга тушган'!$T:$T,'Қўшимча ишга тушган'!$D:$D,'свод (сектор вилоят)'!$B$12,'Қўшимча ишга тушган'!$AO:$AO,"&lt;01.10.2023",манзилли!$E:$E,"4"))</f>
        <v>0</v>
      </c>
      <c r="AM16" s="38">
        <f>(+SUMIFS('Қўшимча ишга тушган'!$V:$V,'Қўшимча ишга тушган'!$D:$D,'свод (сектор вилоят)'!$B$12,'Қўшимча ишга тушган'!$AO:$AO,"&lt;01.10.2023",манзилли!$E:$E,"4"))</f>
        <v>0</v>
      </c>
      <c r="AN16" s="38">
        <f>(+SUMIFS('Қўшимча ишга тушган'!$Z:$Z,'Қўшимча ишга тушган'!$D:$D,'свод (сектор вилоят)'!$B$12,'Қўшимча ишга тушган'!$AO:$AO,"&lt;01.10.2023",манзилли!$E:$E,"4"))</f>
        <v>0</v>
      </c>
      <c r="AO16" s="38">
        <f>(+SUMIFS('Қўшимча ишга тушган'!$AB:$AB,'Қўшимча ишга тушган'!$D:$D,'свод (сектор вилоят)'!$B$12,'Қўшимча ишга тушган'!$AO:$AO,"&lt;01.10.2023",манзилли!$E:$E,"4"))</f>
        <v>0</v>
      </c>
      <c r="AP16" s="38">
        <f>(+SUMIFS('Қўшимча ишга тушган'!$AD:$AD,'Қўшимча ишга тушган'!$D:$D,'свод (сектор вилоят)'!$B$12,'Қўшимча ишга тушган'!$AO:$AO,"&lt;01.10.2023",манзилли!$E:$E,"4"))</f>
        <v>0</v>
      </c>
      <c r="AQ16" s="39">
        <f>+SUMIFS('Қўшимча ишга тушган'!$AM:$AM,'Қўшимча ишга тушган'!$D:$D,'свод (сектор вилоят)'!$B$12,'Қўшимча ишга тушган'!$AO:$AO,"&lt;01.10.2023",манзилли!$E:$E,"4")</f>
        <v>0</v>
      </c>
      <c r="AR16" s="37">
        <f>+COUNTIFS(манзилли!$D:$D,'свод (сектор вилоят)'!$B$12,манзилли!$AA:$AA,"&lt;01.02.2021",манзилли!$AB:$AB,"",манзилли!$E:$E,"4")</f>
        <v>0</v>
      </c>
      <c r="AS16" s="38">
        <f>(+SUMIFS(манзилли!$K:$K,манзилли!$D:$D,'свод (сектор вилоят)'!$B$12,манзилли!$AA:$AA,"&lt;01.02.2021",манзилли!$AB:$AB,"",манзилли!$E:$E,"4"))</f>
        <v>0</v>
      </c>
      <c r="AT16" s="38">
        <f>(+SUMIFS(манзилли!$M:$M,манзилли!$D:$D,'свод (сектор вилоят)'!$B$12,манзилли!$AA:$AA,"&lt;01.02.2021",манзилли!$AB:$AB,"",манзилли!$E:$E,"4"))</f>
        <v>0</v>
      </c>
      <c r="AU16" s="38">
        <f>(+SUMIFS(манзилли!$Q:$Q,манзилли!$D:$D,'свод (сектор вилоят)'!$B$12,манзилли!$AA:$AA,"&lt;01.02.2021",манзилли!$AB:$AB,"",манзилли!$E:$E,"4"))</f>
        <v>0</v>
      </c>
      <c r="AV16" s="38">
        <f>(+SUMIFS(манзилли!$S:$S,манзилли!$D:$D,'свод (сектор вилоят)'!$B$12,манзилли!$AA:$AA,"&lt;01.02.2021",манзилли!$AB:$AB,"",манзилли!$E:$E,"4"))</f>
        <v>0</v>
      </c>
      <c r="AW16" s="38">
        <f>(+SUMIFS(манзилли!$U:$U,манзилли!$D:$D,'свод (сектор вилоят)'!$B$12,манзилли!$AA:$AA,"&lt;01.02.2021",манзилли!$AB:$AB,"",манзилли!$E:$E,"4"))</f>
        <v>0</v>
      </c>
      <c r="AX16" s="39">
        <f>+SUMIFS(манзилли!$Y:$Y,манзилли!$D:$D,'свод (сектор вилоят)'!$B$12,манзилли!$AA:$AA,"&lt;01.02.2021",манзилли!$AB:$AB,"",манзилли!$E:$E,"4")</f>
        <v>0</v>
      </c>
      <c r="AY16" s="37">
        <f>+COUNTIFS(манзилли!$D:$D,'свод (сектор вилоят)'!$B$12,манзилли!$AA:$AA,"&lt;01.01.2022",манзилли!$AB:$AB,"",манзилли!$E:$E,"4")</f>
        <v>4</v>
      </c>
      <c r="AZ16" s="38">
        <f>(+SUMIFS(манзилли!$K:$K,манзилли!$D:$D,'свод (сектор вилоят)'!$B$12,манзилли!$AA:$AA,"&lt;01.01.2022",манзилли!$AB:$AB,"",манзилли!$E:$E,"4"))</f>
        <v>2360</v>
      </c>
      <c r="BA16" s="38">
        <f>(+SUMIFS(манзилли!$M:$M,манзилли!$D:$D,'свод (сектор вилоят)'!$B$12,манзилли!$AA:$AA,"&lt;01.01.2022",манзилли!$AB:$AB,"",манзилли!$E:$E,"4"))</f>
        <v>760</v>
      </c>
      <c r="BB16" s="38">
        <f>(+SUMIFS(манзилли!$Q:$Q,манзилли!$D:$D,'свод (сектор вилоят)'!$B$12,манзилли!$AA:$AA,"&lt;01.01.2022",манзилли!$AB:$AB,"",манзилли!$E:$E,"4"))</f>
        <v>1600</v>
      </c>
      <c r="BC16" s="38">
        <f>(+SUMIFS(манзилли!$S:$S,манзилли!$D:$D,'свод (сектор вилоят)'!$B$12,манзилли!$AA:$AA,"&lt;01.01.2022",манзилли!$AB:$AB,"",манзилли!$E:$E,"4"))</f>
        <v>0</v>
      </c>
      <c r="BD16" s="38">
        <f>(+SUMIFS(манзилли!$U:$U,манзилли!$D:$D,'свод (сектор вилоят)'!$B$12,манзилли!$AA:$AA,"&lt;01.01.2022",манзилли!$AB:$AB,"",манзилли!$E:$E,"4"))</f>
        <v>0</v>
      </c>
      <c r="BE16" s="39">
        <f>+SUMIFS(манзилли!$Y:$Y,манзилли!$D:$D,'свод (сектор вилоят)'!$B$12,манзилли!$AA:$AA,"&lt;01.01.2022",манзилли!$AB:$AB,"",манзилли!$E:$E,"4")</f>
        <v>14</v>
      </c>
      <c r="BF16" s="37">
        <f>+COUNTIFS(манзилли!$D:$D,'свод (сектор вилоят)'!$B$12,манзилли!$AA:$AA,"&lt;01.01.2023",манзилли!$AA:$AA,"&gt;=01.01.2022",манзилли!$E:$E,"4")</f>
        <v>0</v>
      </c>
      <c r="BG16" s="38">
        <f>(+SUMIFS(манзилли!$K:$K,манзилли!$D:$D,'свод (сектор вилоят)'!$B$12,манзилли!$AA:$AA,"&lt;01.01.2023",манзилли!$AA:$AA,"&gt;=01.01.2022",манзилли!$E:$E,"4"))</f>
        <v>0</v>
      </c>
      <c r="BH16" s="38">
        <f>(+SUMIFS(манзилли!$M:$M,манзилли!$D:$D,'свод (сектор вилоят)'!$B$12,манзилли!$AA:$AA,"&lt;01.01.2023",манзилли!$AA:$AA,"&gt;=01.01.2022",манзилли!$E:$E,"4"))</f>
        <v>0</v>
      </c>
      <c r="BI16" s="38">
        <f>(+SUMIFS(манзилли!$Q:$Q,манзилли!$D:$D,'свод (сектор вилоят)'!$B$12,манзилли!$AA:$AA,"&lt;01.01.2023",манзилли!$AA:$AA,"&gt;=01.01.2022",манзилли!$E:$E,"4"))</f>
        <v>0</v>
      </c>
      <c r="BJ16" s="38">
        <f>(+SUMIFS(манзилли!$S:$S,манзилли!$D:$D,'свод (сектор вилоят)'!$B$12,манзилли!$AA:$AA,"&lt;01.01.2023",манзилли!$AA:$AA,"&gt;=01.01.2022",манзилли!$E:$E,"4"))</f>
        <v>0</v>
      </c>
      <c r="BK16" s="38">
        <f>(+SUMIFS(манзилли!$U:$U,манзилли!$D:$D,'свод (сектор вилоят)'!$B$12,манзилли!$AA:$AA,"&lt;01.01.2023",манзилли!$AA:$AA,"&gt;=01.01.2022",манзилли!$E:$E,"4"))</f>
        <v>0</v>
      </c>
      <c r="BL16" s="39">
        <f>+SUMIFS(манзилли!$Y:$Y,манзилли!$D:$D,'свод (сектор вилоят)'!$B$12,манзилли!$AA:$AA,"&lt;01.01.2023",манзилли!$AA:$AA,"&gt;=01.01.2022",манзилли!$E:$E,"4")</f>
        <v>0</v>
      </c>
    </row>
    <row r="17" spans="1:64" s="3" customFormat="1" ht="39.75" customHeight="1" thickBot="1">
      <c r="A17" s="53">
        <v>3</v>
      </c>
      <c r="B17" s="54" t="s">
        <v>187</v>
      </c>
      <c r="C17" s="41">
        <f>+SUM(C18:C21)</f>
        <v>43</v>
      </c>
      <c r="D17" s="41">
        <f t="shared" ref="D17" si="85">+SUM(D18:D21)</f>
        <v>311794.22011578945</v>
      </c>
      <c r="E17" s="41">
        <f t="shared" ref="E17" si="86">+SUM(E18:E21)</f>
        <v>53173.50745578947</v>
      </c>
      <c r="F17" s="41">
        <f t="shared" ref="F17" si="87">+SUM(F18:F21)</f>
        <v>37634.212660000005</v>
      </c>
      <c r="G17" s="41">
        <f t="shared" ref="G17" si="88">+SUM(G18:G21)</f>
        <v>7455</v>
      </c>
      <c r="H17" s="41">
        <f t="shared" ref="H17" si="89">+SUM(H18:H21)</f>
        <v>14000</v>
      </c>
      <c r="I17" s="41">
        <f t="shared" ref="I17" si="90">+SUM(I18:I21)</f>
        <v>714</v>
      </c>
      <c r="J17" s="41">
        <f t="shared" ref="J17" si="91">+SUM(J18:J21)</f>
        <v>31</v>
      </c>
      <c r="K17" s="41">
        <f t="shared" ref="K17" si="92">+SUM(K18:K21)</f>
        <v>66515</v>
      </c>
      <c r="L17" s="41">
        <f t="shared" ref="L17" si="93">+SUM(L18:L21)</f>
        <v>5521</v>
      </c>
      <c r="M17" s="41">
        <f t="shared" ref="M17" si="94">+SUM(M18:M21)</f>
        <v>19684</v>
      </c>
      <c r="N17" s="41">
        <f t="shared" ref="N17" si="95">+SUM(N18:N21)</f>
        <v>4050</v>
      </c>
      <c r="O17" s="41">
        <f t="shared" ref="O17" si="96">+SUM(O18:O21)</f>
        <v>0</v>
      </c>
      <c r="P17" s="41">
        <f t="shared" ref="P17" si="97">+SUM(P18:P21)</f>
        <v>39</v>
      </c>
      <c r="Q17" s="41">
        <f t="shared" ref="Q17" si="98">+SUM(Q18:Q21)</f>
        <v>302738.22011578945</v>
      </c>
      <c r="R17" s="41">
        <f t="shared" ref="R17" si="99">+SUM(R18:R21)</f>
        <v>48993.50745578947</v>
      </c>
      <c r="S17" s="41">
        <f t="shared" ref="S17" si="100">+SUM(S18:S21)</f>
        <v>37084.212660000005</v>
      </c>
      <c r="T17" s="41">
        <f t="shared" ref="T17" si="101">+SUM(T18:T21)</f>
        <v>7035</v>
      </c>
      <c r="U17" s="41">
        <f t="shared" ref="U17" si="102">+SUM(U18:U21)</f>
        <v>14000</v>
      </c>
      <c r="V17" s="41">
        <f t="shared" ref="V17" si="103">+SUM(V18:V21)</f>
        <v>687</v>
      </c>
      <c r="W17" s="41">
        <f t="shared" ref="W17" si="104">+SUM(W18:W21)</f>
        <v>3</v>
      </c>
      <c r="X17" s="41">
        <f t="shared" ref="X17" si="105">+SUM(X18:X21)</f>
        <v>5698</v>
      </c>
      <c r="Y17" s="41">
        <f t="shared" ref="Y17" si="106">+SUM(Y18:Y21)</f>
        <v>3341</v>
      </c>
      <c r="Z17" s="41">
        <f t="shared" ref="Z17" si="107">+SUM(Z18:Z21)</f>
        <v>2357</v>
      </c>
      <c r="AA17" s="41">
        <f t="shared" ref="AA17" si="108">+SUM(AA18:AA21)</f>
        <v>0</v>
      </c>
      <c r="AB17" s="41">
        <f t="shared" ref="AB17" si="109">+SUM(AB18:AB21)</f>
        <v>0</v>
      </c>
      <c r="AC17" s="41">
        <f t="shared" ref="AC17" si="110">+SUM(AC18:AC21)</f>
        <v>12</v>
      </c>
      <c r="AD17" s="41">
        <f t="shared" ref="AD17" si="111">+SUM(AD18:AD21)</f>
        <v>3</v>
      </c>
      <c r="AE17" s="41">
        <f t="shared" ref="AE17" si="112">+SUM(AE18:AE21)</f>
        <v>5698</v>
      </c>
      <c r="AF17" s="41">
        <f t="shared" ref="AF17" si="113">+SUM(AF18:AF21)</f>
        <v>3341</v>
      </c>
      <c r="AG17" s="41">
        <f t="shared" ref="AG17" si="114">+SUM(AG18:AG21)</f>
        <v>2357</v>
      </c>
      <c r="AH17" s="41">
        <f t="shared" ref="AH17" si="115">+SUM(AH18:AH21)</f>
        <v>0</v>
      </c>
      <c r="AI17" s="41">
        <f t="shared" ref="AI17" si="116">+SUM(AI18:AI21)</f>
        <v>0</v>
      </c>
      <c r="AJ17" s="41">
        <f t="shared" ref="AJ17" si="117">+SUM(AJ18:AJ21)</f>
        <v>12</v>
      </c>
      <c r="AK17" s="41">
        <f t="shared" ref="AK17" si="118">+SUM(AK18:AK21)</f>
        <v>0</v>
      </c>
      <c r="AL17" s="41">
        <f t="shared" ref="AL17" si="119">+SUM(AL18:AL21)</f>
        <v>0</v>
      </c>
      <c r="AM17" s="41">
        <f t="shared" ref="AM17" si="120">+SUM(AM18:AM21)</f>
        <v>0</v>
      </c>
      <c r="AN17" s="41">
        <f t="shared" ref="AN17" si="121">+SUM(AN18:AN21)</f>
        <v>0</v>
      </c>
      <c r="AO17" s="41">
        <f t="shared" ref="AO17" si="122">+SUM(AO18:AO21)</f>
        <v>0</v>
      </c>
      <c r="AP17" s="41">
        <f t="shared" ref="AP17" si="123">+SUM(AP18:AP21)</f>
        <v>0</v>
      </c>
      <c r="AQ17" s="41">
        <f t="shared" ref="AQ17" si="124">+SUM(AQ18:AQ21)</f>
        <v>0</v>
      </c>
      <c r="AR17" s="41">
        <f t="shared" ref="AR17" si="125">+SUM(AR18:AR21)</f>
        <v>0</v>
      </c>
      <c r="AS17" s="41">
        <f t="shared" ref="AS17" si="126">+SUM(AS18:AS21)</f>
        <v>0</v>
      </c>
      <c r="AT17" s="41">
        <f t="shared" ref="AT17" si="127">+SUM(AT18:AT21)</f>
        <v>0</v>
      </c>
      <c r="AU17" s="41">
        <f t="shared" ref="AU17" si="128">+SUM(AU18:AU21)</f>
        <v>0</v>
      </c>
      <c r="AV17" s="41">
        <f t="shared" ref="AV17" si="129">+SUM(AV18:AV21)</f>
        <v>0</v>
      </c>
      <c r="AW17" s="41">
        <f t="shared" ref="AW17" si="130">+SUM(AW18:AW21)</f>
        <v>0</v>
      </c>
      <c r="AX17" s="41">
        <f t="shared" ref="AX17" si="131">+SUM(AX18:AX21)</f>
        <v>0</v>
      </c>
      <c r="AY17" s="41">
        <f t="shared" ref="AY17" si="132">+SUM(AY18:AY21)</f>
        <v>36</v>
      </c>
      <c r="AZ17" s="41">
        <f t="shared" ref="AZ17" si="133">+SUM(AZ18:AZ21)</f>
        <v>299024.33011578949</v>
      </c>
      <c r="BA17" s="41">
        <f t="shared" ref="BA17" si="134">+SUM(BA18:BA21)</f>
        <v>47637.017455789472</v>
      </c>
      <c r="BB17" s="41">
        <f t="shared" ref="BB17" si="135">+SUM(BB18:BB21)</f>
        <v>34726.812660000003</v>
      </c>
      <c r="BC17" s="41">
        <f t="shared" ref="BC17" si="136">+SUM(BC18:BC21)</f>
        <v>7035</v>
      </c>
      <c r="BD17" s="41">
        <f t="shared" ref="BD17" si="137">+SUM(BD18:BD21)</f>
        <v>14000</v>
      </c>
      <c r="BE17" s="41">
        <f t="shared" ref="BE17" si="138">+SUM(BE18:BE21)</f>
        <v>661</v>
      </c>
      <c r="BF17" s="41">
        <f t="shared" ref="BF17" si="139">+SUM(BF18:BF21)</f>
        <v>1</v>
      </c>
      <c r="BG17" s="41">
        <f t="shared" ref="BG17" si="140">+SUM(BG18:BG21)</f>
        <v>6326</v>
      </c>
      <c r="BH17" s="41">
        <f t="shared" ref="BH17" si="141">+SUM(BH18:BH21)</f>
        <v>2000</v>
      </c>
      <c r="BI17" s="41">
        <f t="shared" ref="BI17" si="142">+SUM(BI18:BI21)</f>
        <v>0</v>
      </c>
      <c r="BJ17" s="41">
        <f t="shared" ref="BJ17" si="143">+SUM(BJ18:BJ21)</f>
        <v>420</v>
      </c>
      <c r="BK17" s="41">
        <f t="shared" ref="BK17" si="144">+SUM(BK18:BK21)</f>
        <v>0</v>
      </c>
      <c r="BL17" s="43">
        <f t="shared" ref="BL17" si="145">+SUM(BL18:BL21)</f>
        <v>5</v>
      </c>
    </row>
    <row r="18" spans="1:64" s="3" customFormat="1" ht="39.75" customHeight="1">
      <c r="A18" s="52"/>
      <c r="B18" s="50" t="s">
        <v>1771</v>
      </c>
      <c r="C18" s="46">
        <f>+COUNTIFS(манзилли!$D:$D,'свод (сектор вилоят)'!$B$17,манзилли!$E:$E,"1")</f>
        <v>6</v>
      </c>
      <c r="D18" s="47">
        <f>(+SUMIFS(манзилли!$K:$K,манзилли!$D:$D,'свод (сектор вилоят)'!$B$17,манзилли!$E:$E,"1"))</f>
        <v>32876.026315789473</v>
      </c>
      <c r="E18" s="47">
        <f>(+SUMIFS(манзилли!$M:$M,манзилли!$D:$D,'свод (сектор вилоят)'!$B$17,манзилли!$E:$E,"1"))</f>
        <v>11195.526315789473</v>
      </c>
      <c r="F18" s="47">
        <f>(+SUMIFS(манзилли!$Q:$Q,манзилли!$D:$D,'свод (сектор вилоят)'!$B$17,манзилли!$E:$E,"1"))</f>
        <v>6900</v>
      </c>
      <c r="G18" s="47">
        <f>(+SUMIFS(манзилли!$S:$S,манзилли!$D:$D,'свод (сектор вилоят)'!$B$17,манзилли!$E:$E,"1"))</f>
        <v>1435</v>
      </c>
      <c r="H18" s="47">
        <f>(+SUMIFS(манзилли!$U:$U,манзилли!$D:$D,'свод (сектор вилоят)'!$B$17,манзилли!$E:$E,"1"))</f>
        <v>0</v>
      </c>
      <c r="I18" s="48">
        <f>+SUMIFS(манзилли!$Y:$Y,манзилли!$D:$D,'свод (сектор вилоят)'!$B$17,манзилли!$E:$E,"1")</f>
        <v>142</v>
      </c>
      <c r="J18" s="46">
        <f>(+COUNTIFS(манзилли!$L:$L,"&gt;0",манзилли!$D:$D,'свод (сектор вилоят)'!$B$17,манзилли!$E:$E,"1")+COUNTIFS('Қўшимча ишга тушган'!$T:$T,"&gt;0",'Қўшимча ишга тушган'!$D:$D,'свод (сектор вилоят)'!$B$17,'Қўшимча ишга тушган'!$E:$E,"1"))</f>
        <v>5</v>
      </c>
      <c r="K18" s="48">
        <f>(+SUMIFS(манзилли!$L:$L,манзилли!$D:$D,'свод (сектор вилоят)'!$B$17,манзилли!$E:$E,"1")+SUMIFS('Қўшимча ишга тушган'!$T:$T,'Қўшимча ишга тушган'!$D:$D,'свод (сектор вилоят)'!$B$17,'Қўшимча ишга тушган'!$E:$E,"1"))</f>
        <v>16400</v>
      </c>
      <c r="L18" s="49">
        <f>(+SUMIFS(манзилли!$N:$N,манзилли!$D:$D,'свод (сектор вилоят)'!$B$17,манзилли!$E:$E,"1")+SUMIFS('Қўшимча ишга тушган'!$V:$V,'Қўшимча ишга тушган'!$D:$D,'свод (сектор вилоят)'!$B$17,'Қўшимча ишга тушган'!$E:$E,"1"))</f>
        <v>0</v>
      </c>
      <c r="M18" s="47">
        <f>(+SUMIFS(манзилли!$R:$R,манзилли!$D:$D,'свод (сектор вилоят)'!$B$17,манзилли!$E:$E,"1")+SUMIFS('Қўшимча ишга тушган'!$Z:$Z,'Қўшимча ишга тушган'!$D:$D,'свод (сектор вилоят)'!$B$17,'Қўшимча ишга тушган'!$E:$E,"1"))</f>
        <v>1100</v>
      </c>
      <c r="N18" s="47">
        <f>(+SUMIFS(манзилли!$T:$T,манзилли!$D:$D,'свод (сектор вилоят)'!$B$17,манзилли!$E:$E,"1")+SUMIFS('Қўшимча ишга тушган'!$AB:$AB,'Қўшимча ишга тушган'!$D:$D,'свод (сектор вилоят)'!$B$17,'Қўшимча ишга тушган'!$E:$E,"1"))</f>
        <v>1500</v>
      </c>
      <c r="O18" s="48">
        <f>(+SUMIFS(манзилли!$V:$V,манзилли!$D:$D,'свод (сектор вилоят)'!$B$17,манзилли!$E:$E,"1")+SUMIFS('Қўшимча ишга тушган'!$AD:$AD,'Қўшимча ишга тушган'!$D:$D,'свод (сектор вилоят)'!$B$17,'Қўшимча ишга тушган'!$E:$E,"1"))</f>
        <v>0</v>
      </c>
      <c r="P18" s="46">
        <f>+COUNTIFS(манзилли!$D:$D,'свод (сектор вилоят)'!$B$17,манзилли!$AA:$AA,"&gt;31.12.2020",манзилли!$AA:$AA,"&lt;01.01.2022",манзилли!$E:$E,"1")</f>
        <v>6</v>
      </c>
      <c r="Q18" s="47">
        <f>(+SUMIFS(манзилли!$K:$K,манзилли!$D:$D,'свод (сектор вилоят)'!$B$17,манзилли!$AA:$AA,"&gt;31.12.2020",манзилли!$AA:$AA,"&lt;01.01.2022",манзилли!$E:$E,"1"))</f>
        <v>32876.026315789473</v>
      </c>
      <c r="R18" s="47">
        <f>(+SUMIFS(манзилли!$M:$M,манзилли!$D:$D,'свод (сектор вилоят)'!$B$17,манзилли!$AA:$AA,"&gt;31.12.2020",манзилли!$AA:$AA,"&lt;01.01.2022",манзилли!$E:$E,"1"))</f>
        <v>11195.526315789473</v>
      </c>
      <c r="S18" s="47">
        <f>(+SUMIFS(манзилли!$Q:$Q,манзилли!$D:$D,'свод (сектор вилоят)'!$B$17,манзилли!$AA:$AA,"&gt;31.12.2020",манзилли!$AA:$AA,"&lt;01.01.2022",манзилли!$E:$E,"1"))</f>
        <v>6900</v>
      </c>
      <c r="T18" s="47">
        <f>(+SUMIFS(манзилли!$S:$S,манзилли!$D:$D,'свод (сектор вилоят)'!$B$17,манзилли!$AA:$AA,"&gt;31.12.2020",манзилли!$AA:$AA,"&lt;01.01.2022",манзилли!$E:$E,"1"))</f>
        <v>1435</v>
      </c>
      <c r="U18" s="47">
        <f>(+SUMIFS(манзилли!$U:$U,манзилли!$D:$D,'свод (сектор вилоят)'!$B$17,манзилли!$AA:$AA,"&gt;31.12.2020",манзилли!$AA:$AA,"&lt;01.01.2022",манзилли!$E:$E,"1"))</f>
        <v>0</v>
      </c>
      <c r="V18" s="48">
        <f>+SUMIFS(манзилли!$Y:$Y,манзилли!$D:$D,'свод (сектор вилоят)'!$B$17,манзилли!$AA:$AA,"&gt;31.12.2020",манзилли!$AA:$AA,"&lt;01.01.2022",манзилли!$E:$E,"1")</f>
        <v>142</v>
      </c>
      <c r="W18" s="46">
        <f>+AD18+AK18</f>
        <v>0</v>
      </c>
      <c r="X18" s="47">
        <f t="shared" ref="X18:X21" si="146">+AE18+AL18</f>
        <v>0</v>
      </c>
      <c r="Y18" s="47">
        <f t="shared" ref="Y18:Y21" si="147">+AF18+AM18</f>
        <v>0</v>
      </c>
      <c r="Z18" s="47">
        <f t="shared" ref="Z18:Z21" si="148">+AG18+AN18</f>
        <v>0</v>
      </c>
      <c r="AA18" s="47">
        <f t="shared" ref="AA18:AA21" si="149">+AH18+AO18</f>
        <v>0</v>
      </c>
      <c r="AB18" s="47">
        <f t="shared" ref="AB18:AB21" si="150">+AI18+AP18</f>
        <v>0</v>
      </c>
      <c r="AC18" s="48">
        <f t="shared" ref="AC18:AC21" si="151">+AJ18+AQ18</f>
        <v>0</v>
      </c>
      <c r="AD18" s="46">
        <f>+COUNTIFS(манзилли!$D:$D,'свод (сектор вилоят)'!$B$17,манзилли!$AB:$AB,"&gt;31.12.2020",манзилли!$AA:$AA,"&gt;31.12.2020",манзилли!$AA:$AA,"&lt;01.01.2022",манзилли!$E:$E,"1")</f>
        <v>0</v>
      </c>
      <c r="AE18" s="47">
        <f>(+SUMIFS(манзилли!$L:$L,манзилли!$D:$D,'свод (сектор вилоят)'!$B$17,манзилли!$AB:$AB,"&gt;31.12.2020",манзилли!$AA:$AA,"&gt;31.12.2020",манзилли!$AA:$AA,"&lt;01.01.2022",манзилли!$E:$E,"1"))</f>
        <v>0</v>
      </c>
      <c r="AF18" s="47">
        <f>(+SUMIFS(манзилли!$N:$N,манзилли!$D:$D,'свод (сектор вилоят)'!$B$17,манзилли!$AB:$AB,"&gt;31.12.2020",манзилли!$AA:$AA,"&gt;31.12.2020",манзилли!$AA:$AA,"&lt;01.01.2022",манзилли!$E:$E,"1"))</f>
        <v>0</v>
      </c>
      <c r="AG18" s="47">
        <f>(+SUMIFS(манзилли!$R:$R,манзилли!$D:$D,'свод (сектор вилоят)'!$B$17,манзилли!$AB:$AB,"&gt;31.12.2020",манзилли!$AA:$AA,"&gt;31.12.2020",манзилли!$AA:$AA,"&lt;01.01.2022",манзилли!$E:$E,"1"))</f>
        <v>0</v>
      </c>
      <c r="AH18" s="47">
        <f>(+SUMIFS(манзилли!$T:$T,манзилли!$D:$D,'свод (сектор вилоят)'!$B$17,манзилли!$AB:$AB,"&gt;31.12.2020",манзилли!$AA:$AA,"&gt;31.12.2020",манзилли!$AA:$AA,"&lt;01.01.2022",манзилли!$E:$E,"1"))</f>
        <v>0</v>
      </c>
      <c r="AI18" s="47">
        <f>(+SUMIFS(манзилли!$V:$V,манзилли!$D:$D,'свод (сектор вилоят)'!$B$17,манзилли!$AB:$AB,"&gt;31.12.2020",манзилли!$AA:$AA,"&gt;31.12.2020",манзилли!$AA:$AA,"&lt;01.01.2022",манзилли!$E:$E,"1"))</f>
        <v>0</v>
      </c>
      <c r="AJ18" s="48">
        <f>+SUMIFS(манзилли!$Z:$Z,манзилли!$D:$D,'свод (сектор вилоят)'!$B$17,манзилли!$AB:$AB,"&gt;31.12.2020",манзилли!$AA:$AA,"&gt;31.12.2020",манзилли!$AA:$AA,"&lt;01.01.2022",манзилли!$E:$E,"1")</f>
        <v>0</v>
      </c>
      <c r="AK18" s="46">
        <f>+COUNTIFS('Қўшимча ишга тушган'!$D:$D,'свод (сектор вилоят)'!B17,'Қўшимча ишга тушган'!$AO:$AO,"&lt;01.10.2023",манзилли!$E:$E,"1")</f>
        <v>0</v>
      </c>
      <c r="AL18" s="47">
        <f>(+SUMIFS('Қўшимча ишга тушган'!$T:$T,'Қўшимча ишга тушган'!$D:$D,'свод (сектор вилоят)'!$B$17,'Қўшимча ишга тушган'!$AO:$AO,"&lt;01.10.2023",манзилли!$E:$E,"1"))</f>
        <v>0</v>
      </c>
      <c r="AM18" s="47">
        <f>(+SUMIFS('Қўшимча ишга тушган'!$V:$V,'Қўшимча ишга тушган'!$D:$D,'свод (сектор вилоят)'!$B$17,'Қўшимча ишга тушган'!$AO:$AO,"&lt;01.10.2023",манзилли!$E:$E,"1"))</f>
        <v>0</v>
      </c>
      <c r="AN18" s="47">
        <f>(+SUMIFS('Қўшимча ишга тушган'!$Z:$Z,'Қўшимча ишга тушган'!$D:$D,'свод (сектор вилоят)'!$B$17,'Қўшимча ишга тушган'!$AO:$AO,"&lt;01.10.2023",манзилли!$E:$E,"1"))</f>
        <v>0</v>
      </c>
      <c r="AO18" s="47">
        <f>(+SUMIFS('Қўшимча ишга тушган'!$AB:$AB,'Қўшимча ишга тушган'!$D:$D,'свод (сектор вилоят)'!$B$17,'Қўшимча ишга тушган'!$AO:$AO,"&lt;01.10.2023",манзилли!$E:$E,"1"))</f>
        <v>0</v>
      </c>
      <c r="AP18" s="47">
        <f>(+SUMIFS('Қўшимча ишга тушган'!$AD:$AD,'Қўшимча ишга тушган'!$D:$D,'свод (сектор вилоят)'!$B$17,'Қўшимча ишга тушган'!$AO:$AO,"&lt;01.10.2023",манзилли!$E:$E,"1"))</f>
        <v>0</v>
      </c>
      <c r="AQ18" s="48">
        <f>+SUMIFS('Қўшимча ишга тушган'!$AM:$AM,'Қўшимча ишга тушган'!$D:$D,'свод (сектор вилоят)'!$B$17,'Қўшимча ишга тушган'!$AO:$AO,"&lt;01.10.2023",манзилли!$E:$E,"1")</f>
        <v>0</v>
      </c>
      <c r="AR18" s="46">
        <f>+COUNTIFS(манзилли!$D:$D,'свод (сектор вилоят)'!$B$17,манзилли!$AA:$AA,"&lt;01.02.2021",манзилли!$AB:$AB,"",манзилли!$E:$E,"1")</f>
        <v>0</v>
      </c>
      <c r="AS18" s="47">
        <f>(+SUMIFS(манзилли!$K:$K,манзилли!$D:$D,'свод (сектор вилоят)'!$B$17,манзилли!$AA:$AA,"&lt;01.02.2021",манзилли!$AB:$AB,"",манзилли!$E:$E,"1"))</f>
        <v>0</v>
      </c>
      <c r="AT18" s="47">
        <f>(+SUMIFS(манзилли!$M:$M,манзилли!$D:$D,'свод (сектор вилоят)'!$B$17,манзилли!$AA:$AA,"&lt;01.02.2021",манзилли!$AB:$AB,"",манзилли!$E:$E,"1"))</f>
        <v>0</v>
      </c>
      <c r="AU18" s="47">
        <f>(+SUMIFS(манзилли!$Q:$Q,манзилли!$D:$D,'свод (сектор вилоят)'!$B$17,манзилли!$AA:$AA,"&lt;01.02.2021",манзилли!$AB:$AB,"",манзилли!$E:$E,"1"))</f>
        <v>0</v>
      </c>
      <c r="AV18" s="47">
        <f>(+SUMIFS(манзилли!$S:$S,манзилли!$D:$D,'свод (сектор вилоят)'!$B$17,манзилли!$AA:$AA,"&lt;01.02.2021",манзилли!$AB:$AB,"",манзилли!$E:$E,"1"))</f>
        <v>0</v>
      </c>
      <c r="AW18" s="47">
        <f>(+SUMIFS(манзилли!$U:$U,манзилли!$D:$D,'свод (сектор вилоят)'!$B$17,манзилли!$AA:$AA,"&lt;01.02.2021",манзилли!$AB:$AB,"",манзилли!$E:$E,"1"))</f>
        <v>0</v>
      </c>
      <c r="AX18" s="48">
        <f>+SUMIFS(манзилли!$Y:$Y,манзилли!$D:$D,'свод (сектор вилоят)'!$B$17,манзилли!$AA:$AA,"&lt;01.02.2021",манзилли!$AB:$AB,"",манзилли!$E:$E,"1")</f>
        <v>0</v>
      </c>
      <c r="AY18" s="46">
        <f>+COUNTIFS(манзилли!$D:$D,'свод (сектор вилоят)'!$B$17,манзилли!$AA:$AA,"&lt;01.01.2022",манзилли!$AB:$AB,"",манзилли!$E:$E,"1")</f>
        <v>6</v>
      </c>
      <c r="AZ18" s="47">
        <f>(+SUMIFS(манзилли!$K:$K,манзилли!$D:$D,'свод (сектор вилоят)'!$B$17,манзилли!$AA:$AA,"&lt;01.01.2022",манзилли!$AB:$AB,"",манзилли!$E:$E,"1"))</f>
        <v>32876.026315789473</v>
      </c>
      <c r="BA18" s="47">
        <f>(+SUMIFS(манзилли!$M:$M,манзилли!$D:$D,'свод (сектор вилоят)'!$B$17,манзилли!$AA:$AA,"&lt;01.01.2022",манзилли!$AB:$AB,"",манзилли!$E:$E,"1"))</f>
        <v>11195.526315789473</v>
      </c>
      <c r="BB18" s="47">
        <f>(+SUMIFS(манзилли!$Q:$Q,манзилли!$D:$D,'свод (сектор вилоят)'!$B$17,манзилли!$AA:$AA,"&lt;01.01.2022",манзилли!$AB:$AB,"",манзилли!$E:$E,"1"))</f>
        <v>6900</v>
      </c>
      <c r="BC18" s="47">
        <f>(+SUMIFS(манзилли!$S:$S,манзилли!$D:$D,'свод (сектор вилоят)'!$B$17,манзилли!$AA:$AA,"&lt;01.01.2022",манзилли!$AB:$AB,"",манзилли!$E:$E,"1"))</f>
        <v>1435</v>
      </c>
      <c r="BD18" s="47">
        <f>(+SUMIFS(манзилли!$U:$U,манзилли!$D:$D,'свод (сектор вилоят)'!$B$17,манзилли!$AA:$AA,"&lt;01.01.2022",манзилли!$AB:$AB,"",манзилли!$E:$E,"1"))</f>
        <v>0</v>
      </c>
      <c r="BE18" s="48">
        <f>+SUMIFS(манзилли!$Y:$Y,манзилли!$D:$D,'свод (сектор вилоят)'!$B$17,манзилли!$AA:$AA,"&lt;01.01.2022",манзилли!$AB:$AB,"",манзилли!$E:$E,"1")</f>
        <v>142</v>
      </c>
      <c r="BF18" s="46">
        <f>+COUNTIFS(манзилли!$D:$D,'свод (сектор вилоят)'!$B$17,манзилли!$AA:$AA,"&lt;01.01.2023",манзилли!$AA:$AA,"&gt;=01.01.2022",манзилли!$E:$E,"1")</f>
        <v>0</v>
      </c>
      <c r="BG18" s="47">
        <f>(+SUMIFS(манзилли!$K:$K,манзилли!$D:$D,'свод (сектор вилоят)'!$B$17,манзилли!$AA:$AA,"&lt;01.01.2023",манзилли!$AA:$AA,"&gt;=01.01.2022",манзилли!$E:$E,"1"))</f>
        <v>0</v>
      </c>
      <c r="BH18" s="47">
        <f>(+SUMIFS(манзилли!$M:$M,манзилли!$D:$D,'свод (сектор вилоят)'!$B$17,манзилли!$AA:$AA,"&lt;01.01.2023",манзилли!$AA:$AA,"&gt;=01.01.2022",манзилли!$E:$E,"1"))</f>
        <v>0</v>
      </c>
      <c r="BI18" s="47">
        <f>(+SUMIFS(манзилли!$Q:$Q,манзилли!$D:$D,'свод (сектор вилоят)'!$B$17,манзилли!$AA:$AA,"&lt;01.01.2023",манзилли!$AA:$AA,"&gt;=01.01.2022",манзилли!$E:$E,"1"))</f>
        <v>0</v>
      </c>
      <c r="BJ18" s="47">
        <f>(+SUMIFS(манзилли!$S:$S,манзилли!$D:$D,'свод (сектор вилоят)'!$B$17,манзилли!$AA:$AA,"&lt;01.01.2023",манзилли!$AA:$AA,"&gt;=01.01.2022",манзилли!$E:$E,"1"))</f>
        <v>0</v>
      </c>
      <c r="BK18" s="47">
        <f>(+SUMIFS(манзилли!$U:$U,манзилли!$D:$D,'свод (сектор вилоят)'!$B$17,манзилли!$AA:$AA,"&lt;01.01.2023",манзилли!$AA:$AA,"&gt;=01.01.2022",манзилли!$E:$E,"1"))</f>
        <v>0</v>
      </c>
      <c r="BL18" s="48">
        <f>+SUMIFS(манзилли!$Y:$Y,манзилли!$D:$D,'свод (сектор вилоят)'!$B$17,манзилли!$AA:$AA,"&lt;01.01.2023",манзилли!$AA:$AA,"&gt;=01.01.2022",манзилли!$E:$E,"1")</f>
        <v>0</v>
      </c>
    </row>
    <row r="19" spans="1:64" s="3" customFormat="1" ht="39.75" customHeight="1">
      <c r="A19" s="51"/>
      <c r="B19" s="27" t="s">
        <v>1772</v>
      </c>
      <c r="C19" s="28">
        <f>+COUNTIFS(манзилли!$D:$D,'свод (сектор вилоят)'!$B$17,манзилли!$E:$E,"2")</f>
        <v>14</v>
      </c>
      <c r="D19" s="29">
        <f>(+SUMIFS(манзилли!$K:$K,манзилли!$D:$D,'свод (сектор вилоят)'!$B$17,манзилли!$E:$E,"2"))</f>
        <v>25888.193800000001</v>
      </c>
      <c r="E19" s="29">
        <f>(+SUMIFS(манзилли!$M:$M,манзилли!$D:$D,'свод (сектор вилоят)'!$B$17,манзилли!$E:$E,"2"))</f>
        <v>9072.9811399999999</v>
      </c>
      <c r="F19" s="29">
        <f>(+SUMIFS(манзилли!$Q:$Q,манзилли!$D:$D,'свод (сектор вилоят)'!$B$17,манзилли!$E:$E,"2"))</f>
        <v>16815.212660000001</v>
      </c>
      <c r="G19" s="29">
        <f>(+SUMIFS(манзилли!$S:$S,манзилли!$D:$D,'свод (сектор вилоят)'!$B$17,манзилли!$E:$E,"2"))</f>
        <v>0</v>
      </c>
      <c r="H19" s="29">
        <f>(+SUMIFS(манзилли!$U:$U,манзилли!$D:$D,'свод (сектор вилоят)'!$B$17,манзилли!$E:$E,"2"))</f>
        <v>0</v>
      </c>
      <c r="I19" s="30">
        <f>+SUMIFS(манзилли!$Y:$Y,манзилли!$D:$D,'свод (сектор вилоят)'!$B$17,манзилли!$E:$E,"2")</f>
        <v>130</v>
      </c>
      <c r="J19" s="28">
        <f>(+COUNTIFS(манзилли!$L:$L,"&gt;0",манзилли!$D:$D,'свод (сектор вилоят)'!$B$17,манзилли!$E:$E,"2")+COUNTIFS('Қўшимча ишга тушган'!$T:$T,"&gt;0",'Қўшимча ишга тушган'!$D:$D,'свод (сектор вилоят)'!$B$17,'Қўшимча ишга тушган'!$E:$E,"2"))</f>
        <v>10</v>
      </c>
      <c r="K19" s="30">
        <f>(+SUMIFS(манзилли!$L:$L,манзилли!$D:$D,'свод (сектор вилоят)'!$B$17,манзилли!$E:$E,"2")+SUMIFS('Қўшимча ишга тушган'!$T:$T,'Қўшимча ишга тушган'!$D:$D,'свод (сектор вилоят)'!$B$17,'Қўшимча ишга тушган'!$E:$E,"2"))</f>
        <v>10376</v>
      </c>
      <c r="L19" s="31">
        <f>(+SUMIFS(манзилли!$N:$N,манзилли!$D:$D,'свод (сектор вилоят)'!$B$17,манзилли!$E:$E,"2")+SUMIFS('Қўшимча ишга тушган'!$V:$V,'Қўшимча ишга тушган'!$D:$D,'свод (сектор вилоят)'!$B$17,'Қўшимча ишга тушган'!$E:$E,"2"))</f>
        <v>667</v>
      </c>
      <c r="M19" s="29">
        <f>(+SUMIFS(манзилли!$R:$R,манзилли!$D:$D,'свод (сектор вилоят)'!$B$17,манзилли!$E:$E,"2")+SUMIFS('Қўшимча ишга тушган'!$Z:$Z,'Қўшимча ишга тушган'!$D:$D,'свод (сектор вилоят)'!$B$17,'Қўшимча ишга тушган'!$E:$E,"2"))</f>
        <v>8689</v>
      </c>
      <c r="N19" s="29">
        <f>(+SUMIFS(манзилли!$T:$T,манзилли!$D:$D,'свод (сектор вилоят)'!$B$17,манзилли!$E:$E,"2")+SUMIFS('Қўшимча ишга тушган'!$AB:$AB,'Қўшимча ишга тушган'!$D:$D,'свод (сектор вилоят)'!$B$17,'Қўшимча ишга тушган'!$E:$E,"2"))</f>
        <v>100</v>
      </c>
      <c r="O19" s="30">
        <f>(+SUMIFS(манзилли!$V:$V,манзилли!$D:$D,'свод (сектор вилоят)'!$B$17,манзилли!$E:$E,"2")+SUMIFS('Қўшимча ишга тушган'!$AD:$AD,'Қўшимча ишга тушган'!$D:$D,'свод (сектор вилоят)'!$B$17,'Қўшимча ишга тушган'!$E:$E,"2"))</f>
        <v>0</v>
      </c>
      <c r="P19" s="28">
        <f>+COUNTIFS(манзилли!$D:$D,'свод (сектор вилоят)'!$B$17,манзилли!$AA:$AA,"&gt;31.12.2020",манзилли!$AA:$AA,"&lt;01.01.2022",манзилли!$E:$E,"2")</f>
        <v>14</v>
      </c>
      <c r="Q19" s="29">
        <f>(+SUMIFS(манзилли!$K:$K,манзилли!$D:$D,'свод (сектор вилоят)'!$B$17,манзилли!$AA:$AA,"&gt;31.12.2020",манзилли!$AA:$AA,"&lt;01.01.2022",манзилли!$E:$E,"2"))</f>
        <v>25888.193800000001</v>
      </c>
      <c r="R19" s="29">
        <f>(+SUMIFS(манзилли!$M:$M,манзилли!$D:$D,'свод (сектор вилоят)'!$B$17,манзилли!$AA:$AA,"&gt;31.12.2020",манзилли!$AA:$AA,"&lt;01.01.2022",манзилли!$E:$E,"2"))</f>
        <v>9072.9811399999999</v>
      </c>
      <c r="S19" s="29">
        <f>(+SUMIFS(манзилли!$Q:$Q,манзилли!$D:$D,'свод (сектор вилоят)'!$B$17,манзилли!$AA:$AA,"&gt;31.12.2020",манзилли!$AA:$AA,"&lt;01.01.2022",манзилли!$E:$E,"2"))</f>
        <v>16815.212660000001</v>
      </c>
      <c r="T19" s="29">
        <f>(+SUMIFS(манзилли!$S:$S,манзилли!$D:$D,'свод (сектор вилоят)'!$B$17,манзилли!$AA:$AA,"&gt;31.12.2020",манзилли!$AA:$AA,"&lt;01.01.2022",манзилли!$E:$E,"2"))</f>
        <v>0</v>
      </c>
      <c r="U19" s="29">
        <f>(+SUMIFS(манзилли!$U:$U,манзилли!$D:$D,'свод (сектор вилоят)'!$B$17,манзилли!$AA:$AA,"&gt;31.12.2020",манзилли!$AA:$AA,"&lt;01.01.2022",манзилли!$E:$E,"2"))</f>
        <v>0</v>
      </c>
      <c r="V19" s="30">
        <f>+SUMIFS(манзилли!$Y:$Y,манзилли!$D:$D,'свод (сектор вилоят)'!$B$17,манзилли!$AA:$AA,"&gt;31.12.2020",манзилли!$AA:$AA,"&lt;01.01.2022",манзилли!$E:$E,"2")</f>
        <v>130</v>
      </c>
      <c r="W19" s="28">
        <f t="shared" ref="W19:W21" si="152">+AD19+AK19</f>
        <v>1</v>
      </c>
      <c r="X19" s="29">
        <f t="shared" si="146"/>
        <v>2624</v>
      </c>
      <c r="Y19" s="29">
        <f t="shared" si="147"/>
        <v>667</v>
      </c>
      <c r="Z19" s="29">
        <f t="shared" si="148"/>
        <v>1957</v>
      </c>
      <c r="AA19" s="29">
        <f t="shared" si="149"/>
        <v>0</v>
      </c>
      <c r="AB19" s="29">
        <f t="shared" si="150"/>
        <v>0</v>
      </c>
      <c r="AC19" s="30">
        <f t="shared" si="151"/>
        <v>6</v>
      </c>
      <c r="AD19" s="28">
        <f>+COUNTIFS(манзилли!$D:$D,'свод (сектор вилоят)'!$B$17,манзилли!$AB:$AB,"&gt;31.12.2020",манзилли!$AA:$AA,"&gt;31.12.2020",манзилли!$AA:$AA,"&lt;01.01.2022",манзилли!$E:$E,"2")</f>
        <v>1</v>
      </c>
      <c r="AE19" s="29">
        <f>(+SUMIFS(манзилли!$L:$L,манзилли!$D:$D,'свод (сектор вилоят)'!$B$17,манзилли!$AB:$AB,"&gt;31.12.2020",манзилли!$AA:$AA,"&gt;31.12.2020",манзилли!$AA:$AA,"&lt;01.01.2022",манзилли!$E:$E,"2"))</f>
        <v>2624</v>
      </c>
      <c r="AF19" s="29">
        <f>(+SUMIFS(манзилли!$N:$N,манзилли!$D:$D,'свод (сектор вилоят)'!$B$17,манзилли!$AB:$AB,"&gt;31.12.2020",манзилли!$AA:$AA,"&gt;31.12.2020",манзилли!$AA:$AA,"&lt;01.01.2022",манзилли!$E:$E,"2"))</f>
        <v>667</v>
      </c>
      <c r="AG19" s="29">
        <f>(+SUMIFS(манзилли!$R:$R,манзилли!$D:$D,'свод (сектор вилоят)'!$B$17,манзилли!$AB:$AB,"&gt;31.12.2020",манзилли!$AA:$AA,"&gt;31.12.2020",манзилли!$AA:$AA,"&lt;01.01.2022",манзилли!$E:$E,"2"))</f>
        <v>1957</v>
      </c>
      <c r="AH19" s="29">
        <f>(+SUMIFS(манзилли!$T:$T,манзилли!$D:$D,'свод (сектор вилоят)'!$B$17,манзилли!$AB:$AB,"&gt;31.12.2020",манзилли!$AA:$AA,"&gt;31.12.2020",манзилли!$AA:$AA,"&lt;01.01.2022",манзилли!$E:$E,"2"))</f>
        <v>0</v>
      </c>
      <c r="AI19" s="29">
        <f>(+SUMIFS(манзилли!$V:$V,манзилли!$D:$D,'свод (сектор вилоят)'!$B$17,манзилли!$AB:$AB,"&gt;31.12.2020",манзилли!$AA:$AA,"&gt;31.12.2020",манзилли!$AA:$AA,"&lt;01.01.2022",манзилли!$E:$E,"2"))</f>
        <v>0</v>
      </c>
      <c r="AJ19" s="30">
        <f>+SUMIFS(манзилли!$Z:$Z,манзилли!$D:$D,'свод (сектор вилоят)'!$B$17,манзилли!$AB:$AB,"&gt;31.12.2020",манзилли!$AA:$AA,"&gt;31.12.2020",манзилли!$AA:$AA,"&lt;01.01.2022",манзилли!$E:$E,"2")</f>
        <v>6</v>
      </c>
      <c r="AK19" s="28">
        <f>+COUNTIFS('Қўшимча ишга тушган'!$D:$D,'свод (сектор вилоят)'!B17,'Қўшимча ишга тушган'!$AO:$AO,"&lt;01.10.2023",манзилли!$E:$E,"2")</f>
        <v>0</v>
      </c>
      <c r="AL19" s="29">
        <f>(+SUMIFS('Қўшимча ишга тушган'!$T:$T,'Қўшимча ишга тушган'!$D:$D,'свод (сектор вилоят)'!$B$17,'Қўшимча ишга тушган'!$AO:$AO,"&lt;01.10.2023",манзилли!$E:$E,"2"))</f>
        <v>0</v>
      </c>
      <c r="AM19" s="29">
        <f>(+SUMIFS('Қўшимча ишга тушган'!$V:$V,'Қўшимча ишга тушган'!$D:$D,'свод (сектор вилоят)'!$B$17,'Қўшимча ишга тушган'!$AO:$AO,"&lt;01.10.2023",манзилли!$E:$E,"2"))</f>
        <v>0</v>
      </c>
      <c r="AN19" s="29">
        <f>(+SUMIFS('Қўшимча ишга тушган'!$Z:$Z,'Қўшимча ишга тушган'!$D:$D,'свод (сектор вилоят)'!$B$17,'Қўшимча ишга тушган'!$AO:$AO,"&lt;01.10.2023",манзилли!$E:$E,"2"))</f>
        <v>0</v>
      </c>
      <c r="AO19" s="29">
        <f>(+SUMIFS('Қўшимча ишга тушган'!$AB:$AB,'Қўшимча ишга тушган'!$D:$D,'свод (сектор вилоят)'!$B$17,'Қўшимча ишга тушган'!$AO:$AO,"&lt;01.10.2023",манзилли!$E:$E,"2"))</f>
        <v>0</v>
      </c>
      <c r="AP19" s="29">
        <f>(+SUMIFS('Қўшимча ишга тушган'!$AD:$AD,'Қўшимча ишга тушган'!$D:$D,'свод (сектор вилоят)'!$B$17,'Қўшимча ишга тушган'!$AO:$AO,"&lt;01.10.2023",манзилли!$E:$E,"2"))</f>
        <v>0</v>
      </c>
      <c r="AQ19" s="30">
        <f>+SUMIFS('Қўшимча ишга тушган'!$AM:$AM,'Қўшимча ишга тушган'!$D:$D,'свод (сектор вилоят)'!$B$17,'Қўшимча ишга тушган'!$AO:$AO,"&lt;01.10.2023",манзилли!$E:$E,"2")</f>
        <v>0</v>
      </c>
      <c r="AR19" s="28">
        <f>+COUNTIFS(манзилли!$D:$D,'свод (сектор вилоят)'!$B$17,манзилли!$AA:$AA,"&lt;01.02.2021",манзилли!$AB:$AB,"",манзилли!$E:$E,"2")</f>
        <v>0</v>
      </c>
      <c r="AS19" s="29">
        <f>(+SUMIFS(манзилли!$K:$K,манзилли!$D:$D,'свод (сектор вилоят)'!$B$17,манзилли!$AA:$AA,"&lt;01.02.2021",манзилли!$AB:$AB,"",манзилли!$E:$E,"2"))</f>
        <v>0</v>
      </c>
      <c r="AT19" s="29">
        <f>(+SUMIFS(манзилли!$M:$M,манзилли!$D:$D,'свод (сектор вилоят)'!$B$17,манзилли!$AA:$AA,"&lt;01.02.2021",манзилли!$AB:$AB,"",манзилли!$E:$E,"2"))</f>
        <v>0</v>
      </c>
      <c r="AU19" s="29">
        <f>(+SUMIFS(манзилли!$Q:$Q,манзилли!$D:$D,'свод (сектор вилоят)'!$B$17,манзилли!$AA:$AA,"&lt;01.02.2021",манзилли!$AB:$AB,"",манзилли!$E:$E,"2"))</f>
        <v>0</v>
      </c>
      <c r="AV19" s="29">
        <f>(+SUMIFS(манзилли!$S:$S,манзилли!$D:$D,'свод (сектор вилоят)'!$B$17,манзилли!$AA:$AA,"&lt;01.02.2021",манзилли!$AB:$AB,"",манзилли!$E:$E,"2"))</f>
        <v>0</v>
      </c>
      <c r="AW19" s="29">
        <f>(+SUMIFS(манзилли!$U:$U,манзилли!$D:$D,'свод (сектор вилоят)'!$B$17,манзилли!$AA:$AA,"&lt;01.02.2021",манзилли!$AB:$AB,"",манзилли!$E:$E,"2"))</f>
        <v>0</v>
      </c>
      <c r="AX19" s="30">
        <f>+SUMIFS(манзилли!$Y:$Y,манзилли!$D:$D,'свод (сектор вилоят)'!$B$17,манзилли!$AA:$AA,"&lt;01.02.2021",манзилли!$AB:$AB,"",манзилли!$E:$E,"2")</f>
        <v>0</v>
      </c>
      <c r="AY19" s="28">
        <f>+COUNTIFS(манзилли!$D:$D,'свод (сектор вилоят)'!$B$17,манзилли!$AA:$AA,"&lt;01.01.2022",манзилли!$AB:$AB,"",манзилли!$E:$E,"2")</f>
        <v>13</v>
      </c>
      <c r="AZ19" s="29">
        <f>(+SUMIFS(манзилли!$K:$K,манзилли!$D:$D,'свод (сектор вилоят)'!$B$17,манзилли!$AA:$AA,"&lt;01.01.2022",манзилли!$AB:$AB,"",манзилли!$E:$E,"2"))</f>
        <v>23278.303800000002</v>
      </c>
      <c r="BA19" s="29">
        <f>(+SUMIFS(манзилли!$M:$M,манзилли!$D:$D,'свод (сектор вилоят)'!$B$17,манзилли!$AA:$AA,"&lt;01.01.2022",манзилли!$AB:$AB,"",манзилли!$E:$E,"2"))</f>
        <v>8420.4911400000001</v>
      </c>
      <c r="BB19" s="29">
        <f>(+SUMIFS(манзилли!$Q:$Q,манзилли!$D:$D,'свод (сектор вилоят)'!$B$17,манзилли!$AA:$AA,"&lt;01.01.2022",манзилли!$AB:$AB,"",манзилли!$E:$E,"2"))</f>
        <v>14857.812660000001</v>
      </c>
      <c r="BC19" s="29">
        <f>(+SUMIFS(манзилли!$S:$S,манзилли!$D:$D,'свод (сектор вилоят)'!$B$17,манзилли!$AA:$AA,"&lt;01.01.2022",манзилли!$AB:$AB,"",манзилли!$E:$E,"2"))</f>
        <v>0</v>
      </c>
      <c r="BD19" s="29">
        <f>(+SUMIFS(манзилли!$U:$U,манзилли!$D:$D,'свод (сектор вилоят)'!$B$17,манзилли!$AA:$AA,"&lt;01.01.2022",манзилли!$AB:$AB,"",манзилли!$E:$E,"2"))</f>
        <v>0</v>
      </c>
      <c r="BE19" s="30">
        <f>+SUMIFS(манзилли!$Y:$Y,манзилли!$D:$D,'свод (сектор вилоят)'!$B$17,манзилли!$AA:$AA,"&lt;01.01.2022",манзилли!$AB:$AB,"",манзилли!$E:$E,"2")</f>
        <v>113</v>
      </c>
      <c r="BF19" s="28">
        <f>+COUNTIFS(манзилли!$D:$D,'свод (сектор вилоят)'!$B$17,манзилли!$AA:$AA,"&lt;01.01.2023",манзилли!$AA:$AA,"&gt;=01.01.2022",манзилли!$E:$E,"2")</f>
        <v>0</v>
      </c>
      <c r="BG19" s="29">
        <f>(+SUMIFS(манзилли!$K:$K,манзилли!$D:$D,'свод (сектор вилоят)'!$B$17,манзилли!$AA:$AA,"&lt;01.01.2023",манзилли!$AA:$AA,"&gt;=01.01.2022",манзилли!$E:$E,"2"))</f>
        <v>0</v>
      </c>
      <c r="BH19" s="29">
        <f>(+SUMIFS(манзилли!$M:$M,манзилли!$D:$D,'свод (сектор вилоят)'!$B$17,манзилли!$AA:$AA,"&lt;01.01.2023",манзилли!$AA:$AA,"&gt;=01.01.2022",манзилли!$E:$E,"2"))</f>
        <v>0</v>
      </c>
      <c r="BI19" s="29">
        <f>(+SUMIFS(манзилли!$Q:$Q,манзилли!$D:$D,'свод (сектор вилоят)'!$B$17,манзилли!$AA:$AA,"&lt;01.01.2023",манзилли!$AA:$AA,"&gt;=01.01.2022",манзилли!$E:$E,"2"))</f>
        <v>0</v>
      </c>
      <c r="BJ19" s="29">
        <f>(+SUMIFS(манзилли!$S:$S,манзилли!$D:$D,'свод (сектор вилоят)'!$B$17,манзилли!$AA:$AA,"&lt;01.01.2023",манзилли!$AA:$AA,"&gt;=01.01.2022",манзилли!$E:$E,"2"))</f>
        <v>0</v>
      </c>
      <c r="BK19" s="29">
        <f>(+SUMIFS(манзилли!$U:$U,манзилли!$D:$D,'свод (сектор вилоят)'!$B$17,манзилли!$AA:$AA,"&lt;01.01.2023",манзилли!$AA:$AA,"&gt;=01.01.2022",манзилли!$E:$E,"2"))</f>
        <v>0</v>
      </c>
      <c r="BL19" s="30">
        <f>+SUMIFS(манзилли!$Y:$Y,манзилли!$D:$D,'свод (сектор вилоят)'!$B$17,манзилли!$AA:$AA,"&lt;01.01.2023",манзилли!$AA:$AA,"&gt;=01.01.2022",манзилли!$E:$E,"2")</f>
        <v>0</v>
      </c>
    </row>
    <row r="20" spans="1:64" s="3" customFormat="1" ht="39.75" customHeight="1">
      <c r="A20" s="51"/>
      <c r="B20" s="27" t="s">
        <v>1773</v>
      </c>
      <c r="C20" s="28">
        <f>+COUNTIFS(манзилли!$D:$D,'свод (сектор вилоят)'!$B$17,манзилли!$E:$E,"3")</f>
        <v>5</v>
      </c>
      <c r="D20" s="29">
        <f>(+SUMIFS(манзилли!$K:$K,манзилли!$D:$D,'свод (сектор вилоят)'!$B$17,манзилли!$E:$E,"3"))</f>
        <v>219150</v>
      </c>
      <c r="E20" s="29">
        <f>(+SUMIFS(манзилли!$M:$M,манзилли!$D:$D,'свод (сектор вилоят)'!$B$17,манзилли!$E:$E,"3"))</f>
        <v>15101</v>
      </c>
      <c r="F20" s="29">
        <f>(+SUMIFS(манзилли!$Q:$Q,манзилли!$D:$D,'свод (сектор вилоят)'!$B$17,манзилли!$E:$E,"3"))</f>
        <v>2169</v>
      </c>
      <c r="G20" s="29">
        <f>(+SUMIFS(манзилли!$S:$S,манзилли!$D:$D,'свод (сектор вилоят)'!$B$17,манзилли!$E:$E,"3"))</f>
        <v>5600</v>
      </c>
      <c r="H20" s="29">
        <f>(+SUMIFS(манзилли!$U:$U,манзилли!$D:$D,'свод (сектор вилоят)'!$B$17,манзилли!$E:$E,"3"))</f>
        <v>14000</v>
      </c>
      <c r="I20" s="30">
        <f>+SUMIFS(манзилли!$Y:$Y,манзилли!$D:$D,'свод (сектор вилоят)'!$B$17,манзилли!$E:$E,"3")</f>
        <v>315</v>
      </c>
      <c r="J20" s="28">
        <f>(+COUNTIFS(манзилли!$L:$L,"&gt;0",манзилли!$D:$D,'свод (сектор вилоят)'!$B$17,манзилли!$E:$E,"3")+COUNTIFS('Қўшимча ишга тушган'!$T:$T,"&gt;0",'Қўшимча ишга тушган'!$D:$D,'свод (сектор вилоят)'!$B$17,'Қўшимча ишга тушган'!$E:$E,"3"))</f>
        <v>4</v>
      </c>
      <c r="K20" s="30">
        <f>(+SUMIFS(манзилли!$L:$L,манзилли!$D:$D,'свод (сектор вилоят)'!$B$17,манзилли!$E:$E,"3")+SUMIFS('Қўшимча ишга тушган'!$T:$T,'Қўшимча ишга тушган'!$D:$D,'свод (сектор вилоят)'!$B$17,'Қўшимча ишга тушган'!$E:$E,"3"))</f>
        <v>29435</v>
      </c>
      <c r="L20" s="31">
        <f>(+SUMIFS(манзилли!$N:$N,манзилли!$D:$D,'свод (сектор вилоят)'!$B$17,манзилли!$E:$E,"3")+SUMIFS('Қўшимча ишга тушган'!$V:$V,'Қўшимча ишга тушган'!$D:$D,'свод (сектор вилоят)'!$B$17,'Қўшимча ишга тушган'!$E:$E,"3"))</f>
        <v>0</v>
      </c>
      <c r="M20" s="29">
        <f>(+SUMIFS(манзилли!$R:$R,манзилли!$D:$D,'свод (сектор вилоят)'!$B$17,манзилли!$E:$E,"3")+SUMIFS('Қўшимча ишга тушган'!$Z:$Z,'Қўшимча ишга тушган'!$D:$D,'свод (сектор вилоят)'!$B$17,'Қўшимча ишга тушган'!$E:$E,"3"))</f>
        <v>4445</v>
      </c>
      <c r="N20" s="29">
        <f>(+SUMIFS(манзилли!$T:$T,манзилли!$D:$D,'свод (сектор вилоят)'!$B$17,манзилли!$E:$E,"3")+SUMIFS('Қўшимча ишга тушган'!$AB:$AB,'Қўшимча ишга тушган'!$D:$D,'свод (сектор вилоят)'!$B$17,'Қўшимча ишга тушган'!$E:$E,"3"))</f>
        <v>2450</v>
      </c>
      <c r="O20" s="30">
        <f>(+SUMIFS(манзилли!$V:$V,манзилли!$D:$D,'свод (сектор вилоят)'!$B$17,манзилли!$E:$E,"3")+SUMIFS('Қўшимча ишга тушган'!$AD:$AD,'Қўшимча ишга тушган'!$D:$D,'свод (сектор вилоят)'!$B$17,'Қўшимча ишга тушган'!$E:$E,"3"))</f>
        <v>0</v>
      </c>
      <c r="P20" s="28">
        <f>+COUNTIFS(манзилли!$D:$D,'свод (сектор вилоят)'!$B$17,манзилли!$AA:$AA,"&gt;31.12.2020",манзилли!$AA:$AA,"&lt;01.01.2022",манзилли!$E:$E,"3")</f>
        <v>5</v>
      </c>
      <c r="Q20" s="29">
        <f>(+SUMIFS(манзилли!$K:$K,манзилли!$D:$D,'свод (сектор вилоят)'!$B$17,манзилли!$AA:$AA,"&gt;31.12.2020",манзилли!$AA:$AA,"&lt;01.01.2022",манзилли!$E:$E,"3"))</f>
        <v>219150</v>
      </c>
      <c r="R20" s="29">
        <f>(+SUMIFS(манзилли!$M:$M,манзилли!$D:$D,'свод (сектор вилоят)'!$B$17,манзилли!$AA:$AA,"&gt;31.12.2020",манзилли!$AA:$AA,"&lt;01.01.2022",манзилли!$E:$E,"3"))</f>
        <v>15101</v>
      </c>
      <c r="S20" s="29">
        <f>(+SUMIFS(манзилли!$Q:$Q,манзилли!$D:$D,'свод (сектор вилоят)'!$B$17,манзилли!$AA:$AA,"&gt;31.12.2020",манзилли!$AA:$AA,"&lt;01.01.2022",манзилли!$E:$E,"3"))</f>
        <v>2169</v>
      </c>
      <c r="T20" s="29">
        <f>(+SUMIFS(манзилли!$S:$S,манзилли!$D:$D,'свод (сектор вилоят)'!$B$17,манзилли!$AA:$AA,"&gt;31.12.2020",манзилли!$AA:$AA,"&lt;01.01.2022",манзилли!$E:$E,"3"))</f>
        <v>5600</v>
      </c>
      <c r="U20" s="29">
        <f>(+SUMIFS(манзилли!$U:$U,манзилли!$D:$D,'свод (сектор вилоят)'!$B$17,манзилли!$AA:$AA,"&gt;31.12.2020",манзилли!$AA:$AA,"&lt;01.01.2022",манзилли!$E:$E,"3"))</f>
        <v>14000</v>
      </c>
      <c r="V20" s="30">
        <f>+SUMIFS(манзилли!$Y:$Y,манзилли!$D:$D,'свод (сектор вилоят)'!$B$17,манзилли!$AA:$AA,"&gt;31.12.2020",манзилли!$AA:$AA,"&lt;01.01.2022",манзилли!$E:$E,"3")</f>
        <v>315</v>
      </c>
      <c r="W20" s="28">
        <f t="shared" si="152"/>
        <v>0</v>
      </c>
      <c r="X20" s="29">
        <f t="shared" si="146"/>
        <v>0</v>
      </c>
      <c r="Y20" s="29">
        <f t="shared" si="147"/>
        <v>0</v>
      </c>
      <c r="Z20" s="29">
        <f t="shared" si="148"/>
        <v>0</v>
      </c>
      <c r="AA20" s="29">
        <f t="shared" si="149"/>
        <v>0</v>
      </c>
      <c r="AB20" s="29">
        <f t="shared" si="150"/>
        <v>0</v>
      </c>
      <c r="AC20" s="30">
        <f t="shared" si="151"/>
        <v>0</v>
      </c>
      <c r="AD20" s="28">
        <f>+COUNTIFS(манзилли!$D:$D,'свод (сектор вилоят)'!$B$17,манзилли!$AB:$AB,"&gt;31.12.2020",манзилли!$AA:$AA,"&gt;31.12.2020",манзилли!$AA:$AA,"&lt;01.01.2022",манзилли!$E:$E,"3")</f>
        <v>0</v>
      </c>
      <c r="AE20" s="29">
        <f>(+SUMIFS(манзилли!$L:$L,манзилли!$D:$D,'свод (сектор вилоят)'!$B$17,манзилли!$AB:$AB,"&gt;31.12.2020",манзилли!$AA:$AA,"&gt;31.12.2020",манзилли!$AA:$AA,"&lt;01.01.2022",манзилли!$E:$E,"3"))</f>
        <v>0</v>
      </c>
      <c r="AF20" s="29">
        <f>(+SUMIFS(манзилли!$N:$N,манзилли!$D:$D,'свод (сектор вилоят)'!$B$17,манзилли!$AB:$AB,"&gt;31.12.2020",манзилли!$AA:$AA,"&gt;31.12.2020",манзилли!$AA:$AA,"&lt;01.01.2022",манзилли!$E:$E,"3"))</f>
        <v>0</v>
      </c>
      <c r="AG20" s="29">
        <f>(+SUMIFS(манзилли!$R:$R,манзилли!$D:$D,'свод (сектор вилоят)'!$B$17,манзилли!$AB:$AB,"&gt;31.12.2020",манзилли!$AA:$AA,"&gt;31.12.2020",манзилли!$AA:$AA,"&lt;01.01.2022",манзилли!$E:$E,"3"))</f>
        <v>0</v>
      </c>
      <c r="AH20" s="29">
        <f>(+SUMIFS(манзилли!$T:$T,манзилли!$D:$D,'свод (сектор вилоят)'!$B$17,манзилли!$AB:$AB,"&gt;31.12.2020",манзилли!$AA:$AA,"&gt;31.12.2020",манзилли!$AA:$AA,"&lt;01.01.2022",манзилли!$E:$E,"3"))</f>
        <v>0</v>
      </c>
      <c r="AI20" s="29">
        <f>(+SUMIFS(манзилли!$V:$V,манзилли!$D:$D,'свод (сектор вилоят)'!$B$17,манзилли!$AB:$AB,"&gt;31.12.2020",манзилли!$AA:$AA,"&gt;31.12.2020",манзилли!$AA:$AA,"&lt;01.01.2022",манзилли!$E:$E,"3"))</f>
        <v>0</v>
      </c>
      <c r="AJ20" s="30">
        <f>+SUMIFS(манзилли!$Z:$Z,манзилли!$D:$D,'свод (сектор вилоят)'!$B$17,манзилли!$AB:$AB,"&gt;31.12.2020",манзилли!$AA:$AA,"&gt;31.12.2020",манзилли!$AA:$AA,"&lt;01.01.2022",манзилли!$E:$E,"3")</f>
        <v>0</v>
      </c>
      <c r="AK20" s="28">
        <f>+COUNTIFS('Қўшимча ишга тушган'!$D:$D,'свод (сектор вилоят)'!B17,'Қўшимча ишга тушган'!$AO:$AO,"&lt;01.10.2023",манзилли!$E:$E,"3")</f>
        <v>0</v>
      </c>
      <c r="AL20" s="29">
        <f>(+SUMIFS('Қўшимча ишга тушган'!$T:$T,'Қўшимча ишга тушган'!$D:$D,'свод (сектор вилоят)'!$B$17,'Қўшимча ишга тушган'!$AO:$AO,"&lt;01.10.2023",манзилли!$E:$E,"3"))</f>
        <v>0</v>
      </c>
      <c r="AM20" s="29">
        <f>(+SUMIFS('Қўшимча ишга тушган'!$V:$V,'Қўшимча ишга тушган'!$D:$D,'свод (сектор вилоят)'!$B$17,'Қўшимча ишга тушган'!$AO:$AO,"&lt;01.10.2023",манзилли!$E:$E,"3"))</f>
        <v>0</v>
      </c>
      <c r="AN20" s="29">
        <f>(+SUMIFS('Қўшимча ишга тушган'!$Z:$Z,'Қўшимча ишга тушган'!$D:$D,'свод (сектор вилоят)'!$B$17,'Қўшимча ишга тушган'!$AO:$AO,"&lt;01.10.2023",манзилли!$E:$E,"3"))</f>
        <v>0</v>
      </c>
      <c r="AO20" s="29">
        <f>(+SUMIFS('Қўшимча ишга тушган'!$AB:$AB,'Қўшимча ишга тушган'!$D:$D,'свод (сектор вилоят)'!$B$17,'Қўшимча ишга тушган'!$AO:$AO,"&lt;01.10.2023",манзилли!$E:$E,"3"))</f>
        <v>0</v>
      </c>
      <c r="AP20" s="29">
        <f>(+SUMIFS('Қўшимча ишга тушган'!$AD:$AD,'Қўшимча ишга тушган'!$D:$D,'свод (сектор вилоят)'!$B$17,'Қўшимча ишга тушган'!$AO:$AO,"&lt;01.10.2023",манзилли!$E:$E,"3"))</f>
        <v>0</v>
      </c>
      <c r="AQ20" s="30">
        <f>+SUMIFS('Қўшимча ишга тушган'!$AM:$AM,'Қўшимча ишга тушган'!$D:$D,'свод (сектор вилоят)'!$B$17,'Қўшимча ишга тушган'!$AO:$AO,"&lt;01.10.2023",манзилли!$E:$E,"3")</f>
        <v>0</v>
      </c>
      <c r="AR20" s="28">
        <f>+COUNTIFS(манзилли!$D:$D,'свод (сектор вилоят)'!$B$17,манзилли!$AA:$AA,"&lt;01.02.2021",манзилли!$AB:$AB,"",манзилли!$E:$E,"3")</f>
        <v>0</v>
      </c>
      <c r="AS20" s="29">
        <f>(+SUMIFS(манзилли!$K:$K,манзилли!$D:$D,'свод (сектор вилоят)'!$B$17,манзилли!$AA:$AA,"&lt;01.02.2021",манзилли!$AB:$AB,"",манзилли!$E:$E,"3"))</f>
        <v>0</v>
      </c>
      <c r="AT20" s="29">
        <f>(+SUMIFS(манзилли!$M:$M,манзилли!$D:$D,'свод (сектор вилоят)'!$B$17,манзилли!$AA:$AA,"&lt;01.02.2021",манзилли!$AB:$AB,"",манзилли!$E:$E,"3"))</f>
        <v>0</v>
      </c>
      <c r="AU20" s="29">
        <f>(+SUMIFS(манзилли!$Q:$Q,манзилли!$D:$D,'свод (сектор вилоят)'!$B$17,манзилли!$AA:$AA,"&lt;01.02.2021",манзилли!$AB:$AB,"",манзилли!$E:$E,"3"))</f>
        <v>0</v>
      </c>
      <c r="AV20" s="29">
        <f>(+SUMIFS(манзилли!$S:$S,манзилли!$D:$D,'свод (сектор вилоят)'!$B$17,манзилли!$AA:$AA,"&lt;01.02.2021",манзилли!$AB:$AB,"",манзилли!$E:$E,"3"))</f>
        <v>0</v>
      </c>
      <c r="AW20" s="29">
        <f>(+SUMIFS(манзилли!$U:$U,манзилли!$D:$D,'свод (сектор вилоят)'!$B$17,манзилли!$AA:$AA,"&lt;01.02.2021",манзилли!$AB:$AB,"",манзилли!$E:$E,"3"))</f>
        <v>0</v>
      </c>
      <c r="AX20" s="30">
        <f>+SUMIFS(манзилли!$Y:$Y,манзилли!$D:$D,'свод (сектор вилоят)'!$B$17,манзилли!$AA:$AA,"&lt;01.02.2021",манзилли!$AB:$AB,"",манзилли!$E:$E,"3")</f>
        <v>0</v>
      </c>
      <c r="AY20" s="28">
        <f>+COUNTIFS(манзилли!$D:$D,'свод (сектор вилоят)'!$B$17,манзилли!$AA:$AA,"&lt;01.01.2022",манзилли!$AB:$AB,"",манзилли!$E:$E,"3")</f>
        <v>5</v>
      </c>
      <c r="AZ20" s="29">
        <f>(+SUMIFS(манзилли!$K:$K,манзилли!$D:$D,'свод (сектор вилоят)'!$B$17,манзилли!$AA:$AA,"&lt;01.01.2022",манзилли!$AB:$AB,"",манзилли!$E:$E,"3"))</f>
        <v>219150</v>
      </c>
      <c r="BA20" s="29">
        <f>(+SUMIFS(манзилли!$M:$M,манзилли!$D:$D,'свод (сектор вилоят)'!$B$17,манзилли!$AA:$AA,"&lt;01.01.2022",манзилли!$AB:$AB,"",манзилли!$E:$E,"3"))</f>
        <v>15101</v>
      </c>
      <c r="BB20" s="29">
        <f>(+SUMIFS(манзилли!$Q:$Q,манзилли!$D:$D,'свод (сектор вилоят)'!$B$17,манзилли!$AA:$AA,"&lt;01.01.2022",манзилли!$AB:$AB,"",манзилли!$E:$E,"3"))</f>
        <v>2169</v>
      </c>
      <c r="BC20" s="29">
        <f>(+SUMIFS(манзилли!$S:$S,манзилли!$D:$D,'свод (сектор вилоят)'!$B$17,манзилли!$AA:$AA,"&lt;01.01.2022",манзилли!$AB:$AB,"",манзилли!$E:$E,"3"))</f>
        <v>5600</v>
      </c>
      <c r="BD20" s="29">
        <f>(+SUMIFS(манзилли!$U:$U,манзилли!$D:$D,'свод (сектор вилоят)'!$B$17,манзилли!$AA:$AA,"&lt;01.01.2022",манзилли!$AB:$AB,"",манзилли!$E:$E,"3"))</f>
        <v>14000</v>
      </c>
      <c r="BE20" s="30">
        <f>+SUMIFS(манзилли!$Y:$Y,манзилли!$D:$D,'свод (сектор вилоят)'!$B$17,манзилли!$AA:$AA,"&lt;01.01.2022",манзилли!$AB:$AB,"",манзилли!$E:$E,"3")</f>
        <v>315</v>
      </c>
      <c r="BF20" s="28">
        <f>+COUNTIFS(манзилли!$D:$D,'свод (сектор вилоят)'!$B$17,манзилли!$AA:$AA,"&lt;01.01.2023",манзилли!$AA:$AA,"&gt;=01.01.2022",манзилли!$E:$E,"3")</f>
        <v>0</v>
      </c>
      <c r="BG20" s="29">
        <f>(+SUMIFS(манзилли!$K:$K,манзилли!$D:$D,'свод (сектор вилоят)'!$B$17,манзилли!$AA:$AA,"&lt;01.01.2023",манзилли!$AA:$AA,"&gt;=01.01.2022",манзилли!$E:$E,"3"))</f>
        <v>0</v>
      </c>
      <c r="BH20" s="29">
        <f>(+SUMIFS(манзилли!$M:$M,манзилли!$D:$D,'свод (сектор вилоят)'!$B$17,манзилли!$AA:$AA,"&lt;01.01.2023",манзилли!$AA:$AA,"&gt;=01.01.2022",манзилли!$E:$E,"3"))</f>
        <v>0</v>
      </c>
      <c r="BI20" s="29">
        <f>(+SUMIFS(манзилли!$Q:$Q,манзилли!$D:$D,'свод (сектор вилоят)'!$B$17,манзилли!$AA:$AA,"&lt;01.01.2023",манзилли!$AA:$AA,"&gt;=01.01.2022",манзилли!$E:$E,"3"))</f>
        <v>0</v>
      </c>
      <c r="BJ20" s="29">
        <f>(+SUMIFS(манзилли!$S:$S,манзилли!$D:$D,'свод (сектор вилоят)'!$B$17,манзилли!$AA:$AA,"&lt;01.01.2023",манзилли!$AA:$AA,"&gt;=01.01.2022",манзилли!$E:$E,"3"))</f>
        <v>0</v>
      </c>
      <c r="BK20" s="29">
        <f>(+SUMIFS(манзилли!$U:$U,манзилли!$D:$D,'свод (сектор вилоят)'!$B$17,манзилли!$AA:$AA,"&lt;01.01.2023",манзилли!$AA:$AA,"&gt;=01.01.2022",манзилли!$E:$E,"3"))</f>
        <v>0</v>
      </c>
      <c r="BL20" s="30">
        <f>+SUMIFS(манзилли!$Y:$Y,манзилли!$D:$D,'свод (сектор вилоят)'!$B$17,манзилли!$AA:$AA,"&lt;01.01.2023",манзилли!$AA:$AA,"&gt;=01.01.2022",манзилли!$E:$E,"3")</f>
        <v>0</v>
      </c>
    </row>
    <row r="21" spans="1:64" s="3" customFormat="1" ht="39.75" customHeight="1" thickBot="1">
      <c r="A21" s="55"/>
      <c r="B21" s="36" t="s">
        <v>1774</v>
      </c>
      <c r="C21" s="37">
        <f>+COUNTIFS(манзилли!$D:$D,'свод (сектор вилоят)'!$B$17,манзилли!$E:$E,"4")</f>
        <v>18</v>
      </c>
      <c r="D21" s="38">
        <f>(+SUMIFS(манзилли!$K:$K,манзилли!$D:$D,'свод (сектор вилоят)'!$B$17,манзилли!$E:$E,"4"))</f>
        <v>33880</v>
      </c>
      <c r="E21" s="38">
        <f>(+SUMIFS(манзилли!$M:$M,манзилли!$D:$D,'свод (сектор вилоят)'!$B$17,манзилли!$E:$E,"4"))</f>
        <v>17804</v>
      </c>
      <c r="F21" s="38">
        <f>(+SUMIFS(манзилли!$Q:$Q,манзилли!$D:$D,'свод (сектор вилоят)'!$B$17,манзилли!$E:$E,"4"))</f>
        <v>11750</v>
      </c>
      <c r="G21" s="38">
        <f>(+SUMIFS(манзилли!$S:$S,манзилли!$D:$D,'свод (сектор вилоят)'!$B$17,манзилли!$E:$E,"4"))</f>
        <v>420</v>
      </c>
      <c r="H21" s="38">
        <f>(+SUMIFS(манзилли!$U:$U,манзилли!$D:$D,'свод (сектор вилоят)'!$B$17,манзилли!$E:$E,"4"))</f>
        <v>0</v>
      </c>
      <c r="I21" s="39">
        <f>+SUMIFS(манзилли!$Y:$Y,манзилли!$D:$D,'свод (сектор вилоят)'!$B$17,манзилли!$E:$E,"4")</f>
        <v>127</v>
      </c>
      <c r="J21" s="37">
        <f>(+COUNTIFS(манзилли!$L:$L,"&gt;0",манзилли!$D:$D,'свод (сектор вилоят)'!$B$17,манзилли!$E:$E,"4")+COUNTIFS('Қўшимча ишга тушган'!$T:$T,"&gt;0",'Қўшимча ишга тушган'!$D:$D,'свод (сектор вилоят)'!$B$17,'Қўшимча ишга тушган'!$E:$E,"4"))</f>
        <v>12</v>
      </c>
      <c r="K21" s="39">
        <f>(+SUMIFS(манзилли!$L:$L,манзилли!$D:$D,'свод (сектор вилоят)'!$B$17,манзилли!$E:$E,"4")+SUMIFS('Қўшимча ишга тушган'!$T:$T,'Қўшимча ишга тушган'!$D:$D,'свод (сектор вилоят)'!$B$17,'Қўшимча ишга тушган'!$E:$E,"4"))</f>
        <v>10304</v>
      </c>
      <c r="L21" s="40">
        <f>(+SUMIFS(манзилли!$N:$N,манзилли!$D:$D,'свод (сектор вилоят)'!$B$17,манзилли!$E:$E,"4")+SUMIFS('Қўшимча ишга тушган'!$V:$V,'Қўшимча ишга тушган'!$D:$D,'свод (сектор вилоят)'!$B$17,'Қўшимча ишга тушган'!$E:$E,"4"))</f>
        <v>4854</v>
      </c>
      <c r="M21" s="38">
        <f>(+SUMIFS(манзилли!$R:$R,манзилли!$D:$D,'свод (сектор вилоят)'!$B$17,манзилли!$E:$E,"4")+SUMIFS('Қўшимча ишга тушган'!$Z:$Z,'Қўшимча ишга тушган'!$D:$D,'свод (сектор вилоят)'!$B$17,'Қўшимча ишга тушган'!$E:$E,"4"))</f>
        <v>5450</v>
      </c>
      <c r="N21" s="38">
        <f>(+SUMIFS(манзилли!$T:$T,манзилли!$D:$D,'свод (сектор вилоят)'!$B$17,манзилли!$E:$E,"4")+SUMIFS('Қўшимча ишга тушган'!$AB:$AB,'Қўшимча ишга тушган'!$D:$D,'свод (сектор вилоят)'!$B$17,'Қўшимча ишга тушган'!$E:$E,"4"))</f>
        <v>0</v>
      </c>
      <c r="O21" s="39">
        <f>(+SUMIFS(манзилли!$V:$V,манзилли!$D:$D,'свод (сектор вилоят)'!$B$17,манзилли!$E:$E,"4")+SUMIFS('Қўшимча ишга тушган'!$AD:$AD,'Қўшимча ишга тушган'!$D:$D,'свод (сектор вилоят)'!$B$17,'Қўшимча ишга тушган'!$E:$E,"4"))</f>
        <v>0</v>
      </c>
      <c r="P21" s="37">
        <f>+COUNTIFS(манзилли!$D:$D,'свод (сектор вилоят)'!$B$17,манзилли!$AA:$AA,"&gt;31.12.2020",манзилли!$AA:$AA,"&lt;01.01.2022",манзилли!$E:$E,"4")</f>
        <v>14</v>
      </c>
      <c r="Q21" s="38">
        <f>(+SUMIFS(манзилли!$K:$K,манзилли!$D:$D,'свод (сектор вилоят)'!$B$17,манзилли!$AA:$AA,"&gt;31.12.2020",манзилли!$AA:$AA,"&lt;01.01.2022",манзилли!$E:$E,"4"))</f>
        <v>24824</v>
      </c>
      <c r="R21" s="38">
        <f>(+SUMIFS(манзилли!$M:$M,манзилли!$D:$D,'свод (сектор вилоят)'!$B$17,манзилли!$AA:$AA,"&gt;31.12.2020",манзилли!$AA:$AA,"&lt;01.01.2022",манзилли!$E:$E,"4"))</f>
        <v>13624</v>
      </c>
      <c r="S21" s="38">
        <f>(+SUMIFS(манзилли!$Q:$Q,манзилли!$D:$D,'свод (сектор вилоят)'!$B$17,манзилли!$AA:$AA,"&gt;31.12.2020",манзилли!$AA:$AA,"&lt;01.01.2022",манзилли!$E:$E,"4"))</f>
        <v>11200</v>
      </c>
      <c r="T21" s="38">
        <f>(+SUMIFS(манзилли!$S:$S,манзилли!$D:$D,'свод (сектор вилоят)'!$B$17,манзилли!$AA:$AA,"&gt;31.12.2020",манзилли!$AA:$AA,"&lt;01.01.2022",манзилли!$E:$E,"4"))</f>
        <v>0</v>
      </c>
      <c r="U21" s="38">
        <f>(+SUMIFS(манзилли!$U:$U,манзилли!$D:$D,'свод (сектор вилоят)'!$B$17,манзилли!$AA:$AA,"&gt;31.12.2020",манзилли!$AA:$AA,"&lt;01.01.2022",манзилли!$E:$E,"4"))</f>
        <v>0</v>
      </c>
      <c r="V21" s="39">
        <f>+SUMIFS(манзилли!$Y:$Y,манзилли!$D:$D,'свод (сектор вилоят)'!$B$17,манзилли!$AA:$AA,"&gt;31.12.2020",манзилли!$AA:$AA,"&lt;01.01.2022",манзилли!$E:$E,"4")</f>
        <v>100</v>
      </c>
      <c r="W21" s="37">
        <f t="shared" si="152"/>
        <v>2</v>
      </c>
      <c r="X21" s="38">
        <f t="shared" si="146"/>
        <v>3074</v>
      </c>
      <c r="Y21" s="38">
        <f t="shared" si="147"/>
        <v>2674</v>
      </c>
      <c r="Z21" s="38">
        <f t="shared" si="148"/>
        <v>400</v>
      </c>
      <c r="AA21" s="38">
        <f t="shared" si="149"/>
        <v>0</v>
      </c>
      <c r="AB21" s="38">
        <f t="shared" si="150"/>
        <v>0</v>
      </c>
      <c r="AC21" s="39">
        <f t="shared" si="151"/>
        <v>6</v>
      </c>
      <c r="AD21" s="37">
        <f>+COUNTIFS(манзилли!$D:$D,'свод (сектор вилоят)'!$B$17,манзилли!$AB:$AB,"&gt;31.12.2020",манзилли!$AA:$AA,"&gt;31.12.2020",манзилли!$AA:$AA,"&lt;01.01.2022",манзилли!$E:$E,"4")</f>
        <v>2</v>
      </c>
      <c r="AE21" s="38">
        <f>(+SUMIFS(манзилли!$L:$L,манзилли!$D:$D,'свод (сектор вилоят)'!$B$17,манзилли!$AB:$AB,"&gt;31.12.2020",манзилли!$AA:$AA,"&gt;31.12.2020",манзилли!$AA:$AA,"&lt;01.01.2022",манзилли!$E:$E,"4"))</f>
        <v>3074</v>
      </c>
      <c r="AF21" s="38">
        <f>(+SUMIFS(манзилли!$N:$N,манзилли!$D:$D,'свод (сектор вилоят)'!$B$17,манзилли!$AB:$AB,"&gt;31.12.2020",манзилли!$AA:$AA,"&gt;31.12.2020",манзилли!$AA:$AA,"&lt;01.01.2022",манзилли!$E:$E,"4"))</f>
        <v>2674</v>
      </c>
      <c r="AG21" s="38">
        <f>(+SUMIFS(манзилли!$R:$R,манзилли!$D:$D,'свод (сектор вилоят)'!$B$17,манзилли!$AB:$AB,"&gt;31.12.2020",манзилли!$AA:$AA,"&gt;31.12.2020",манзилли!$AA:$AA,"&lt;01.01.2022",манзилли!$E:$E,"4"))</f>
        <v>400</v>
      </c>
      <c r="AH21" s="38">
        <f>(+SUMIFS(манзилли!$T:$T,манзилли!$D:$D,'свод (сектор вилоят)'!$B$17,манзилли!$AB:$AB,"&gt;31.12.2020",манзилли!$AA:$AA,"&gt;31.12.2020",манзилли!$AA:$AA,"&lt;01.01.2022",манзилли!$E:$E,"4"))</f>
        <v>0</v>
      </c>
      <c r="AI21" s="38">
        <f>(+SUMIFS(манзилли!$V:$V,манзилли!$D:$D,'свод (сектор вилоят)'!$B$17,манзилли!$AB:$AB,"&gt;31.12.2020",манзилли!$AA:$AA,"&gt;31.12.2020",манзилли!$AA:$AA,"&lt;01.01.2022",манзилли!$E:$E,"4"))</f>
        <v>0</v>
      </c>
      <c r="AJ21" s="39">
        <f>+SUMIFS(манзилли!$Z:$Z,манзилли!$D:$D,'свод (сектор вилоят)'!$B$17,манзилли!$AB:$AB,"&gt;31.12.2020",манзилли!$AA:$AA,"&gt;31.12.2020",манзилли!$AA:$AA,"&lt;01.01.2022",манзилли!$E:$E,"4")</f>
        <v>6</v>
      </c>
      <c r="AK21" s="37">
        <f>+COUNTIFS('Қўшимча ишга тушган'!$D:$D,'свод (сектор вилоят)'!B17,'Қўшимча ишга тушган'!$AO:$AO,"&lt;01.10.2023",манзилли!$E:$E,"4")</f>
        <v>0</v>
      </c>
      <c r="AL21" s="38">
        <f>(+SUMIFS('Қўшимча ишга тушган'!$T:$T,'Қўшимча ишга тушган'!$D:$D,'свод (сектор вилоят)'!$B$17,'Қўшимча ишга тушган'!$AO:$AO,"&lt;01.10.2023",манзилли!$E:$E,"4"))</f>
        <v>0</v>
      </c>
      <c r="AM21" s="38">
        <f>(+SUMIFS('Қўшимча ишга тушган'!$V:$V,'Қўшимча ишга тушган'!$D:$D,'свод (сектор вилоят)'!$B$17,'Қўшимча ишга тушган'!$AO:$AO,"&lt;01.10.2023",манзилли!$E:$E,"4"))</f>
        <v>0</v>
      </c>
      <c r="AN21" s="38">
        <f>(+SUMIFS('Қўшимча ишга тушган'!$Z:$Z,'Қўшимча ишга тушган'!$D:$D,'свод (сектор вилоят)'!$B$17,'Қўшимча ишга тушган'!$AO:$AO,"&lt;01.10.2023",манзилли!$E:$E,"4"))</f>
        <v>0</v>
      </c>
      <c r="AO21" s="38">
        <f>(+SUMIFS('Қўшимча ишга тушган'!$AB:$AB,'Қўшимча ишга тушган'!$D:$D,'свод (сектор вилоят)'!$B$17,'Қўшимча ишга тушган'!$AO:$AO,"&lt;01.10.2023",манзилли!$E:$E,"4"))</f>
        <v>0</v>
      </c>
      <c r="AP21" s="38">
        <f>(+SUMIFS('Қўшимча ишга тушган'!$AD:$AD,'Қўшимча ишга тушган'!$D:$D,'свод (сектор вилоят)'!$B$17,'Қўшимча ишга тушган'!$AO:$AO,"&lt;01.10.2023",манзилли!$E:$E,"4"))</f>
        <v>0</v>
      </c>
      <c r="AQ21" s="39">
        <f>+SUMIFS('Қўшимча ишга тушган'!$AM:$AM,'Қўшимча ишга тушган'!$D:$D,'свод (сектор вилоят)'!$B$17,'Қўшимча ишга тушган'!$AO:$AO,"&lt;01.10.2023",манзилли!$E:$E,"4")</f>
        <v>0</v>
      </c>
      <c r="AR21" s="37">
        <f>+COUNTIFS(манзилли!$D:$D,'свод (сектор вилоят)'!$B$17,манзилли!$AA:$AA,"&lt;01.02.2021",манзилли!$AB:$AB,"",манзилли!$E:$E,"4")</f>
        <v>0</v>
      </c>
      <c r="AS21" s="38">
        <f>(+SUMIFS(манзилли!$K:$K,манзилли!$D:$D,'свод (сектор вилоят)'!$B$17,манзилли!$AA:$AA,"&lt;01.02.2021",манзилли!$AB:$AB,"",манзилли!$E:$E,"4"))</f>
        <v>0</v>
      </c>
      <c r="AT21" s="38">
        <f>(+SUMIFS(манзилли!$M:$M,манзилли!$D:$D,'свод (сектор вилоят)'!$B$17,манзилли!$AA:$AA,"&lt;01.02.2021",манзилли!$AB:$AB,"",манзилли!$E:$E,"4"))</f>
        <v>0</v>
      </c>
      <c r="AU21" s="38">
        <f>(+SUMIFS(манзилли!$Q:$Q,манзилли!$D:$D,'свод (сектор вилоят)'!$B$17,манзилли!$AA:$AA,"&lt;01.02.2021",манзилли!$AB:$AB,"",манзилли!$E:$E,"4"))</f>
        <v>0</v>
      </c>
      <c r="AV21" s="38">
        <f>(+SUMIFS(манзилли!$S:$S,манзилли!$D:$D,'свод (сектор вилоят)'!$B$17,манзилли!$AA:$AA,"&lt;01.02.2021",манзилли!$AB:$AB,"",манзилли!$E:$E,"4"))</f>
        <v>0</v>
      </c>
      <c r="AW21" s="38">
        <f>(+SUMIFS(манзилли!$U:$U,манзилли!$D:$D,'свод (сектор вилоят)'!$B$17,манзилли!$AA:$AA,"&lt;01.02.2021",манзилли!$AB:$AB,"",манзилли!$E:$E,"4"))</f>
        <v>0</v>
      </c>
      <c r="AX21" s="39">
        <f>+SUMIFS(манзилли!$Y:$Y,манзилли!$D:$D,'свод (сектор вилоят)'!$B$17,манзилли!$AA:$AA,"&lt;01.02.2021",манзилли!$AB:$AB,"",манзилли!$E:$E,"4")</f>
        <v>0</v>
      </c>
      <c r="AY21" s="37">
        <f>+COUNTIFS(манзилли!$D:$D,'свод (сектор вилоят)'!$B$17,манзилли!$AA:$AA,"&lt;01.01.2022",манзилли!$AB:$AB,"",манзилли!$E:$E,"4")</f>
        <v>12</v>
      </c>
      <c r="AZ21" s="38">
        <f>(+SUMIFS(манзилли!$K:$K,манзилли!$D:$D,'свод (сектор вилоят)'!$B$17,манзилли!$AA:$AA,"&lt;01.01.2022",манзилли!$AB:$AB,"",манзилли!$E:$E,"4"))</f>
        <v>23720</v>
      </c>
      <c r="BA21" s="38">
        <f>(+SUMIFS(манзилли!$M:$M,манзилли!$D:$D,'свод (сектор вилоят)'!$B$17,манзилли!$AA:$AA,"&lt;01.01.2022",манзилли!$AB:$AB,"",манзилли!$E:$E,"4"))</f>
        <v>12920</v>
      </c>
      <c r="BB21" s="38">
        <f>(+SUMIFS(манзилли!$Q:$Q,манзилли!$D:$D,'свод (сектор вилоят)'!$B$17,манзилли!$AA:$AA,"&lt;01.01.2022",манзилли!$AB:$AB,"",манзилли!$E:$E,"4"))</f>
        <v>10800</v>
      </c>
      <c r="BC21" s="38">
        <f>(+SUMIFS(манзилли!$S:$S,манзилли!$D:$D,'свод (сектор вилоят)'!$B$17,манзилли!$AA:$AA,"&lt;01.01.2022",манзилли!$AB:$AB,"",манзилли!$E:$E,"4"))</f>
        <v>0</v>
      </c>
      <c r="BD21" s="38">
        <f>(+SUMIFS(манзилли!$U:$U,манзилли!$D:$D,'свод (сектор вилоят)'!$B$17,манзилли!$AA:$AA,"&lt;01.01.2022",манзилли!$AB:$AB,"",манзилли!$E:$E,"4"))</f>
        <v>0</v>
      </c>
      <c r="BE21" s="39">
        <f>+SUMIFS(манзилли!$Y:$Y,манзилли!$D:$D,'свод (сектор вилоят)'!$B$17,манзилли!$AA:$AA,"&lt;01.01.2022",манзилли!$AB:$AB,"",манзилли!$E:$E,"4")</f>
        <v>91</v>
      </c>
      <c r="BF21" s="37">
        <f>+COUNTIFS(манзилли!$D:$D,'свод (сектор вилоят)'!$B$17,манзилли!$AA:$AA,"&lt;01.01.2023",манзилли!$AA:$AA,"&gt;=01.01.2022",манзилли!$E:$E,"4")</f>
        <v>1</v>
      </c>
      <c r="BG21" s="38">
        <f>(+SUMIFS(манзилли!$K:$K,манзилли!$D:$D,'свод (сектор вилоят)'!$B$17,манзилли!$AA:$AA,"&lt;01.01.2023",манзилли!$AA:$AA,"&gt;=01.01.2022",манзилли!$E:$E,"4"))</f>
        <v>6326</v>
      </c>
      <c r="BH21" s="38">
        <f>(+SUMIFS(манзилли!$M:$M,манзилли!$D:$D,'свод (сектор вилоят)'!$B$17,манзилли!$AA:$AA,"&lt;01.01.2023",манзилли!$AA:$AA,"&gt;=01.01.2022",манзилли!$E:$E,"4"))</f>
        <v>2000</v>
      </c>
      <c r="BI21" s="38">
        <f>(+SUMIFS(манзилли!$Q:$Q,манзилли!$D:$D,'свод (сектор вилоят)'!$B$17,манзилли!$AA:$AA,"&lt;01.01.2023",манзилли!$AA:$AA,"&gt;=01.01.2022",манзилли!$E:$E,"4"))</f>
        <v>0</v>
      </c>
      <c r="BJ21" s="38">
        <f>(+SUMIFS(манзилли!$S:$S,манзилли!$D:$D,'свод (сектор вилоят)'!$B$17,манзилли!$AA:$AA,"&lt;01.01.2023",манзилли!$AA:$AA,"&gt;=01.01.2022",манзилли!$E:$E,"4"))</f>
        <v>420</v>
      </c>
      <c r="BK21" s="38">
        <f>(+SUMIFS(манзилли!$U:$U,манзилли!$D:$D,'свод (сектор вилоят)'!$B$17,манзилли!$AA:$AA,"&lt;01.01.2023",манзилли!$AA:$AA,"&gt;=01.01.2022",манзилли!$E:$E,"4"))</f>
        <v>0</v>
      </c>
      <c r="BL21" s="39">
        <f>+SUMIFS(манзилли!$Y:$Y,манзилли!$D:$D,'свод (сектор вилоят)'!$B$17,манзилли!$AA:$AA,"&lt;01.01.2023",манзилли!$AA:$AA,"&gt;=01.01.2022",манзилли!$E:$E,"4")</f>
        <v>5</v>
      </c>
    </row>
    <row r="22" spans="1:64" s="3" customFormat="1" ht="39.75" customHeight="1" thickBot="1">
      <c r="A22" s="53">
        <v>4</v>
      </c>
      <c r="B22" s="54" t="s">
        <v>210</v>
      </c>
      <c r="C22" s="41">
        <f>+SUM(C23:C26)</f>
        <v>210</v>
      </c>
      <c r="D22" s="41">
        <f t="shared" ref="D22" si="153">+SUM(D23:D26)</f>
        <v>1860707.3</v>
      </c>
      <c r="E22" s="41">
        <f t="shared" ref="E22" si="154">+SUM(E23:E26)</f>
        <v>694827</v>
      </c>
      <c r="F22" s="41">
        <f t="shared" ref="F22" si="155">+SUM(F23:F26)</f>
        <v>573390</v>
      </c>
      <c r="G22" s="41">
        <f t="shared" ref="G22" si="156">+SUM(G23:G26)</f>
        <v>49281</v>
      </c>
      <c r="H22" s="41">
        <f t="shared" ref="H22" si="157">+SUM(H23:H26)</f>
        <v>12110</v>
      </c>
      <c r="I22" s="41">
        <f t="shared" ref="I22" si="158">+SUM(I23:I26)</f>
        <v>4769</v>
      </c>
      <c r="J22" s="41">
        <f t="shared" ref="J22" si="159">+SUM(J23:J26)</f>
        <v>95</v>
      </c>
      <c r="K22" s="41">
        <f t="shared" ref="K22" si="160">+SUM(K23:K26)</f>
        <v>215949.17999999996</v>
      </c>
      <c r="L22" s="41">
        <f t="shared" ref="L22" si="161">+SUM(L23:L26)</f>
        <v>8220</v>
      </c>
      <c r="M22" s="41">
        <f t="shared" ref="M22" si="162">+SUM(M23:M26)</f>
        <v>53011</v>
      </c>
      <c r="N22" s="41">
        <f t="shared" ref="N22" si="163">+SUM(N23:N26)</f>
        <v>15166.9</v>
      </c>
      <c r="O22" s="41">
        <f t="shared" ref="O22" si="164">+SUM(O23:O26)</f>
        <v>0</v>
      </c>
      <c r="P22" s="41">
        <f t="shared" ref="P22" si="165">+SUM(P23:P26)</f>
        <v>149</v>
      </c>
      <c r="Q22" s="41">
        <f t="shared" ref="Q22" si="166">+SUM(Q23:Q26)</f>
        <v>1238187.3</v>
      </c>
      <c r="R22" s="41">
        <f t="shared" ref="R22" si="167">+SUM(R23:R26)</f>
        <v>463087</v>
      </c>
      <c r="S22" s="41">
        <f t="shared" ref="S22" si="168">+SUM(S23:S26)</f>
        <v>274740</v>
      </c>
      <c r="T22" s="41">
        <f t="shared" ref="T22" si="169">+SUM(T23:T26)</f>
        <v>42101</v>
      </c>
      <c r="U22" s="41">
        <f t="shared" ref="U22" si="170">+SUM(U23:U26)</f>
        <v>9710</v>
      </c>
      <c r="V22" s="41">
        <f t="shared" ref="V22" si="171">+SUM(V23:V26)</f>
        <v>3162</v>
      </c>
      <c r="W22" s="41">
        <f t="shared" ref="W22" si="172">+SUM(W23:W26)</f>
        <v>7</v>
      </c>
      <c r="X22" s="41">
        <f t="shared" ref="X22" si="173">+SUM(X23:X26)</f>
        <v>5185</v>
      </c>
      <c r="Y22" s="41">
        <f t="shared" ref="Y22" si="174">+SUM(Y23:Y26)</f>
        <v>4370</v>
      </c>
      <c r="Z22" s="41">
        <f t="shared" ref="Z22" si="175">+SUM(Z23:Z26)</f>
        <v>815</v>
      </c>
      <c r="AA22" s="41">
        <f t="shared" ref="AA22" si="176">+SUM(AA23:AA26)</f>
        <v>0</v>
      </c>
      <c r="AB22" s="41">
        <f t="shared" ref="AB22" si="177">+SUM(AB23:AB26)</f>
        <v>0</v>
      </c>
      <c r="AC22" s="41">
        <f t="shared" ref="AC22" si="178">+SUM(AC23:AC26)</f>
        <v>26</v>
      </c>
      <c r="AD22" s="41">
        <f t="shared" ref="AD22" si="179">+SUM(AD23:AD26)</f>
        <v>7</v>
      </c>
      <c r="AE22" s="41">
        <f t="shared" ref="AE22" si="180">+SUM(AE23:AE26)</f>
        <v>5185</v>
      </c>
      <c r="AF22" s="41">
        <f t="shared" ref="AF22" si="181">+SUM(AF23:AF26)</f>
        <v>4370</v>
      </c>
      <c r="AG22" s="41">
        <f t="shared" ref="AG22" si="182">+SUM(AG23:AG26)</f>
        <v>815</v>
      </c>
      <c r="AH22" s="41">
        <f t="shared" ref="AH22" si="183">+SUM(AH23:AH26)</f>
        <v>0</v>
      </c>
      <c r="AI22" s="41">
        <f t="shared" ref="AI22" si="184">+SUM(AI23:AI26)</f>
        <v>0</v>
      </c>
      <c r="AJ22" s="41">
        <f t="shared" ref="AJ22" si="185">+SUM(AJ23:AJ26)</f>
        <v>26</v>
      </c>
      <c r="AK22" s="41">
        <f t="shared" ref="AK22" si="186">+SUM(AK23:AK26)</f>
        <v>0</v>
      </c>
      <c r="AL22" s="41">
        <f t="shared" ref="AL22" si="187">+SUM(AL23:AL26)</f>
        <v>0</v>
      </c>
      <c r="AM22" s="41">
        <f t="shared" ref="AM22" si="188">+SUM(AM23:AM26)</f>
        <v>0</v>
      </c>
      <c r="AN22" s="41">
        <f t="shared" ref="AN22" si="189">+SUM(AN23:AN26)</f>
        <v>0</v>
      </c>
      <c r="AO22" s="41">
        <f t="shared" ref="AO22" si="190">+SUM(AO23:AO26)</f>
        <v>0</v>
      </c>
      <c r="AP22" s="41">
        <f t="shared" ref="AP22" si="191">+SUM(AP23:AP26)</f>
        <v>0</v>
      </c>
      <c r="AQ22" s="41">
        <f t="shared" ref="AQ22" si="192">+SUM(AQ23:AQ26)</f>
        <v>0</v>
      </c>
      <c r="AR22" s="41">
        <f t="shared" ref="AR22" si="193">+SUM(AR23:AR26)</f>
        <v>0</v>
      </c>
      <c r="AS22" s="41">
        <f t="shared" ref="AS22" si="194">+SUM(AS23:AS26)</f>
        <v>0</v>
      </c>
      <c r="AT22" s="41">
        <f t="shared" ref="AT22" si="195">+SUM(AT23:AT26)</f>
        <v>0</v>
      </c>
      <c r="AU22" s="41">
        <f t="shared" ref="AU22" si="196">+SUM(AU23:AU26)</f>
        <v>0</v>
      </c>
      <c r="AV22" s="41">
        <f t="shared" ref="AV22" si="197">+SUM(AV23:AV26)</f>
        <v>0</v>
      </c>
      <c r="AW22" s="41">
        <f t="shared" ref="AW22" si="198">+SUM(AW23:AW26)</f>
        <v>0</v>
      </c>
      <c r="AX22" s="41">
        <f t="shared" ref="AX22" si="199">+SUM(AX23:AX26)</f>
        <v>0</v>
      </c>
      <c r="AY22" s="41">
        <f t="shared" ref="AY22" si="200">+SUM(AY23:AY26)</f>
        <v>141</v>
      </c>
      <c r="AZ22" s="41">
        <f t="shared" ref="AZ22" si="201">+SUM(AZ23:AZ26)</f>
        <v>1228387.3</v>
      </c>
      <c r="BA22" s="41">
        <f t="shared" ref="BA22" si="202">+SUM(BA23:BA26)</f>
        <v>456687</v>
      </c>
      <c r="BB22" s="41">
        <f t="shared" ref="BB22" si="203">+SUM(BB23:BB26)</f>
        <v>271340</v>
      </c>
      <c r="BC22" s="41">
        <f t="shared" ref="BC22" si="204">+SUM(BC23:BC26)</f>
        <v>42101</v>
      </c>
      <c r="BD22" s="41">
        <f t="shared" ref="BD22" si="205">+SUM(BD23:BD26)</f>
        <v>9710</v>
      </c>
      <c r="BE22" s="41">
        <f t="shared" ref="BE22" si="206">+SUM(BE23:BE26)</f>
        <v>3125</v>
      </c>
      <c r="BF22" s="41">
        <f t="shared" ref="BF22" si="207">+SUM(BF23:BF26)</f>
        <v>55</v>
      </c>
      <c r="BG22" s="41">
        <f t="shared" ref="BG22" si="208">+SUM(BG23:BG26)</f>
        <v>605570</v>
      </c>
      <c r="BH22" s="41">
        <f t="shared" ref="BH22" si="209">+SUM(BH23:BH26)</f>
        <v>223290</v>
      </c>
      <c r="BI22" s="41">
        <f t="shared" ref="BI22" si="210">+SUM(BI23:BI26)</f>
        <v>290150</v>
      </c>
      <c r="BJ22" s="41">
        <f t="shared" ref="BJ22" si="211">+SUM(BJ23:BJ26)</f>
        <v>7180</v>
      </c>
      <c r="BK22" s="41">
        <f t="shared" ref="BK22" si="212">+SUM(BK23:BK26)</f>
        <v>2400</v>
      </c>
      <c r="BL22" s="43">
        <f t="shared" ref="BL22" si="213">+SUM(BL23:BL26)</f>
        <v>1541</v>
      </c>
    </row>
    <row r="23" spans="1:64" s="3" customFormat="1" ht="39.75" customHeight="1">
      <c r="A23" s="52"/>
      <c r="B23" s="50" t="s">
        <v>1771</v>
      </c>
      <c r="C23" s="46">
        <f>+COUNTIFS(манзилли!$D:$D,'свод (сектор вилоят)'!$B$22,манзилли!$E:$E,"1")</f>
        <v>62</v>
      </c>
      <c r="D23" s="47">
        <f>(+SUMIFS(манзилли!$K:$K,манзилли!$D:$D,'свод (сектор вилоят)'!$B$22,манзилли!$E:$E,"1"))</f>
        <v>241863</v>
      </c>
      <c r="E23" s="47">
        <f>(+SUMIFS(манзилли!$M:$M,манзилли!$D:$D,'свод (сектор вилоят)'!$B$22,манзилли!$E:$E,"1"))</f>
        <v>120458</v>
      </c>
      <c r="F23" s="47">
        <f>(+SUMIFS(манзилли!$Q:$Q,манзилли!$D:$D,'свод (сектор вилоят)'!$B$22,манзилли!$E:$E,"1"))</f>
        <v>74510</v>
      </c>
      <c r="G23" s="47">
        <f>(+SUMIFS(манзилли!$S:$S,манзилли!$D:$D,'свод (сектор вилоят)'!$B$22,манзилли!$E:$E,"1"))</f>
        <v>1450</v>
      </c>
      <c r="H23" s="47">
        <f>(+SUMIFS(манзилли!$U:$U,манзилли!$D:$D,'свод (сектор вилоят)'!$B$22,манзилли!$E:$E,"1"))</f>
        <v>3100</v>
      </c>
      <c r="I23" s="48">
        <f>+SUMIFS(манзилли!$Y:$Y,манзилли!$D:$D,'свод (сектор вилоят)'!$B$22,манзилли!$E:$E,"1")</f>
        <v>867</v>
      </c>
      <c r="J23" s="46">
        <f>(+COUNTIFS(манзилли!$L:$L,"&gt;0",манзилли!$D:$D,'свод (сектор вилоят)'!$B$22,манзилли!$E:$E,"1")+COUNTIFS('Қўшимча ишга тушган'!$T:$T,"&gt;0",'Қўшимча ишга тушган'!$D:$D,'свод (сектор вилоят)'!$B$22,'Қўшимча ишга тушган'!$E:$E,"1"))</f>
        <v>33</v>
      </c>
      <c r="K23" s="48">
        <f>(+SUMIFS(манзилли!$L:$L,манзилли!$D:$D,'свод (сектор вилоят)'!$B$22,манзилли!$E:$E,"1")+SUMIFS('Қўшимча ишга тушган'!$T:$T,'Қўшимча ишга тушган'!$D:$D,'свод (сектор вилоят)'!$B$22,'Қўшимча ишга тушган'!$E:$E,"1"))</f>
        <v>17000.8</v>
      </c>
      <c r="L23" s="49">
        <f>(+SUMIFS(манзилли!$N:$N,манзилли!$D:$D,'свод (сектор вилоят)'!$B$22,манзилли!$E:$E,"1")+SUMIFS('Қўшимча ишга тушган'!$V:$V,'Қўшимча ишга тушган'!$D:$D,'свод (сектор вилоят)'!$B$22,'Қўшимча ишга тушган'!$E:$E,"1"))</f>
        <v>900</v>
      </c>
      <c r="M23" s="47">
        <f>(+SUMIFS(манзилли!$R:$R,манзилли!$D:$D,'свод (сектор вилоят)'!$B$22,манзилли!$E:$E,"1")+SUMIFS('Қўшимча ишга тушган'!$Z:$Z,'Қўшимча ишга тушган'!$D:$D,'свод (сектор вилоят)'!$B$22,'Қўшимча ишга тушган'!$E:$E,"1"))</f>
        <v>15397</v>
      </c>
      <c r="N23" s="47">
        <f>(+SUMIFS(манзилли!$T:$T,манзилли!$D:$D,'свод (сектор вилоят)'!$B$22,манзилли!$E:$E,"1")+SUMIFS('Қўшимча ишга тушган'!$AB:$AB,'Қўшимча ишга тушган'!$D:$D,'свод (сектор вилоят)'!$B$22,'Қўшимча ишга тушган'!$E:$E,"1"))</f>
        <v>69</v>
      </c>
      <c r="O23" s="48">
        <f>(+SUMIFS(манзилли!$V:$V,манзилли!$D:$D,'свод (сектор вилоят)'!$B$22,манзилли!$E:$E,"1")+SUMIFS('Қўшимча ишга тушган'!$AD:$AD,'Қўшимча ишга тушган'!$D:$D,'свод (сектор вилоят)'!$B$22,'Қўшимча ишга тушган'!$E:$E,"1"))</f>
        <v>0</v>
      </c>
      <c r="P23" s="46">
        <f>+COUNTIFS(манзилли!$D:$D,'свод (сектор вилоят)'!$B$22,манзилли!$AA:$AA,"&gt;31.12.2020",манзилли!$AA:$AA,"&lt;01.01.2022",манзилли!$E:$E,"1")</f>
        <v>50</v>
      </c>
      <c r="Q23" s="47">
        <f>(+SUMIFS(манзилли!$K:$K,манзилли!$D:$D,'свод (сектор вилоят)'!$B$22,манзилли!$AA:$AA,"&gt;31.12.2020",манзилли!$AA:$AA,"&lt;01.01.2022",манзилли!$E:$E,"1"))</f>
        <v>197613</v>
      </c>
      <c r="R23" s="47">
        <f>(+SUMIFS(манзилли!$M:$M,манзилли!$D:$D,'свод (сектор вилоят)'!$B$22,манзилли!$AA:$AA,"&gt;31.12.2020",манзилли!$AA:$AA,"&lt;01.01.2022",манзилли!$E:$E,"1"))</f>
        <v>103658</v>
      </c>
      <c r="S23" s="47">
        <f>(+SUMIFS(манзилли!$Q:$Q,манзилли!$D:$D,'свод (сектор вилоят)'!$B$22,манзилли!$AA:$AA,"&gt;31.12.2020",манзилли!$AA:$AA,"&lt;01.01.2022",манзилли!$E:$E,"1"))</f>
        <v>61160</v>
      </c>
      <c r="T23" s="47">
        <f>(+SUMIFS(манзилли!$S:$S,манзилли!$D:$D,'свод (сектор вилоят)'!$B$22,манзилли!$AA:$AA,"&gt;31.12.2020",манзилли!$AA:$AA,"&lt;01.01.2022",манзилли!$E:$E,"1"))</f>
        <v>450</v>
      </c>
      <c r="U23" s="47">
        <f>(+SUMIFS(манзилли!$U:$U,манзилли!$D:$D,'свод (сектор вилоят)'!$B$22,манзилли!$AA:$AA,"&gt;31.12.2020",манзилли!$AA:$AA,"&lt;01.01.2022",манзилли!$E:$E,"1"))</f>
        <v>2700</v>
      </c>
      <c r="V23" s="48">
        <f>+SUMIFS(манзилли!$Y:$Y,манзилли!$D:$D,'свод (сектор вилоят)'!$B$22,манзилли!$AA:$AA,"&gt;31.12.2020",манзилли!$AA:$AA,"&lt;01.01.2022",манзилли!$E:$E,"1")</f>
        <v>666</v>
      </c>
      <c r="W23" s="46">
        <f>+AD23+AK23</f>
        <v>3</v>
      </c>
      <c r="X23" s="47">
        <f t="shared" ref="X23:X26" si="214">+AE23+AL23</f>
        <v>1135</v>
      </c>
      <c r="Y23" s="47">
        <f t="shared" ref="Y23:Y26" si="215">+AF23+AM23</f>
        <v>800</v>
      </c>
      <c r="Z23" s="47">
        <f t="shared" ref="Z23:Z26" si="216">+AG23+AN23</f>
        <v>335</v>
      </c>
      <c r="AA23" s="47">
        <f t="shared" ref="AA23:AA26" si="217">+AH23+AO23</f>
        <v>0</v>
      </c>
      <c r="AB23" s="47">
        <f t="shared" ref="AB23:AB26" si="218">+AI23+AP23</f>
        <v>0</v>
      </c>
      <c r="AC23" s="48">
        <f t="shared" ref="AC23:AC26" si="219">+AJ23+AQ23</f>
        <v>14</v>
      </c>
      <c r="AD23" s="46">
        <f>+COUNTIFS(манзилли!$D:$D,'свод (сектор вилоят)'!$B$22,манзилли!$AB:$AB,"&gt;31.12.2020",манзилли!$AA:$AA,"&gt;31.12.2020",манзилли!$AA:$AA,"&lt;01.01.2022",манзилли!$E:$E,"1")</f>
        <v>3</v>
      </c>
      <c r="AE23" s="47">
        <f>(+SUMIFS(манзилли!$L:$L,манзилли!$D:$D,'свод (сектор вилоят)'!$B$22,манзилли!$AB:$AB,"&gt;31.12.2020",манзилли!$AA:$AA,"&gt;31.12.2020",манзилли!$AA:$AA,"&lt;01.01.2022",манзилли!$E:$E,"1"))</f>
        <v>1135</v>
      </c>
      <c r="AF23" s="47">
        <f>(+SUMIFS(манзилли!$N:$N,манзилли!$D:$D,'свод (сектор вилоят)'!$B$22,манзилли!$AB:$AB,"&gt;31.12.2020",манзилли!$AA:$AA,"&gt;31.12.2020",манзилли!$AA:$AA,"&lt;01.01.2022",манзилли!$E:$E,"1"))</f>
        <v>800</v>
      </c>
      <c r="AG23" s="47">
        <f>(+SUMIFS(манзилли!$R:$R,манзилли!$D:$D,'свод (сектор вилоят)'!$B$22,манзилли!$AB:$AB,"&gt;31.12.2020",манзилли!$AA:$AA,"&gt;31.12.2020",манзилли!$AA:$AA,"&lt;01.01.2022",манзилли!$E:$E,"1"))</f>
        <v>335</v>
      </c>
      <c r="AH23" s="47">
        <f>(+SUMIFS(манзилли!$T:$T,манзилли!$D:$D,'свод (сектор вилоят)'!$B$22,манзилли!$AB:$AB,"&gt;31.12.2020",манзилли!$AA:$AA,"&gt;31.12.2020",манзилли!$AA:$AA,"&lt;01.01.2022",манзилли!$E:$E,"1"))</f>
        <v>0</v>
      </c>
      <c r="AI23" s="47">
        <f>(+SUMIFS(манзилли!$V:$V,манзилли!$D:$D,'свод (сектор вилоят)'!$B$22,манзилли!$AB:$AB,"&gt;31.12.2020",манзилли!$AA:$AA,"&gt;31.12.2020",манзилли!$AA:$AA,"&lt;01.01.2022",манзилли!$E:$E,"1"))</f>
        <v>0</v>
      </c>
      <c r="AJ23" s="48">
        <f>+SUMIFS(манзилли!$Z:$Z,манзилли!$D:$D,'свод (сектор вилоят)'!$B$22,манзилли!$AB:$AB,"&gt;31.12.2020",манзилли!$AA:$AA,"&gt;31.12.2020",манзилли!$AA:$AA,"&lt;01.01.2022",манзилли!$E:$E,"1")</f>
        <v>14</v>
      </c>
      <c r="AK23" s="46">
        <f>+COUNTIFS('Қўшимча ишга тушган'!$D:$D,'свод (сектор вилоят)'!B22,'Қўшимча ишга тушган'!$AO:$AO,"&lt;01.10.2023",манзилли!$E:$E,"1")</f>
        <v>0</v>
      </c>
      <c r="AL23" s="47">
        <f>(+SUMIFS('Қўшимча ишга тушган'!$T:$T,'Қўшимча ишга тушган'!$D:$D,'свод (сектор вилоят)'!$B$22,'Қўшимча ишга тушган'!$AO:$AO,"&lt;01.10.2023",манзилли!$E:$E,"1"))</f>
        <v>0</v>
      </c>
      <c r="AM23" s="47">
        <f>(+SUMIFS('Қўшимча ишга тушган'!$V:$V,'Қўшимча ишга тушган'!$D:$D,'свод (сектор вилоят)'!$B$22,'Қўшимча ишга тушган'!$AO:$AO,"&lt;01.10.2023",манзилли!$E:$E,"1"))</f>
        <v>0</v>
      </c>
      <c r="AN23" s="47">
        <f>(+SUMIFS('Қўшимча ишга тушган'!$Z:$Z,'Қўшимча ишга тушган'!$D:$D,'свод (сектор вилоят)'!$B$22,'Қўшимча ишга тушган'!$AO:$AO,"&lt;01.10.2023",манзилли!$E:$E,"1"))</f>
        <v>0</v>
      </c>
      <c r="AO23" s="47">
        <f>(+SUMIFS('Қўшимча ишга тушган'!$AB:$AB,'Қўшимча ишга тушган'!$D:$D,'свод (сектор вилоят)'!$B$22,'Қўшимча ишга тушган'!$AO:$AO,"&lt;01.10.2023",манзилли!$E:$E,"1"))</f>
        <v>0</v>
      </c>
      <c r="AP23" s="47">
        <f>(+SUMIFS('Қўшимча ишга тушган'!$AD:$AD,'Қўшимча ишга тушган'!$D:$D,'свод (сектор вилоят)'!$B$22,'Қўшимча ишга тушган'!$AO:$AO,"&lt;01.10.2023",манзилли!$E:$E,"1"))</f>
        <v>0</v>
      </c>
      <c r="AQ23" s="48">
        <f>+SUMIFS('Қўшимча ишга тушган'!$AM:$AM,'Қўшимча ишга тушган'!$D:$D,'свод (сектор вилоят)'!$B$22,'Қўшимча ишга тушган'!$AO:$AO,"&lt;01.10.2023",манзилли!$E:$E,"1")</f>
        <v>0</v>
      </c>
      <c r="AR23" s="46">
        <f>+COUNTIFS(манзилли!$D:$D,'свод (сектор вилоят)'!$B$22,манзилли!$AA:$AA,"&lt;01.02.2021",манзилли!$AB:$AB,"",манзилли!$E:$E,"1")</f>
        <v>0</v>
      </c>
      <c r="AS23" s="47">
        <f>(+SUMIFS(манзилли!$K:$K,манзилли!$D:$D,'свод (сектор вилоят)'!$B$22,манзилли!$AA:$AA,"&lt;01.02.2021",манзилли!$AB:$AB,"",манзилли!$E:$E,"1"))</f>
        <v>0</v>
      </c>
      <c r="AT23" s="47">
        <f>(+SUMIFS(манзилли!$M:$M,манзилли!$D:$D,'свод (сектор вилоят)'!$B$22,манзилли!$AA:$AA,"&lt;01.02.2021",манзилли!$AB:$AB,"",манзилли!$E:$E,"1"))</f>
        <v>0</v>
      </c>
      <c r="AU23" s="47">
        <f>(+SUMIFS(манзилли!$Q:$Q,манзилли!$D:$D,'свод (сектор вилоят)'!$B$22,манзилли!$AA:$AA,"&lt;01.02.2021",манзилли!$AB:$AB,"",манзилли!$E:$E,"1"))</f>
        <v>0</v>
      </c>
      <c r="AV23" s="47">
        <f>(+SUMIFS(манзилли!$S:$S,манзилли!$D:$D,'свод (сектор вилоят)'!$B$22,манзилли!$AA:$AA,"&lt;01.02.2021",манзилли!$AB:$AB,"",манзилли!$E:$E,"1"))</f>
        <v>0</v>
      </c>
      <c r="AW23" s="47">
        <f>(+SUMIFS(манзилли!$U:$U,манзилли!$D:$D,'свод (сектор вилоят)'!$B$22,манзилли!$AA:$AA,"&lt;01.02.2021",манзилли!$AB:$AB,"",манзилли!$E:$E,"1"))</f>
        <v>0</v>
      </c>
      <c r="AX23" s="48">
        <f>+SUMIFS(манзилли!$Y:$Y,манзилли!$D:$D,'свод (сектор вилоят)'!$B$22,манзилли!$AA:$AA,"&lt;01.02.2021",манзилли!$AB:$AB,"",манзилли!$E:$E,"1")</f>
        <v>0</v>
      </c>
      <c r="AY23" s="46">
        <f>+COUNTIFS(манзилли!$D:$D,'свод (сектор вилоят)'!$B$22,манзилли!$AA:$AA,"&lt;01.01.2022",манзилли!$AB:$AB,"",манзилли!$E:$E,"1")</f>
        <v>47</v>
      </c>
      <c r="AZ23" s="47">
        <f>(+SUMIFS(манзилли!$K:$K,манзилли!$D:$D,'свод (сектор вилоят)'!$B$22,манзилли!$AA:$AA,"&lt;01.01.2022",манзилли!$AB:$AB,"",манзилли!$E:$E,"1"))</f>
        <v>194113</v>
      </c>
      <c r="BA23" s="47">
        <f>(+SUMIFS(манзилли!$M:$M,манзилли!$D:$D,'свод (сектор вилоят)'!$B$22,манзилли!$AA:$AA,"&lt;01.01.2022",манзилли!$AB:$AB,"",манзилли!$E:$E,"1"))</f>
        <v>101458</v>
      </c>
      <c r="BB23" s="47">
        <f>(+SUMIFS(манзилли!$Q:$Q,манзилли!$D:$D,'свод (сектор вилоят)'!$B$22,манзилли!$AA:$AA,"&lt;01.01.2022",манзилли!$AB:$AB,"",манзилли!$E:$E,"1"))</f>
        <v>59860</v>
      </c>
      <c r="BC23" s="47">
        <f>(+SUMIFS(манзилли!$S:$S,манзилли!$D:$D,'свод (сектор вилоят)'!$B$22,манзилли!$AA:$AA,"&lt;01.01.2022",манзилли!$AB:$AB,"",манзилли!$E:$E,"1"))</f>
        <v>450</v>
      </c>
      <c r="BD23" s="47">
        <f>(+SUMIFS(манзилли!$U:$U,манзилли!$D:$D,'свод (сектор вилоят)'!$B$22,манзилли!$AA:$AA,"&lt;01.01.2022",манзилли!$AB:$AB,"",манзилли!$E:$E,"1"))</f>
        <v>2700</v>
      </c>
      <c r="BE23" s="48">
        <f>+SUMIFS(манзилли!$Y:$Y,манзилли!$D:$D,'свод (сектор вилоят)'!$B$22,манзилли!$AA:$AA,"&lt;01.01.2022",манзилли!$AB:$AB,"",манзилли!$E:$E,"1")</f>
        <v>646</v>
      </c>
      <c r="BF23" s="46">
        <f>+COUNTIFS(манзилли!$D:$D,'свод (сектор вилоят)'!$B$22,манзилли!$AA:$AA,"&lt;01.01.2023",манзилли!$AA:$AA,"&gt;=01.01.2022",манзилли!$E:$E,"1")</f>
        <v>11</v>
      </c>
      <c r="BG23" s="47">
        <f>(+SUMIFS(манзилли!$K:$K,манзилли!$D:$D,'свод (сектор вилоят)'!$B$22,манзилли!$AA:$AA,"&lt;01.01.2023",манзилли!$AA:$AA,"&gt;=01.01.2022",манзилли!$E:$E,"1"))</f>
        <v>43900</v>
      </c>
      <c r="BH23" s="47">
        <f>(+SUMIFS(манзилли!$M:$M,манзилли!$D:$D,'свод (сектор вилоят)'!$B$22,манзилли!$AA:$AA,"&lt;01.01.2023",манзилли!$AA:$AA,"&gt;=01.01.2022",манзилли!$E:$E,"1"))</f>
        <v>16700</v>
      </c>
      <c r="BI23" s="47">
        <f>(+SUMIFS(манзилли!$Q:$Q,манзилли!$D:$D,'свод (сектор вилоят)'!$B$22,манзилли!$AA:$AA,"&lt;01.01.2023",манзилли!$AA:$AA,"&gt;=01.01.2022",манзилли!$E:$E,"1"))</f>
        <v>13100</v>
      </c>
      <c r="BJ23" s="47">
        <f>(+SUMIFS(манзилли!$S:$S,манзилли!$D:$D,'свод (сектор вилоят)'!$B$22,манзилли!$AA:$AA,"&lt;01.01.2023",манзилли!$AA:$AA,"&gt;=01.01.2022",манзилли!$E:$E,"1"))</f>
        <v>1000</v>
      </c>
      <c r="BK23" s="47">
        <f>(+SUMIFS(манзилли!$U:$U,манзилли!$D:$D,'свод (сектор вилоят)'!$B$22,манзилли!$AA:$AA,"&lt;01.01.2023",манзилли!$AA:$AA,"&gt;=01.01.2022",манзилли!$E:$E,"1"))</f>
        <v>400</v>
      </c>
      <c r="BL23" s="48">
        <f>+SUMIFS(манзилли!$Y:$Y,манзилли!$D:$D,'свод (сектор вилоят)'!$B$22,манзилли!$AA:$AA,"&lt;01.01.2023",манзилли!$AA:$AA,"&gt;=01.01.2022",манзилли!$E:$E,"1")</f>
        <v>193</v>
      </c>
    </row>
    <row r="24" spans="1:64" s="3" customFormat="1" ht="39.75" customHeight="1">
      <c r="A24" s="51"/>
      <c r="B24" s="27" t="s">
        <v>1772</v>
      </c>
      <c r="C24" s="28">
        <f>+COUNTIFS(манзилли!$D:$D,'свод (сектор вилоят)'!$B$22,манзилли!$E:$E,"2")</f>
        <v>58</v>
      </c>
      <c r="D24" s="29">
        <f>(+SUMIFS(манзилли!$K:$K,манзилли!$D:$D,'свод (сектор вилоят)'!$B$22,манзилли!$E:$E,"2"))</f>
        <v>398820</v>
      </c>
      <c r="E24" s="29">
        <f>(+SUMIFS(манзилли!$M:$M,манзилли!$D:$D,'свод (сектор вилоят)'!$B$22,манзилли!$E:$E,"2"))</f>
        <v>135099</v>
      </c>
      <c r="F24" s="29">
        <f>(+SUMIFS(манзилли!$Q:$Q,манзилли!$D:$D,'свод (сектор вилоят)'!$B$22,манзилли!$E:$E,"2"))</f>
        <v>149490</v>
      </c>
      <c r="G24" s="29">
        <f>(+SUMIFS(манзилли!$S:$S,манзилли!$D:$D,'свод (сектор вилоят)'!$B$22,манзилли!$E:$E,"2"))</f>
        <v>8460</v>
      </c>
      <c r="H24" s="29">
        <f>(+SUMIFS(манзилли!$U:$U,манзилли!$D:$D,'свод (сектор вилоят)'!$B$22,манзилли!$E:$E,"2"))</f>
        <v>3500</v>
      </c>
      <c r="I24" s="30">
        <f>+SUMIFS(манзилли!$Y:$Y,манзилли!$D:$D,'свод (сектор вилоят)'!$B$22,манзилли!$E:$E,"2")</f>
        <v>1127</v>
      </c>
      <c r="J24" s="28">
        <f>(+COUNTIFS(манзилли!$L:$L,"&gt;0",манзилли!$D:$D,'свод (сектор вилоят)'!$B$22,манзилли!$E:$E,"2")+COUNTIFS('Қўшимча ишга тушган'!$T:$T,"&gt;0",'Қўшимча ишга тушган'!$D:$D,'свод (сектор вилоят)'!$B$22,'Қўшимча ишга тушган'!$E:$E,"2"))</f>
        <v>28</v>
      </c>
      <c r="K24" s="30">
        <f>(+SUMIFS(манзилли!$L:$L,манзилли!$D:$D,'свод (сектор вилоят)'!$B$22,манзилли!$E:$E,"2")+SUMIFS('Қўшимча ишга тушган'!$T:$T,'Қўшимча ишга тушган'!$D:$D,'свод (сектор вилоят)'!$B$22,'Қўшимча ишга тушган'!$E:$E,"2"))</f>
        <v>158092.57999999999</v>
      </c>
      <c r="L24" s="31">
        <f>(+SUMIFS(манзилли!$N:$N,манзилли!$D:$D,'свод (сектор вилоят)'!$B$22,манзилли!$E:$E,"2")+SUMIFS('Қўшимча ишга тушган'!$V:$V,'Қўшимча ишга тушган'!$D:$D,'свод (сектор вилоят)'!$B$22,'Қўшимча ишга тушган'!$E:$E,"2"))</f>
        <v>600</v>
      </c>
      <c r="M24" s="29">
        <f>(+SUMIFS(манзилли!$R:$R,манзилли!$D:$D,'свод (сектор вилоят)'!$B$22,манзилли!$E:$E,"2")+SUMIFS('Қўшимча ишга тушган'!$Z:$Z,'Қўшимча ишга тушган'!$D:$D,'свод (сектор вилоят)'!$B$22,'Қўшимча ишга тушган'!$E:$E,"2"))</f>
        <v>14255</v>
      </c>
      <c r="N24" s="29">
        <f>(+SUMIFS(манзилли!$T:$T,манзилли!$D:$D,'свод (сектор вилоят)'!$B$22,манзилли!$E:$E,"2")+SUMIFS('Қўшимча ишга тушган'!$AB:$AB,'Қўшимча ишга тушган'!$D:$D,'свод (сектор вилоят)'!$B$22,'Қўшимча ишга тушган'!$E:$E,"2"))</f>
        <v>14042.9</v>
      </c>
      <c r="O24" s="30">
        <f>(+SUMIFS(манзилли!$V:$V,манзилли!$D:$D,'свод (сектор вилоят)'!$B$22,манзилли!$E:$E,"2")+SUMIFS('Қўшимча ишга тушган'!$AD:$AD,'Қўшимча ишга тушган'!$D:$D,'свод (сектор вилоят)'!$B$22,'Қўшимча ишга тушган'!$E:$E,"2"))</f>
        <v>0</v>
      </c>
      <c r="P24" s="28">
        <f>+COUNTIFS(манзилли!$D:$D,'свод (сектор вилоят)'!$B$22,манзилли!$AA:$AA,"&gt;31.12.2020",манзилли!$AA:$AA,"&lt;01.01.2022",манзилли!$E:$E,"2")</f>
        <v>43</v>
      </c>
      <c r="Q24" s="29">
        <f>(+SUMIFS(манзилли!$K:$K,манзилли!$D:$D,'свод (сектор вилоят)'!$B$22,манзилли!$AA:$AA,"&gt;31.12.2020",манзилли!$AA:$AA,"&lt;01.01.2022",манзилли!$E:$E,"2"))</f>
        <v>285710</v>
      </c>
      <c r="R24" s="29">
        <f>(+SUMIFS(манзилли!$M:$M,манзилли!$D:$D,'свод (сектор вилоят)'!$B$22,манзилли!$AA:$AA,"&gt;31.12.2020",манзилли!$AA:$AA,"&lt;01.01.2022",манзилли!$E:$E,"2"))</f>
        <v>88659</v>
      </c>
      <c r="S24" s="29">
        <f>(+SUMIFS(манзилли!$Q:$Q,манзилли!$D:$D,'свод (сектор вилоят)'!$B$22,манзилли!$AA:$AA,"&gt;31.12.2020",манзилли!$AA:$AA,"&lt;01.01.2022",манзилли!$E:$E,"2"))</f>
        <v>105940</v>
      </c>
      <c r="T24" s="29">
        <f>(+SUMIFS(манзилли!$S:$S,манзилли!$D:$D,'свод (сектор вилоят)'!$B$22,манзилли!$AA:$AA,"&gt;31.12.2020",манзилли!$AA:$AA,"&lt;01.01.2022",манзилли!$E:$E,"2"))</f>
        <v>8060</v>
      </c>
      <c r="U24" s="29">
        <f>(+SUMIFS(манзилли!$U:$U,манзилли!$D:$D,'свод (сектор вилоят)'!$B$22,манзилли!$AA:$AA,"&gt;31.12.2020",манзилли!$AA:$AA,"&lt;01.01.2022",манзилли!$E:$E,"2"))</f>
        <v>1500</v>
      </c>
      <c r="V24" s="30">
        <f>+SUMIFS(манзилли!$Y:$Y,манзилли!$D:$D,'свод (сектор вилоят)'!$B$22,манзилли!$AA:$AA,"&gt;31.12.2020",манзилли!$AA:$AA,"&lt;01.01.2022",манзилли!$E:$E,"2")</f>
        <v>597</v>
      </c>
      <c r="W24" s="28">
        <f t="shared" ref="W24:W26" si="220">+AD24+AK24</f>
        <v>0</v>
      </c>
      <c r="X24" s="29">
        <f t="shared" si="214"/>
        <v>0</v>
      </c>
      <c r="Y24" s="29">
        <f t="shared" si="215"/>
        <v>0</v>
      </c>
      <c r="Z24" s="29">
        <f t="shared" si="216"/>
        <v>0</v>
      </c>
      <c r="AA24" s="29">
        <f t="shared" si="217"/>
        <v>0</v>
      </c>
      <c r="AB24" s="29">
        <f t="shared" si="218"/>
        <v>0</v>
      </c>
      <c r="AC24" s="30">
        <f t="shared" si="219"/>
        <v>0</v>
      </c>
      <c r="AD24" s="28">
        <f>+COUNTIFS(манзилли!$D:$D,'свод (сектор вилоят)'!$B$22,манзилли!$AB:$AB,"&gt;31.12.2020",манзилли!$AA:$AA,"&gt;31.12.2020",манзилли!$AA:$AA,"&lt;01.01.2022",манзилли!$E:$E,"2")</f>
        <v>0</v>
      </c>
      <c r="AE24" s="29">
        <f>(+SUMIFS(манзилли!$L:$L,манзилли!$D:$D,'свод (сектор вилоят)'!$B$22,манзилли!$AB:$AB,"&gt;31.12.2020",манзилли!$AA:$AA,"&gt;31.12.2020",манзилли!$AA:$AA,"&lt;01.01.2022",манзилли!$E:$E,"2"))</f>
        <v>0</v>
      </c>
      <c r="AF24" s="29">
        <f>(+SUMIFS(манзилли!$N:$N,манзилли!$D:$D,'свод (сектор вилоят)'!$B$22,манзилли!$AB:$AB,"&gt;31.12.2020",манзилли!$AA:$AA,"&gt;31.12.2020",манзилли!$AA:$AA,"&lt;01.01.2022",манзилли!$E:$E,"2"))</f>
        <v>0</v>
      </c>
      <c r="AG24" s="29">
        <f>(+SUMIFS(манзилли!$R:$R,манзилли!$D:$D,'свод (сектор вилоят)'!$B$22,манзилли!$AB:$AB,"&gt;31.12.2020",манзилли!$AA:$AA,"&gt;31.12.2020",манзилли!$AA:$AA,"&lt;01.01.2022",манзилли!$E:$E,"2"))</f>
        <v>0</v>
      </c>
      <c r="AH24" s="29">
        <f>(+SUMIFS(манзилли!$T:$T,манзилли!$D:$D,'свод (сектор вилоят)'!$B$22,манзилли!$AB:$AB,"&gt;31.12.2020",манзилли!$AA:$AA,"&gt;31.12.2020",манзилли!$AA:$AA,"&lt;01.01.2022",манзилли!$E:$E,"2"))</f>
        <v>0</v>
      </c>
      <c r="AI24" s="29">
        <f>(+SUMIFS(манзилли!$V:$V,манзилли!$D:$D,'свод (сектор вилоят)'!$B$22,манзилли!$AB:$AB,"&gt;31.12.2020",манзилли!$AA:$AA,"&gt;31.12.2020",манзилли!$AA:$AA,"&lt;01.01.2022",манзилли!$E:$E,"2"))</f>
        <v>0</v>
      </c>
      <c r="AJ24" s="30">
        <f>+SUMIFS(манзилли!$Z:$Z,манзилли!$D:$D,'свод (сектор вилоят)'!$B$22,манзилли!$AB:$AB,"&gt;31.12.2020",манзилли!$AA:$AA,"&gt;31.12.2020",манзилли!$AA:$AA,"&lt;01.01.2022",манзилли!$E:$E,"2")</f>
        <v>0</v>
      </c>
      <c r="AK24" s="28">
        <f>+COUNTIFS('Қўшимча ишга тушган'!$D:$D,'свод (сектор вилоят)'!B22,'Қўшимча ишга тушган'!$AO:$AO,"&lt;01.10.2023",манзилли!$E:$E,"2")</f>
        <v>0</v>
      </c>
      <c r="AL24" s="29">
        <f>(+SUMIFS('Қўшимча ишга тушган'!$T:$T,'Қўшимча ишга тушган'!$D:$D,'свод (сектор вилоят)'!$B$22,'Қўшимча ишга тушган'!$AO:$AO,"&lt;01.10.2023",манзилли!$E:$E,"2"))</f>
        <v>0</v>
      </c>
      <c r="AM24" s="29">
        <f>(+SUMIFS('Қўшимча ишга тушган'!$V:$V,'Қўшимча ишга тушган'!$D:$D,'свод (сектор вилоят)'!$B$22,'Қўшимча ишга тушган'!$AO:$AO,"&lt;01.10.2023",манзилли!$E:$E,"2"))</f>
        <v>0</v>
      </c>
      <c r="AN24" s="29">
        <f>(+SUMIFS('Қўшимча ишга тушган'!$Z:$Z,'Қўшимча ишга тушган'!$D:$D,'свод (сектор вилоят)'!$B$22,'Қўшимча ишга тушган'!$AO:$AO,"&lt;01.10.2023",манзилли!$E:$E,"2"))</f>
        <v>0</v>
      </c>
      <c r="AO24" s="29">
        <f>(+SUMIFS('Қўшимча ишга тушган'!$AB:$AB,'Қўшимча ишга тушган'!$D:$D,'свод (сектор вилоят)'!$B$22,'Қўшимча ишга тушган'!$AO:$AO,"&lt;01.10.2023",манзилли!$E:$E,"2"))</f>
        <v>0</v>
      </c>
      <c r="AP24" s="29">
        <f>(+SUMIFS('Қўшимча ишга тушган'!$AD:$AD,'Қўшимча ишга тушган'!$D:$D,'свод (сектор вилоят)'!$B$22,'Қўшимча ишга тушган'!$AO:$AO,"&lt;01.10.2023",манзилли!$E:$E,"2"))</f>
        <v>0</v>
      </c>
      <c r="AQ24" s="30">
        <f>+SUMIFS('Қўшимча ишга тушган'!$AM:$AM,'Қўшимча ишга тушган'!$D:$D,'свод (сектор вилоят)'!$B$22,'Қўшимча ишга тушган'!$AO:$AO,"&lt;01.10.2023",манзилли!$E:$E,"2")</f>
        <v>0</v>
      </c>
      <c r="AR24" s="28">
        <f>+COUNTIFS(манзилли!$D:$D,'свод (сектор вилоят)'!$B$22,манзилли!$AA:$AA,"&lt;01.02.2021",манзилли!$AB:$AB,"",манзилли!$E:$E,"2")</f>
        <v>0</v>
      </c>
      <c r="AS24" s="29">
        <f>(+SUMIFS(манзилли!$K:$K,манзилли!$D:$D,'свод (сектор вилоят)'!$B$22,манзилли!$AA:$AA,"&lt;01.02.2021",манзилли!$AB:$AB,"",манзилли!$E:$E,"2"))</f>
        <v>0</v>
      </c>
      <c r="AT24" s="29">
        <f>(+SUMIFS(манзилли!$M:$M,манзилли!$D:$D,'свод (сектор вилоят)'!$B$22,манзилли!$AA:$AA,"&lt;01.02.2021",манзилли!$AB:$AB,"",манзилли!$E:$E,"2"))</f>
        <v>0</v>
      </c>
      <c r="AU24" s="29">
        <f>(+SUMIFS(манзилли!$Q:$Q,манзилли!$D:$D,'свод (сектор вилоят)'!$B$22,манзилли!$AA:$AA,"&lt;01.02.2021",манзилли!$AB:$AB,"",манзилли!$E:$E,"2"))</f>
        <v>0</v>
      </c>
      <c r="AV24" s="29">
        <f>(+SUMIFS(манзилли!$S:$S,манзилли!$D:$D,'свод (сектор вилоят)'!$B$22,манзилли!$AA:$AA,"&lt;01.02.2021",манзилли!$AB:$AB,"",манзилли!$E:$E,"2"))</f>
        <v>0</v>
      </c>
      <c r="AW24" s="29">
        <f>(+SUMIFS(манзилли!$U:$U,манзилли!$D:$D,'свод (сектор вилоят)'!$B$22,манзилли!$AA:$AA,"&lt;01.02.2021",манзилли!$AB:$AB,"",манзилли!$E:$E,"2"))</f>
        <v>0</v>
      </c>
      <c r="AX24" s="30">
        <f>+SUMIFS(манзилли!$Y:$Y,манзилли!$D:$D,'свод (сектор вилоят)'!$B$22,манзилли!$AA:$AA,"&lt;01.02.2021",манзилли!$AB:$AB,"",манзилли!$E:$E,"2")</f>
        <v>0</v>
      </c>
      <c r="AY24" s="28">
        <f>+COUNTIFS(манзилли!$D:$D,'свод (сектор вилоят)'!$B$22,манзилли!$AA:$AA,"&lt;01.01.2022",манзилли!$AB:$AB,"",манзилли!$E:$E,"2")</f>
        <v>42</v>
      </c>
      <c r="AZ24" s="29">
        <f>(+SUMIFS(манзилли!$K:$K,манзилли!$D:$D,'свод (сектор вилоят)'!$B$22,манзилли!$AA:$AA,"&lt;01.01.2022",манзилли!$AB:$AB,"",манзилли!$E:$E,"2"))</f>
        <v>285210</v>
      </c>
      <c r="BA24" s="29">
        <f>(+SUMIFS(манзилли!$M:$M,манзилли!$D:$D,'свод (сектор вилоят)'!$B$22,манзилли!$AA:$AA,"&lt;01.01.2022",манзилли!$AB:$AB,"",манзилли!$E:$E,"2"))</f>
        <v>88459</v>
      </c>
      <c r="BB24" s="29">
        <f>(+SUMIFS(манзилли!$Q:$Q,манзилли!$D:$D,'свод (сектор вилоят)'!$B$22,манзилли!$AA:$AA,"&lt;01.01.2022",манзилли!$AB:$AB,"",манзилли!$E:$E,"2"))</f>
        <v>105640</v>
      </c>
      <c r="BC24" s="29">
        <f>(+SUMIFS(манзилли!$S:$S,манзилли!$D:$D,'свод (сектор вилоят)'!$B$22,манзилли!$AA:$AA,"&lt;01.01.2022",манзилли!$AB:$AB,"",манзилли!$E:$E,"2"))</f>
        <v>8060</v>
      </c>
      <c r="BD24" s="29">
        <f>(+SUMIFS(манзилли!$U:$U,манзилли!$D:$D,'свод (сектор вилоят)'!$B$22,манзилли!$AA:$AA,"&lt;01.01.2022",манзилли!$AB:$AB,"",манзилли!$E:$E,"2"))</f>
        <v>1500</v>
      </c>
      <c r="BE24" s="30">
        <f>+SUMIFS(манзилли!$Y:$Y,манзилли!$D:$D,'свод (сектор вилоят)'!$B$22,манзилли!$AA:$AA,"&lt;01.01.2022",манзилли!$AB:$AB,"",манзилли!$E:$E,"2")</f>
        <v>594</v>
      </c>
      <c r="BF24" s="28">
        <f>+COUNTIFS(манзилли!$D:$D,'свод (сектор вилоят)'!$B$22,манзилли!$AA:$AA,"&lt;01.01.2023",манзилли!$AA:$AA,"&gt;=01.01.2022",манзилли!$E:$E,"2")</f>
        <v>15</v>
      </c>
      <c r="BG24" s="29">
        <f>(+SUMIFS(манзилли!$K:$K,манзилли!$D:$D,'свод (сектор вилоят)'!$B$22,манзилли!$AA:$AA,"&lt;01.01.2023",манзилли!$AA:$AA,"&gt;=01.01.2022",манзилли!$E:$E,"2"))</f>
        <v>113110</v>
      </c>
      <c r="BH24" s="29">
        <f>(+SUMIFS(манзилли!$M:$M,манзилли!$D:$D,'свод (сектор вилоят)'!$B$22,манзилли!$AA:$AA,"&lt;01.01.2023",манзилли!$AA:$AA,"&gt;=01.01.2022",манзилли!$E:$E,"2"))</f>
        <v>46440</v>
      </c>
      <c r="BI24" s="29">
        <f>(+SUMIFS(манзилли!$Q:$Q,манзилли!$D:$D,'свод (сектор вилоят)'!$B$22,манзилли!$AA:$AA,"&lt;01.01.2023",манзилли!$AA:$AA,"&gt;=01.01.2022",манзилли!$E:$E,"2"))</f>
        <v>43550</v>
      </c>
      <c r="BJ24" s="29">
        <f>(+SUMIFS(манзилли!$S:$S,манзилли!$D:$D,'свод (сектор вилоят)'!$B$22,манзилли!$AA:$AA,"&lt;01.01.2023",манзилли!$AA:$AA,"&gt;=01.01.2022",манзилли!$E:$E,"2"))</f>
        <v>400</v>
      </c>
      <c r="BK24" s="29">
        <f>(+SUMIFS(манзилли!$U:$U,манзилли!$D:$D,'свод (сектор вилоят)'!$B$22,манзилли!$AA:$AA,"&lt;01.01.2023",манзилли!$AA:$AA,"&gt;=01.01.2022",манзилли!$E:$E,"2"))</f>
        <v>2000</v>
      </c>
      <c r="BL24" s="30">
        <f>+SUMIFS(манзилли!$Y:$Y,манзилли!$D:$D,'свод (сектор вилоят)'!$B$22,манзилли!$AA:$AA,"&lt;01.01.2023",манзилли!$AA:$AA,"&gt;=01.01.2022",манзилли!$E:$E,"2")</f>
        <v>530</v>
      </c>
    </row>
    <row r="25" spans="1:64" s="3" customFormat="1" ht="39.75" customHeight="1">
      <c r="A25" s="51"/>
      <c r="B25" s="27" t="s">
        <v>1773</v>
      </c>
      <c r="C25" s="28">
        <f>+COUNTIFS(манзилли!$D:$D,'свод (сектор вилоят)'!$B$22,манзилли!$E:$E,"3")</f>
        <v>51</v>
      </c>
      <c r="D25" s="29">
        <f>(+SUMIFS(манзилли!$K:$K,манзилли!$D:$D,'свод (сектор вилоят)'!$B$22,манзилли!$E:$E,"3"))</f>
        <v>1049582.3</v>
      </c>
      <c r="E25" s="29">
        <f>(+SUMIFS(манзилли!$M:$M,манзилли!$D:$D,'свод (сектор вилоят)'!$B$22,манзилли!$E:$E,"3"))</f>
        <v>382410</v>
      </c>
      <c r="F25" s="29">
        <f>(+SUMIFS(манзилли!$Q:$Q,манзилли!$D:$D,'свод (сектор вилоят)'!$B$22,манзилли!$E:$E,"3"))</f>
        <v>262140</v>
      </c>
      <c r="G25" s="29">
        <f>(+SUMIFS(манзилли!$S:$S,манзилли!$D:$D,'свод (сектор вилоят)'!$B$22,манзилли!$E:$E,"3"))</f>
        <v>37941</v>
      </c>
      <c r="H25" s="29">
        <f>(+SUMIFS(манзилли!$U:$U,манзилли!$D:$D,'свод (сектор вилоят)'!$B$22,манзилли!$E:$E,"3"))</f>
        <v>4200</v>
      </c>
      <c r="I25" s="30">
        <f>+SUMIFS(манзилли!$Y:$Y,манзилли!$D:$D,'свод (сектор вилоят)'!$B$22,манзилли!$E:$E,"3")</f>
        <v>2111</v>
      </c>
      <c r="J25" s="28">
        <f>(+COUNTIFS(манзилли!$L:$L,"&gt;0",манзилли!$D:$D,'свод (сектор вилоят)'!$B$22,манзилли!$E:$E,"3")+COUNTIFS('Қўшимча ишга тушган'!$T:$T,"&gt;0",'Қўшимча ишга тушган'!$D:$D,'свод (сектор вилоят)'!$B$22,'Қўшимча ишга тушган'!$E:$E,"3"))</f>
        <v>18</v>
      </c>
      <c r="K25" s="30">
        <f>(+SUMIFS(манзилли!$L:$L,манзилли!$D:$D,'свод (сектор вилоят)'!$B$22,манзилли!$E:$E,"3")+SUMIFS('Қўшимча ишга тушган'!$T:$T,'Қўшимча ишга тушган'!$D:$D,'свод (сектор вилоят)'!$B$22,'Қўшимча ишга тушган'!$E:$E,"3"))</f>
        <v>25832.799999999999</v>
      </c>
      <c r="L25" s="31">
        <f>(+SUMIFS(манзилли!$N:$N,манзилли!$D:$D,'свод (сектор вилоят)'!$B$22,манзилли!$E:$E,"3")+SUMIFS('Қўшимча ишга тушган'!$V:$V,'Қўшимча ишга тушган'!$D:$D,'свод (сектор вилоят)'!$B$22,'Қўшимча ишга тушган'!$E:$E,"3"))</f>
        <v>4250</v>
      </c>
      <c r="M25" s="29">
        <f>(+SUMIFS(манзилли!$R:$R,манзилли!$D:$D,'свод (сектор вилоят)'!$B$22,манзилли!$E:$E,"3")+SUMIFS('Қўшимча ишга тушган'!$Z:$Z,'Қўшимча ишга тушган'!$D:$D,'свод (сектор вилоят)'!$B$22,'Қўшимча ишга тушган'!$E:$E,"3"))</f>
        <v>13458</v>
      </c>
      <c r="N25" s="29">
        <f>(+SUMIFS(манзилли!$T:$T,манзилли!$D:$D,'свод (сектор вилоят)'!$B$22,манзилли!$E:$E,"3")+SUMIFS('Қўшимча ишга тушган'!$AB:$AB,'Қўшимча ишга тушган'!$D:$D,'свод (сектор вилоят)'!$B$22,'Қўшимча ишга тушган'!$E:$E,"3"))</f>
        <v>795</v>
      </c>
      <c r="O25" s="30">
        <f>(+SUMIFS(манзилли!$V:$V,манзилли!$D:$D,'свод (сектор вилоят)'!$B$22,манзилли!$E:$E,"3")+SUMIFS('Қўшимча ишга тушган'!$AD:$AD,'Қўшимча ишга тушган'!$D:$D,'свод (сектор вилоят)'!$B$22,'Қўшимча ишга тушган'!$E:$E,"3"))</f>
        <v>0</v>
      </c>
      <c r="P25" s="28">
        <f>+COUNTIFS(манзилли!$D:$D,'свод (сектор вилоят)'!$B$22,манзилли!$AA:$AA,"&gt;31.12.2020",манзилли!$AA:$AA,"&lt;01.01.2022",манзилли!$E:$E,"3")</f>
        <v>30</v>
      </c>
      <c r="Q25" s="29">
        <f>(+SUMIFS(манзилли!$K:$K,манзилли!$D:$D,'свод (сектор вилоят)'!$B$22,манзилли!$AA:$AA,"&gt;31.12.2020",манзилли!$AA:$AA,"&lt;01.01.2022",манзилли!$E:$E,"3"))</f>
        <v>691442.3</v>
      </c>
      <c r="R25" s="29">
        <f>(+SUMIFS(манзилли!$M:$M,манзилли!$D:$D,'свод (сектор вилоят)'!$B$22,манзилли!$AA:$AA,"&gt;31.12.2020",манзилли!$AA:$AA,"&lt;01.01.2022",манзилли!$E:$E,"3"))</f>
        <v>250360</v>
      </c>
      <c r="S25" s="29">
        <f>(+SUMIFS(манзилли!$Q:$Q,манзилли!$D:$D,'свод (сектор вилоят)'!$B$22,манзилли!$AA:$AA,"&gt;31.12.2020",манзилли!$AA:$AA,"&lt;01.01.2022",манзилли!$E:$E,"3"))</f>
        <v>83550</v>
      </c>
      <c r="T25" s="29">
        <f>(+SUMIFS(манзилли!$S:$S,манзилли!$D:$D,'свод (сектор вилоят)'!$B$22,манзилли!$AA:$AA,"&gt;31.12.2020",манзилли!$AA:$AA,"&lt;01.01.2022",манзилли!$E:$E,"3"))</f>
        <v>32941</v>
      </c>
      <c r="U25" s="29">
        <f>(+SUMIFS(манзилли!$U:$U,манзилли!$D:$D,'свод (сектор вилоят)'!$B$22,манзилли!$AA:$AA,"&gt;31.12.2020",манзилли!$AA:$AA,"&lt;01.01.2022",манзилли!$E:$E,"3"))</f>
        <v>4200</v>
      </c>
      <c r="V25" s="30">
        <f>+SUMIFS(манзилли!$Y:$Y,манзилли!$D:$D,'свод (сектор вилоят)'!$B$22,манзилли!$AA:$AA,"&gt;31.12.2020",манзилли!$AA:$AA,"&lt;01.01.2022",манзилли!$E:$E,"3")</f>
        <v>1660</v>
      </c>
      <c r="W25" s="28">
        <f t="shared" si="220"/>
        <v>1</v>
      </c>
      <c r="X25" s="29">
        <f t="shared" si="214"/>
        <v>1850</v>
      </c>
      <c r="Y25" s="29">
        <f t="shared" si="215"/>
        <v>1500</v>
      </c>
      <c r="Z25" s="29">
        <f t="shared" si="216"/>
        <v>350</v>
      </c>
      <c r="AA25" s="29">
        <f t="shared" si="217"/>
        <v>0</v>
      </c>
      <c r="AB25" s="29">
        <f t="shared" si="218"/>
        <v>0</v>
      </c>
      <c r="AC25" s="30">
        <f t="shared" si="219"/>
        <v>5</v>
      </c>
      <c r="AD25" s="28">
        <f>+COUNTIFS(манзилли!$D:$D,'свод (сектор вилоят)'!$B$22,манзилли!$AB:$AB,"&gt;31.12.2020",манзилли!$AA:$AA,"&gt;31.12.2020",манзилли!$AA:$AA,"&lt;01.01.2022",манзилли!$E:$E,"3")</f>
        <v>1</v>
      </c>
      <c r="AE25" s="29">
        <f>(+SUMIFS(манзилли!$L:$L,манзилли!$D:$D,'свод (сектор вилоят)'!$B$22,манзилли!$AB:$AB,"&gt;31.12.2020",манзилли!$AA:$AA,"&gt;31.12.2020",манзилли!$AA:$AA,"&lt;01.01.2022",манзилли!$E:$E,"3"))</f>
        <v>1850</v>
      </c>
      <c r="AF25" s="29">
        <f>(+SUMIFS(манзилли!$N:$N,манзилли!$D:$D,'свод (сектор вилоят)'!$B$22,манзилли!$AB:$AB,"&gt;31.12.2020",манзилли!$AA:$AA,"&gt;31.12.2020",манзилли!$AA:$AA,"&lt;01.01.2022",манзилли!$E:$E,"3"))</f>
        <v>1500</v>
      </c>
      <c r="AG25" s="29">
        <f>(+SUMIFS(манзилли!$R:$R,манзилли!$D:$D,'свод (сектор вилоят)'!$B$22,манзилли!$AB:$AB,"&gt;31.12.2020",манзилли!$AA:$AA,"&gt;31.12.2020",манзилли!$AA:$AA,"&lt;01.01.2022",манзилли!$E:$E,"3"))</f>
        <v>350</v>
      </c>
      <c r="AH25" s="29">
        <f>(+SUMIFS(манзилли!$T:$T,манзилли!$D:$D,'свод (сектор вилоят)'!$B$22,манзилли!$AB:$AB,"&gt;31.12.2020",манзилли!$AA:$AA,"&gt;31.12.2020",манзилли!$AA:$AA,"&lt;01.01.2022",манзилли!$E:$E,"3"))</f>
        <v>0</v>
      </c>
      <c r="AI25" s="29">
        <f>(+SUMIFS(манзилли!$V:$V,манзилли!$D:$D,'свод (сектор вилоят)'!$B$22,манзилли!$AB:$AB,"&gt;31.12.2020",манзилли!$AA:$AA,"&gt;31.12.2020",манзилли!$AA:$AA,"&lt;01.01.2022",манзилли!$E:$E,"3"))</f>
        <v>0</v>
      </c>
      <c r="AJ25" s="30">
        <f>+SUMIFS(манзилли!$Z:$Z,манзилли!$D:$D,'свод (сектор вилоят)'!$B$22,манзилли!$AB:$AB,"&gt;31.12.2020",манзилли!$AA:$AA,"&gt;31.12.2020",манзилли!$AA:$AA,"&lt;01.01.2022",манзилли!$E:$E,"3")</f>
        <v>5</v>
      </c>
      <c r="AK25" s="28">
        <f>+COUNTIFS('Қўшимча ишга тушган'!$D:$D,'свод (сектор вилоят)'!B22,'Қўшимча ишга тушган'!$AO:$AO,"&lt;01.10.2023",манзилли!$E:$E,"3")</f>
        <v>0</v>
      </c>
      <c r="AL25" s="29">
        <f>(+SUMIFS('Қўшимча ишга тушган'!$T:$T,'Қўшимча ишга тушган'!$D:$D,'свод (сектор вилоят)'!$B$22,'Қўшимча ишга тушган'!$AO:$AO,"&lt;01.10.2023",манзилли!$E:$E,"3"))</f>
        <v>0</v>
      </c>
      <c r="AM25" s="29">
        <f>(+SUMIFS('Қўшимча ишга тушган'!$V:$V,'Қўшимча ишга тушган'!$D:$D,'свод (сектор вилоят)'!$B$22,'Қўшимча ишга тушган'!$AO:$AO,"&lt;01.10.2023",манзилли!$E:$E,"3"))</f>
        <v>0</v>
      </c>
      <c r="AN25" s="29">
        <f>(+SUMIFS('Қўшимча ишга тушган'!$Z:$Z,'Қўшимча ишга тушган'!$D:$D,'свод (сектор вилоят)'!$B$22,'Қўшимча ишга тушган'!$AO:$AO,"&lt;01.10.2023",манзилли!$E:$E,"3"))</f>
        <v>0</v>
      </c>
      <c r="AO25" s="29">
        <f>(+SUMIFS('Қўшимча ишга тушган'!$AB:$AB,'Қўшимча ишга тушган'!$D:$D,'свод (сектор вилоят)'!$B$22,'Қўшимча ишга тушган'!$AO:$AO,"&lt;01.10.2023",манзилли!$E:$E,"3"))</f>
        <v>0</v>
      </c>
      <c r="AP25" s="29">
        <f>(+SUMIFS('Қўшимча ишга тушган'!$AD:$AD,'Қўшимча ишга тушган'!$D:$D,'свод (сектор вилоят)'!$B$22,'Қўшимча ишга тушган'!$AO:$AO,"&lt;01.10.2023",манзилли!$E:$E,"3"))</f>
        <v>0</v>
      </c>
      <c r="AQ25" s="30">
        <f>+SUMIFS('Қўшимча ишга тушган'!$AM:$AM,'Қўшимча ишга тушган'!$D:$D,'свод (сектор вилоят)'!$B$22,'Қўшимча ишга тушган'!$AO:$AO,"&lt;01.10.2023",манзилли!$E:$E,"3")</f>
        <v>0</v>
      </c>
      <c r="AR25" s="28">
        <f>+COUNTIFS(манзилли!$D:$D,'свод (сектор вилоят)'!$B$22,манзилли!$AA:$AA,"&lt;01.02.2021",манзилли!$AB:$AB,"",манзилли!$E:$E,"3")</f>
        <v>0</v>
      </c>
      <c r="AS25" s="29">
        <f>(+SUMIFS(манзилли!$K:$K,манзилли!$D:$D,'свод (сектор вилоят)'!$B$22,манзилли!$AA:$AA,"&lt;01.02.2021",манзилли!$AB:$AB,"",манзилли!$E:$E,"3"))</f>
        <v>0</v>
      </c>
      <c r="AT25" s="29">
        <f>(+SUMIFS(манзилли!$M:$M,манзилли!$D:$D,'свод (сектор вилоят)'!$B$22,манзилли!$AA:$AA,"&lt;01.02.2021",манзилли!$AB:$AB,"",манзилли!$E:$E,"3"))</f>
        <v>0</v>
      </c>
      <c r="AU25" s="29">
        <f>(+SUMIFS(манзилли!$Q:$Q,манзилли!$D:$D,'свод (сектор вилоят)'!$B$22,манзилли!$AA:$AA,"&lt;01.02.2021",манзилли!$AB:$AB,"",манзилли!$E:$E,"3"))</f>
        <v>0</v>
      </c>
      <c r="AV25" s="29">
        <f>(+SUMIFS(манзилли!$S:$S,манзилли!$D:$D,'свод (сектор вилоят)'!$B$22,манзилли!$AA:$AA,"&lt;01.02.2021",манзилли!$AB:$AB,"",манзилли!$E:$E,"3"))</f>
        <v>0</v>
      </c>
      <c r="AW25" s="29">
        <f>(+SUMIFS(манзилли!$U:$U,манзилли!$D:$D,'свод (сектор вилоят)'!$B$22,манзилли!$AA:$AA,"&lt;01.02.2021",манзилли!$AB:$AB,"",манзилли!$E:$E,"3"))</f>
        <v>0</v>
      </c>
      <c r="AX25" s="30">
        <f>+SUMIFS(манзилли!$Y:$Y,манзилли!$D:$D,'свод (сектор вилоят)'!$B$22,манзилли!$AA:$AA,"&lt;01.02.2021",манзилли!$AB:$AB,"",манзилли!$E:$E,"3")</f>
        <v>0</v>
      </c>
      <c r="AY25" s="28">
        <f>+COUNTIFS(манзилли!$D:$D,'свод (сектор вилоят)'!$B$22,манзилли!$AA:$AA,"&lt;01.01.2022",манзилли!$AB:$AB,"",манзилли!$E:$E,"3")</f>
        <v>29</v>
      </c>
      <c r="AZ25" s="29">
        <f>(+SUMIFS(манзилли!$K:$K,манзилли!$D:$D,'свод (сектор вилоят)'!$B$22,манзилли!$AA:$AA,"&lt;01.01.2022",манзилли!$AB:$AB,"",манзилли!$E:$E,"3"))</f>
        <v>688842.3</v>
      </c>
      <c r="BA25" s="29">
        <f>(+SUMIFS(манзилли!$M:$M,манзилли!$D:$D,'свод (сектор вилоят)'!$B$22,манзилли!$AA:$AA,"&lt;01.01.2022",манзилли!$AB:$AB,"",манзилли!$E:$E,"3"))</f>
        <v>248860</v>
      </c>
      <c r="BB25" s="29">
        <f>(+SUMIFS(манзилли!$Q:$Q,манзилли!$D:$D,'свод (сектор вилоят)'!$B$22,манзилли!$AA:$AA,"&lt;01.01.2022",манзилли!$AB:$AB,"",манзилли!$E:$E,"3"))</f>
        <v>82450</v>
      </c>
      <c r="BC25" s="29">
        <f>(+SUMIFS(манзилли!$S:$S,манзилли!$D:$D,'свод (сектор вилоят)'!$B$22,манзилли!$AA:$AA,"&lt;01.01.2022",манзилли!$AB:$AB,"",манзилли!$E:$E,"3"))</f>
        <v>32941</v>
      </c>
      <c r="BD25" s="29">
        <f>(+SUMIFS(манзилли!$U:$U,манзилли!$D:$D,'свод (сектор вилоят)'!$B$22,манзилли!$AA:$AA,"&lt;01.01.2022",манзилли!$AB:$AB,"",манзилли!$E:$E,"3"))</f>
        <v>4200</v>
      </c>
      <c r="BE25" s="30">
        <f>+SUMIFS(манзилли!$Y:$Y,манзилли!$D:$D,'свод (сектор вилоят)'!$B$22,манзилли!$AA:$AA,"&lt;01.01.2022",манзилли!$AB:$AB,"",манзилли!$E:$E,"3")</f>
        <v>1655</v>
      </c>
      <c r="BF25" s="28">
        <f>+COUNTIFS(манзилли!$D:$D,'свод (сектор вилоят)'!$B$22,манзилли!$AA:$AA,"&lt;01.01.2023",манзилли!$AA:$AA,"&gt;=01.01.2022",манзилли!$E:$E,"3")</f>
        <v>18</v>
      </c>
      <c r="BG25" s="29">
        <f>(+SUMIFS(манзилли!$K:$K,манзилли!$D:$D,'свод (сектор вилоят)'!$B$22,манзилли!$AA:$AA,"&lt;01.01.2023",манзилли!$AA:$AA,"&gt;=01.01.2022",манзилли!$E:$E,"3"))</f>
        <v>345140</v>
      </c>
      <c r="BH25" s="29">
        <f>(+SUMIFS(манзилли!$M:$M,манзилли!$D:$D,'свод (сектор вилоят)'!$B$22,манзилли!$AA:$AA,"&lt;01.01.2023",манзилли!$AA:$AA,"&gt;=01.01.2022",манзилли!$E:$E,"3"))</f>
        <v>124300</v>
      </c>
      <c r="BI25" s="29">
        <f>(+SUMIFS(манзилли!$Q:$Q,манзилли!$D:$D,'свод (сектор вилоят)'!$B$22,манзилли!$AA:$AA,"&lt;01.01.2023",манзилли!$AA:$AA,"&gt;=01.01.2022",манзилли!$E:$E,"3"))</f>
        <v>173340</v>
      </c>
      <c r="BJ25" s="29">
        <f>(+SUMIFS(манзилли!$S:$S,манзилли!$D:$D,'свод (сектор вилоят)'!$B$22,манзилли!$AA:$AA,"&lt;01.01.2023",манзилли!$AA:$AA,"&gt;=01.01.2022",манзилли!$E:$E,"3"))</f>
        <v>5000</v>
      </c>
      <c r="BK25" s="29">
        <f>(+SUMIFS(манзилли!$U:$U,манзилли!$D:$D,'свод (сектор вилоят)'!$B$22,манзилли!$AA:$AA,"&lt;01.01.2023",манзилли!$AA:$AA,"&gt;=01.01.2022",манзилли!$E:$E,"3"))</f>
        <v>0</v>
      </c>
      <c r="BL25" s="30">
        <f>+SUMIFS(манзилли!$Y:$Y,манзилли!$D:$D,'свод (сектор вилоят)'!$B$22,манзилли!$AA:$AA,"&lt;01.01.2023",манзилли!$AA:$AA,"&gt;=01.01.2022",манзилли!$E:$E,"3")</f>
        <v>411</v>
      </c>
    </row>
    <row r="26" spans="1:64" s="3" customFormat="1" ht="39.75" customHeight="1" thickBot="1">
      <c r="A26" s="55"/>
      <c r="B26" s="36" t="s">
        <v>1774</v>
      </c>
      <c r="C26" s="37">
        <f>+COUNTIFS(манзилли!$D:$D,'свод (сектор вилоят)'!$B$22,манзилли!$E:$E,"4")</f>
        <v>39</v>
      </c>
      <c r="D26" s="38">
        <f>(+SUMIFS(манзилли!$K:$K,манзилли!$D:$D,'свод (сектор вилоят)'!$B$22,манзилли!$E:$E,"4"))</f>
        <v>170442</v>
      </c>
      <c r="E26" s="38">
        <f>(+SUMIFS(манзилли!$M:$M,манзилли!$D:$D,'свод (сектор вилоят)'!$B$22,манзилли!$E:$E,"4"))</f>
        <v>56860</v>
      </c>
      <c r="F26" s="38">
        <f>(+SUMIFS(манзилли!$Q:$Q,манзилли!$D:$D,'свод (сектор вилоят)'!$B$22,манзилли!$E:$E,"4"))</f>
        <v>87250</v>
      </c>
      <c r="G26" s="38">
        <f>(+SUMIFS(манзилли!$S:$S,манзилли!$D:$D,'свод (сектор вилоят)'!$B$22,манзилли!$E:$E,"4"))</f>
        <v>1430</v>
      </c>
      <c r="H26" s="38">
        <f>(+SUMIFS(манзилли!$U:$U,манзилли!$D:$D,'свод (сектор вилоят)'!$B$22,манзилли!$E:$E,"4"))</f>
        <v>1310</v>
      </c>
      <c r="I26" s="39">
        <f>+SUMIFS(манзилли!$Y:$Y,манзилли!$D:$D,'свод (сектор вилоят)'!$B$22,манзилли!$E:$E,"4")</f>
        <v>664</v>
      </c>
      <c r="J26" s="37">
        <f>(+COUNTIFS(манзилли!$L:$L,"&gt;0",манзилли!$D:$D,'свод (сектор вилоят)'!$B$22,манзилли!$E:$E,"4")+COUNTIFS('Қўшимча ишга тушган'!$T:$T,"&gt;0",'Қўшимча ишга тушган'!$D:$D,'свод (сектор вилоят)'!$B$22,'Қўшимча ишга тушган'!$E:$E,"4"))</f>
        <v>16</v>
      </c>
      <c r="K26" s="39">
        <f>(+SUMIFS(манзилли!$L:$L,манзилли!$D:$D,'свод (сектор вилоят)'!$B$22,манзилли!$E:$E,"4")+SUMIFS('Қўшимча ишга тушган'!$T:$T,'Қўшимча ишга тушган'!$D:$D,'свод (сектор вилоят)'!$B$22,'Қўшимча ишга тушган'!$E:$E,"4"))</f>
        <v>15023</v>
      </c>
      <c r="L26" s="40">
        <f>(+SUMIFS(манзилли!$N:$N,манзилли!$D:$D,'свод (сектор вилоят)'!$B$22,манзилли!$E:$E,"4")+SUMIFS('Қўшимча ишга тушган'!$V:$V,'Қўшимча ишга тушган'!$D:$D,'свод (сектор вилоят)'!$B$22,'Қўшимча ишга тушган'!$E:$E,"4"))</f>
        <v>2470</v>
      </c>
      <c r="M26" s="38">
        <f>(+SUMIFS(манзилли!$R:$R,манзилли!$D:$D,'свод (сектор вилоят)'!$B$22,манзилли!$E:$E,"4")+SUMIFS('Қўшимча ишга тушган'!$Z:$Z,'Қўшимча ишга тушган'!$D:$D,'свод (сектор вилоят)'!$B$22,'Қўшимча ишга тушган'!$E:$E,"4"))</f>
        <v>9901</v>
      </c>
      <c r="N26" s="38">
        <f>(+SUMIFS(манзилли!$T:$T,манзилли!$D:$D,'свод (сектор вилоят)'!$B$22,манзилли!$E:$E,"4")+SUMIFS('Қўшимча ишга тушган'!$AB:$AB,'Қўшимча ишга тушган'!$D:$D,'свод (сектор вилоят)'!$B$22,'Қўшимча ишга тушган'!$E:$E,"4"))</f>
        <v>260</v>
      </c>
      <c r="O26" s="39">
        <f>(+SUMIFS(манзилли!$V:$V,манзилли!$D:$D,'свод (сектор вилоят)'!$B$22,манзилли!$E:$E,"4")+SUMIFS('Қўшимча ишга тушган'!$AD:$AD,'Қўшимча ишга тушган'!$D:$D,'свод (сектор вилоят)'!$B$22,'Қўшимча ишга тушган'!$E:$E,"4"))</f>
        <v>0</v>
      </c>
      <c r="P26" s="37">
        <f>+COUNTIFS(манзилли!$D:$D,'свод (сектор вилоят)'!$B$22,манзилли!$AA:$AA,"&gt;31.12.2020",манзилли!$AA:$AA,"&lt;01.01.2022",манзилли!$E:$E,"4")</f>
        <v>26</v>
      </c>
      <c r="Q26" s="38">
        <f>(+SUMIFS(манзилли!$K:$K,манзилли!$D:$D,'свод (сектор вилоят)'!$B$22,манзилли!$AA:$AA,"&gt;31.12.2020",манзилли!$AA:$AA,"&lt;01.01.2022",манзилли!$E:$E,"4"))</f>
        <v>63422</v>
      </c>
      <c r="R26" s="38">
        <f>(+SUMIFS(манзилли!$M:$M,манзилли!$D:$D,'свод (сектор вилоят)'!$B$22,манзилли!$AA:$AA,"&gt;31.12.2020",манзилли!$AA:$AA,"&lt;01.01.2022",манзилли!$E:$E,"4"))</f>
        <v>20410</v>
      </c>
      <c r="S26" s="38">
        <f>(+SUMIFS(манзилли!$Q:$Q,манзилли!$D:$D,'свод (сектор вилоят)'!$B$22,манзилли!$AA:$AA,"&gt;31.12.2020",манзилли!$AA:$AA,"&lt;01.01.2022",манзилли!$E:$E,"4"))</f>
        <v>24090</v>
      </c>
      <c r="T26" s="38">
        <f>(+SUMIFS(манзилли!$S:$S,манзилли!$D:$D,'свод (сектор вилоят)'!$B$22,манзилли!$AA:$AA,"&gt;31.12.2020",манзилли!$AA:$AA,"&lt;01.01.2022",манзилли!$E:$E,"4"))</f>
        <v>650</v>
      </c>
      <c r="U26" s="38">
        <f>(+SUMIFS(манзилли!$U:$U,манзилли!$D:$D,'свод (сектор вилоят)'!$B$22,манзилли!$AA:$AA,"&gt;31.12.2020",манзилли!$AA:$AA,"&lt;01.01.2022",манзилли!$E:$E,"4"))</f>
        <v>1310</v>
      </c>
      <c r="V26" s="39">
        <f>+SUMIFS(манзилли!$Y:$Y,манзилли!$D:$D,'свод (сектор вилоят)'!$B$22,манзилли!$AA:$AA,"&gt;31.12.2020",манзилли!$AA:$AA,"&lt;01.01.2022",манзилли!$E:$E,"4")</f>
        <v>239</v>
      </c>
      <c r="W26" s="37">
        <f t="shared" si="220"/>
        <v>3</v>
      </c>
      <c r="X26" s="38">
        <f t="shared" si="214"/>
        <v>2200</v>
      </c>
      <c r="Y26" s="38">
        <f t="shared" si="215"/>
        <v>2070</v>
      </c>
      <c r="Z26" s="38">
        <f t="shared" si="216"/>
        <v>130</v>
      </c>
      <c r="AA26" s="38">
        <f t="shared" si="217"/>
        <v>0</v>
      </c>
      <c r="AB26" s="38">
        <f t="shared" si="218"/>
        <v>0</v>
      </c>
      <c r="AC26" s="39">
        <f t="shared" si="219"/>
        <v>7</v>
      </c>
      <c r="AD26" s="37">
        <f>+COUNTIFS(манзилли!$D:$D,'свод (сектор вилоят)'!$B$22,манзилли!$AB:$AB,"&gt;31.12.2020",манзилли!$AA:$AA,"&gt;31.12.2020",манзилли!$AA:$AA,"&lt;01.01.2022",манзилли!$E:$E,"4")</f>
        <v>3</v>
      </c>
      <c r="AE26" s="38">
        <f>(+SUMIFS(манзилли!$L:$L,манзилли!$D:$D,'свод (сектор вилоят)'!$B$22,манзилли!$AB:$AB,"&gt;31.12.2020",манзилли!$AA:$AA,"&gt;31.12.2020",манзилли!$AA:$AA,"&lt;01.01.2022",манзилли!$E:$E,"4"))</f>
        <v>2200</v>
      </c>
      <c r="AF26" s="38">
        <f>(+SUMIFS(манзилли!$N:$N,манзилли!$D:$D,'свод (сектор вилоят)'!$B$22,манзилли!$AB:$AB,"&gt;31.12.2020",манзилли!$AA:$AA,"&gt;31.12.2020",манзилли!$AA:$AA,"&lt;01.01.2022",манзилли!$E:$E,"4"))</f>
        <v>2070</v>
      </c>
      <c r="AG26" s="38">
        <f>(+SUMIFS(манзилли!$R:$R,манзилли!$D:$D,'свод (сектор вилоят)'!$B$22,манзилли!$AB:$AB,"&gt;31.12.2020",манзилли!$AA:$AA,"&gt;31.12.2020",манзилли!$AA:$AA,"&lt;01.01.2022",манзилли!$E:$E,"4"))</f>
        <v>130</v>
      </c>
      <c r="AH26" s="38">
        <f>(+SUMIFS(манзилли!$T:$T,манзилли!$D:$D,'свод (сектор вилоят)'!$B$22,манзилли!$AB:$AB,"&gt;31.12.2020",манзилли!$AA:$AA,"&gt;31.12.2020",манзилли!$AA:$AA,"&lt;01.01.2022",манзилли!$E:$E,"4"))</f>
        <v>0</v>
      </c>
      <c r="AI26" s="38">
        <f>(+SUMIFS(манзилли!$V:$V,манзилли!$D:$D,'свод (сектор вилоят)'!$B$22,манзилли!$AB:$AB,"&gt;31.12.2020",манзилли!$AA:$AA,"&gt;31.12.2020",манзилли!$AA:$AA,"&lt;01.01.2022",манзилли!$E:$E,"4"))</f>
        <v>0</v>
      </c>
      <c r="AJ26" s="39">
        <f>+SUMIFS(манзилли!$Z:$Z,манзилли!$D:$D,'свод (сектор вилоят)'!$B$22,манзилли!$AB:$AB,"&gt;31.12.2020",манзилли!$AA:$AA,"&gt;31.12.2020",манзилли!$AA:$AA,"&lt;01.01.2022",манзилли!$E:$E,"4")</f>
        <v>7</v>
      </c>
      <c r="AK26" s="37">
        <f>+COUNTIFS('Қўшимча ишга тушган'!$D:$D,'свод (сектор вилоят)'!B22,'Қўшимча ишга тушган'!$AO:$AO,"&lt;01.10.2023",манзилли!$E:$E,"4")</f>
        <v>0</v>
      </c>
      <c r="AL26" s="38">
        <f>(+SUMIFS('Қўшимча ишга тушган'!$T:$T,'Қўшимча ишга тушган'!$D:$D,'свод (сектор вилоят)'!$B$22,'Қўшимча ишга тушган'!$AO:$AO,"&lt;01.10.2023",манзилли!$E:$E,"4"))</f>
        <v>0</v>
      </c>
      <c r="AM26" s="38">
        <f>(+SUMIFS('Қўшимча ишга тушган'!$V:$V,'Қўшимча ишга тушган'!$D:$D,'свод (сектор вилоят)'!$B$22,'Қўшимча ишга тушган'!$AO:$AO,"&lt;01.10.2023",манзилли!$E:$E,"4"))</f>
        <v>0</v>
      </c>
      <c r="AN26" s="38">
        <f>(+SUMIFS('Қўшимча ишга тушган'!$Z:$Z,'Қўшимча ишга тушган'!$D:$D,'свод (сектор вилоят)'!$B$22,'Қўшимча ишга тушган'!$AO:$AO,"&lt;01.10.2023",манзилли!$E:$E,"4"))</f>
        <v>0</v>
      </c>
      <c r="AO26" s="38">
        <f>(+SUMIFS('Қўшимча ишга тушган'!$AB:$AB,'Қўшимча ишга тушган'!$D:$D,'свод (сектор вилоят)'!$B$22,'Қўшимча ишга тушган'!$AO:$AO,"&lt;01.10.2023",манзилли!$E:$E,"4"))</f>
        <v>0</v>
      </c>
      <c r="AP26" s="38">
        <f>(+SUMIFS('Қўшимча ишга тушган'!$AD:$AD,'Қўшимча ишга тушган'!$D:$D,'свод (сектор вилоят)'!$B$22,'Қўшимча ишга тушган'!$AO:$AO,"&lt;01.10.2023",манзилли!$E:$E,"4"))</f>
        <v>0</v>
      </c>
      <c r="AQ26" s="39">
        <f>+SUMIFS('Қўшимча ишга тушган'!$AM:$AM,'Қўшимча ишга тушган'!$D:$D,'свод (сектор вилоят)'!$B$22,'Қўшимча ишга тушган'!$AO:$AO,"&lt;01.10.2023",манзилли!$E:$E,"4")</f>
        <v>0</v>
      </c>
      <c r="AR26" s="37">
        <f>+COUNTIFS(манзилли!$D:$D,'свод (сектор вилоят)'!$B$22,манзилли!$AA:$AA,"&lt;01.02.2021",манзилли!$AB:$AB,"",манзилли!$E:$E,"4")</f>
        <v>0</v>
      </c>
      <c r="AS26" s="38">
        <f>(+SUMIFS(манзилли!$K:$K,манзилли!$D:$D,'свод (сектор вилоят)'!$B$22,манзилли!$AA:$AA,"&lt;01.02.2021",манзилли!$AB:$AB,"",манзилли!$E:$E,"4"))</f>
        <v>0</v>
      </c>
      <c r="AT26" s="38">
        <f>(+SUMIFS(манзилли!$M:$M,манзилли!$D:$D,'свод (сектор вилоят)'!$B$22,манзилли!$AA:$AA,"&lt;01.02.2021",манзилли!$AB:$AB,"",манзилли!$E:$E,"4"))</f>
        <v>0</v>
      </c>
      <c r="AU26" s="38">
        <f>(+SUMIFS(манзилли!$Q:$Q,манзилли!$D:$D,'свод (сектор вилоят)'!$B$22,манзилли!$AA:$AA,"&lt;01.02.2021",манзилли!$AB:$AB,"",манзилли!$E:$E,"4"))</f>
        <v>0</v>
      </c>
      <c r="AV26" s="38">
        <f>(+SUMIFS(манзилли!$S:$S,манзилли!$D:$D,'свод (сектор вилоят)'!$B$22,манзилли!$AA:$AA,"&lt;01.02.2021",манзилли!$AB:$AB,"",манзилли!$E:$E,"4"))</f>
        <v>0</v>
      </c>
      <c r="AW26" s="38">
        <f>(+SUMIFS(манзилли!$U:$U,манзилли!$D:$D,'свод (сектор вилоят)'!$B$22,манзилли!$AA:$AA,"&lt;01.02.2021",манзилли!$AB:$AB,"",манзилли!$E:$E,"4"))</f>
        <v>0</v>
      </c>
      <c r="AX26" s="39">
        <f>+SUMIFS(манзилли!$Y:$Y,манзилли!$D:$D,'свод (сектор вилоят)'!$B$22,манзилли!$AA:$AA,"&lt;01.02.2021",манзилли!$AB:$AB,"",манзилли!$E:$E,"4")</f>
        <v>0</v>
      </c>
      <c r="AY26" s="37">
        <f>+COUNTIFS(манзилли!$D:$D,'свод (сектор вилоят)'!$B$22,манзилли!$AA:$AA,"&lt;01.01.2022",манзилли!$AB:$AB,"",манзилли!$E:$E,"4")</f>
        <v>23</v>
      </c>
      <c r="AZ26" s="38">
        <f>(+SUMIFS(манзилли!$K:$K,манзилли!$D:$D,'свод (сектор вилоят)'!$B$22,манзилли!$AA:$AA,"&lt;01.01.2022",манзилли!$AB:$AB,"",манзилли!$E:$E,"4"))</f>
        <v>60222</v>
      </c>
      <c r="BA26" s="38">
        <f>(+SUMIFS(манзилли!$M:$M,манзилли!$D:$D,'свод (сектор вилоят)'!$B$22,манзилли!$AA:$AA,"&lt;01.01.2022",манзилли!$AB:$AB,"",манзилли!$E:$E,"4"))</f>
        <v>17910</v>
      </c>
      <c r="BB26" s="38">
        <f>(+SUMIFS(манзилли!$Q:$Q,манзилли!$D:$D,'свод (сектор вилоят)'!$B$22,манзилли!$AA:$AA,"&lt;01.01.2022",манзилли!$AB:$AB,"",манзилли!$E:$E,"4"))</f>
        <v>23390</v>
      </c>
      <c r="BC26" s="38">
        <f>(+SUMIFS(манзилли!$S:$S,манзилли!$D:$D,'свод (сектор вилоят)'!$B$22,манзилли!$AA:$AA,"&lt;01.01.2022",манзилли!$AB:$AB,"",манзилли!$E:$E,"4"))</f>
        <v>650</v>
      </c>
      <c r="BD26" s="38">
        <f>(+SUMIFS(манзилли!$U:$U,манзилли!$D:$D,'свод (сектор вилоят)'!$B$22,манзилли!$AA:$AA,"&lt;01.01.2022",манзилли!$AB:$AB,"",манзилли!$E:$E,"4"))</f>
        <v>1310</v>
      </c>
      <c r="BE26" s="39">
        <f>+SUMIFS(манзилли!$Y:$Y,манзилли!$D:$D,'свод (сектор вилоят)'!$B$22,манзилли!$AA:$AA,"&lt;01.01.2022",манзилли!$AB:$AB,"",манзилли!$E:$E,"4")</f>
        <v>230</v>
      </c>
      <c r="BF26" s="37">
        <f>+COUNTIFS(манзилли!$D:$D,'свод (сектор вилоят)'!$B$22,манзилли!$AA:$AA,"&lt;01.01.2023",манзилли!$AA:$AA,"&gt;=01.01.2022",манзилли!$E:$E,"4")</f>
        <v>11</v>
      </c>
      <c r="BG26" s="38">
        <f>(+SUMIFS(манзилли!$K:$K,манзилли!$D:$D,'свод (сектор вилоят)'!$B$22,манзилли!$AA:$AA,"&lt;01.01.2023",манзилли!$AA:$AA,"&gt;=01.01.2022",манзилли!$E:$E,"4"))</f>
        <v>103420</v>
      </c>
      <c r="BH26" s="38">
        <f>(+SUMIFS(манзилли!$M:$M,манзилли!$D:$D,'свод (сектор вилоят)'!$B$22,манзилли!$AA:$AA,"&lt;01.01.2023",манзилли!$AA:$AA,"&gt;=01.01.2022",манзилли!$E:$E,"4"))</f>
        <v>35850</v>
      </c>
      <c r="BI26" s="38">
        <f>(+SUMIFS(манзилли!$Q:$Q,манзилли!$D:$D,'свод (сектор вилоят)'!$B$22,манзилли!$AA:$AA,"&lt;01.01.2023",манзилли!$AA:$AA,"&gt;=01.01.2022",манзилли!$E:$E,"4"))</f>
        <v>60160</v>
      </c>
      <c r="BJ26" s="38">
        <f>(+SUMIFS(манзилли!$S:$S,манзилли!$D:$D,'свод (сектор вилоят)'!$B$22,манзилли!$AA:$AA,"&lt;01.01.2023",манзилли!$AA:$AA,"&gt;=01.01.2022",манзилли!$E:$E,"4"))</f>
        <v>780</v>
      </c>
      <c r="BK26" s="38">
        <f>(+SUMIFS(манзилли!$U:$U,манзилли!$D:$D,'свод (сектор вилоят)'!$B$22,манзилли!$AA:$AA,"&lt;01.01.2023",манзилли!$AA:$AA,"&gt;=01.01.2022",манзилли!$E:$E,"4"))</f>
        <v>0</v>
      </c>
      <c r="BL26" s="39">
        <f>+SUMIFS(манзилли!$Y:$Y,манзилли!$D:$D,'свод (сектор вилоят)'!$B$22,манзилли!$AA:$AA,"&lt;01.01.2023",манзилли!$AA:$AA,"&gt;=01.01.2022",манзилли!$E:$E,"4")</f>
        <v>407</v>
      </c>
    </row>
    <row r="27" spans="1:64" s="3" customFormat="1" ht="39.75" customHeight="1" thickBot="1">
      <c r="A27" s="53">
        <v>5</v>
      </c>
      <c r="B27" s="54" t="s">
        <v>212</v>
      </c>
      <c r="C27" s="41">
        <f>+SUM(C28:C31)</f>
        <v>52</v>
      </c>
      <c r="D27" s="41">
        <f t="shared" ref="D27" si="221">+SUM(D28:D31)</f>
        <v>245577.5</v>
      </c>
      <c r="E27" s="41">
        <f t="shared" ref="E27" si="222">+SUM(E28:E31)</f>
        <v>67534</v>
      </c>
      <c r="F27" s="41">
        <f t="shared" ref="F27" si="223">+SUM(F28:F31)</f>
        <v>59644</v>
      </c>
      <c r="G27" s="41">
        <f t="shared" ref="G27" si="224">+SUM(G28:G31)</f>
        <v>8365</v>
      </c>
      <c r="H27" s="41">
        <f t="shared" ref="H27" si="225">+SUM(H28:H31)</f>
        <v>500</v>
      </c>
      <c r="I27" s="41">
        <f t="shared" ref="I27" si="226">+SUM(I28:I31)</f>
        <v>400</v>
      </c>
      <c r="J27" s="41">
        <f t="shared" ref="J27" si="227">+SUM(J28:J31)</f>
        <v>40</v>
      </c>
      <c r="K27" s="41">
        <f t="shared" ref="K27" si="228">+SUM(K28:K31)</f>
        <v>75847.7</v>
      </c>
      <c r="L27" s="41">
        <f t="shared" ref="L27" si="229">+SUM(L28:L31)</f>
        <v>20467</v>
      </c>
      <c r="M27" s="41">
        <f t="shared" ref="M27" si="230">+SUM(M28:M31)</f>
        <v>34695.5</v>
      </c>
      <c r="N27" s="41">
        <f t="shared" ref="N27" si="231">+SUM(N28:N31)</f>
        <v>2021</v>
      </c>
      <c r="O27" s="41">
        <f t="shared" ref="O27" si="232">+SUM(O28:O31)</f>
        <v>0</v>
      </c>
      <c r="P27" s="41">
        <f t="shared" ref="P27" si="233">+SUM(P28:P31)</f>
        <v>45</v>
      </c>
      <c r="Q27" s="41">
        <f t="shared" ref="Q27" si="234">+SUM(Q28:Q31)</f>
        <v>190108</v>
      </c>
      <c r="R27" s="41">
        <f t="shared" ref="R27" si="235">+SUM(R28:R31)</f>
        <v>53834</v>
      </c>
      <c r="S27" s="41">
        <f t="shared" ref="S27" si="236">+SUM(S28:S31)</f>
        <v>58644</v>
      </c>
      <c r="T27" s="41">
        <f t="shared" ref="T27" si="237">+SUM(T28:T31)</f>
        <v>5100</v>
      </c>
      <c r="U27" s="41">
        <f t="shared" ref="U27" si="238">+SUM(U28:U31)</f>
        <v>0</v>
      </c>
      <c r="V27" s="41">
        <f t="shared" ref="V27" si="239">+SUM(V28:V31)</f>
        <v>280</v>
      </c>
      <c r="W27" s="41">
        <f t="shared" ref="W27" si="240">+SUM(W28:W31)</f>
        <v>3</v>
      </c>
      <c r="X27" s="41">
        <f t="shared" ref="X27" si="241">+SUM(X28:X31)</f>
        <v>21350</v>
      </c>
      <c r="Y27" s="41">
        <f t="shared" ref="Y27" si="242">+SUM(Y28:Y31)</f>
        <v>16400</v>
      </c>
      <c r="Z27" s="41">
        <f t="shared" ref="Z27" si="243">+SUM(Z28:Z31)</f>
        <v>4950</v>
      </c>
      <c r="AA27" s="41">
        <f t="shared" ref="AA27" si="244">+SUM(AA28:AA31)</f>
        <v>0</v>
      </c>
      <c r="AB27" s="41">
        <f t="shared" ref="AB27" si="245">+SUM(AB28:AB31)</f>
        <v>0</v>
      </c>
      <c r="AC27" s="41">
        <f t="shared" ref="AC27" si="246">+SUM(AC28:AC31)</f>
        <v>42</v>
      </c>
      <c r="AD27" s="41">
        <f t="shared" ref="AD27" si="247">+SUM(AD28:AD31)</f>
        <v>3</v>
      </c>
      <c r="AE27" s="41">
        <f t="shared" ref="AE27" si="248">+SUM(AE28:AE31)</f>
        <v>21350</v>
      </c>
      <c r="AF27" s="41">
        <f t="shared" ref="AF27" si="249">+SUM(AF28:AF31)</f>
        <v>16400</v>
      </c>
      <c r="AG27" s="41">
        <f t="shared" ref="AG27" si="250">+SUM(AG28:AG31)</f>
        <v>4950</v>
      </c>
      <c r="AH27" s="41">
        <f t="shared" ref="AH27" si="251">+SUM(AH28:AH31)</f>
        <v>0</v>
      </c>
      <c r="AI27" s="41">
        <f t="shared" ref="AI27" si="252">+SUM(AI28:AI31)</f>
        <v>0</v>
      </c>
      <c r="AJ27" s="41">
        <f t="shared" ref="AJ27" si="253">+SUM(AJ28:AJ31)</f>
        <v>42</v>
      </c>
      <c r="AK27" s="41">
        <f t="shared" ref="AK27" si="254">+SUM(AK28:AK31)</f>
        <v>0</v>
      </c>
      <c r="AL27" s="41">
        <f t="shared" ref="AL27" si="255">+SUM(AL28:AL31)</f>
        <v>0</v>
      </c>
      <c r="AM27" s="41">
        <f t="shared" ref="AM27" si="256">+SUM(AM28:AM31)</f>
        <v>0</v>
      </c>
      <c r="AN27" s="41">
        <f t="shared" ref="AN27" si="257">+SUM(AN28:AN31)</f>
        <v>0</v>
      </c>
      <c r="AO27" s="41">
        <f t="shared" ref="AO27" si="258">+SUM(AO28:AO31)</f>
        <v>0</v>
      </c>
      <c r="AP27" s="41">
        <f t="shared" ref="AP27" si="259">+SUM(AP28:AP31)</f>
        <v>0</v>
      </c>
      <c r="AQ27" s="41">
        <f t="shared" ref="AQ27" si="260">+SUM(AQ28:AQ31)</f>
        <v>0</v>
      </c>
      <c r="AR27" s="41">
        <f t="shared" ref="AR27" si="261">+SUM(AR28:AR31)</f>
        <v>0</v>
      </c>
      <c r="AS27" s="41">
        <f t="shared" ref="AS27" si="262">+SUM(AS28:AS31)</f>
        <v>0</v>
      </c>
      <c r="AT27" s="41">
        <f t="shared" ref="AT27" si="263">+SUM(AT28:AT31)</f>
        <v>0</v>
      </c>
      <c r="AU27" s="41">
        <f t="shared" ref="AU27" si="264">+SUM(AU28:AU31)</f>
        <v>0</v>
      </c>
      <c r="AV27" s="41">
        <f t="shared" ref="AV27" si="265">+SUM(AV28:AV31)</f>
        <v>0</v>
      </c>
      <c r="AW27" s="41">
        <f t="shared" ref="AW27" si="266">+SUM(AW28:AW31)</f>
        <v>0</v>
      </c>
      <c r="AX27" s="41">
        <f t="shared" ref="AX27" si="267">+SUM(AX28:AX31)</f>
        <v>0</v>
      </c>
      <c r="AY27" s="41">
        <f t="shared" ref="AY27" si="268">+SUM(AY28:AY31)</f>
        <v>40</v>
      </c>
      <c r="AZ27" s="41">
        <f t="shared" ref="AZ27" si="269">+SUM(AZ28:AZ31)</f>
        <v>166299</v>
      </c>
      <c r="BA27" s="41">
        <f t="shared" ref="BA27" si="270">+SUM(BA28:BA31)</f>
        <v>43234</v>
      </c>
      <c r="BB27" s="41">
        <f t="shared" ref="BB27" si="271">+SUM(BB28:BB31)</f>
        <v>46285</v>
      </c>
      <c r="BC27" s="41">
        <f t="shared" ref="BC27" si="272">+SUM(BC28:BC31)</f>
        <v>5100</v>
      </c>
      <c r="BD27" s="41">
        <f t="shared" ref="BD27" si="273">+SUM(BD28:BD31)</f>
        <v>0</v>
      </c>
      <c r="BE27" s="41">
        <f t="shared" ref="BE27" si="274">+SUM(BE28:BE31)</f>
        <v>228</v>
      </c>
      <c r="BF27" s="41">
        <f t="shared" ref="BF27" si="275">+SUM(BF28:BF31)</f>
        <v>2</v>
      </c>
      <c r="BG27" s="41">
        <f t="shared" ref="BG27" si="276">+SUM(BG28:BG31)</f>
        <v>51110</v>
      </c>
      <c r="BH27" s="41">
        <f t="shared" ref="BH27" si="277">+SUM(BH28:BH31)</f>
        <v>13000</v>
      </c>
      <c r="BI27" s="41">
        <f t="shared" ref="BI27" si="278">+SUM(BI28:BI31)</f>
        <v>0</v>
      </c>
      <c r="BJ27" s="41">
        <f t="shared" ref="BJ27" si="279">+SUM(BJ28:BJ31)</f>
        <v>3200</v>
      </c>
      <c r="BK27" s="41">
        <f t="shared" ref="BK27" si="280">+SUM(BK28:BK31)</f>
        <v>500</v>
      </c>
      <c r="BL27" s="43">
        <f t="shared" ref="BL27" si="281">+SUM(BL28:BL31)</f>
        <v>110</v>
      </c>
    </row>
    <row r="28" spans="1:64" s="3" customFormat="1" ht="39.75" customHeight="1">
      <c r="A28" s="52"/>
      <c r="B28" s="50" t="s">
        <v>1771</v>
      </c>
      <c r="C28" s="46">
        <f>+COUNTIFS(манзилли!$D:$D,'свод (сектор вилоят)'!$B$27,манзилли!$E:$E,"1")</f>
        <v>24</v>
      </c>
      <c r="D28" s="47">
        <f>(+SUMIFS(манзилли!$K:$K,манзилли!$D:$D,'свод (сектор вилоят)'!$B$27,манзилли!$E:$E,"1"))</f>
        <v>49692.5</v>
      </c>
      <c r="E28" s="47">
        <f>(+SUMIFS(манзилли!$M:$M,манзилли!$D:$D,'свод (сектор вилоят)'!$B$27,манзилли!$E:$E,"1"))</f>
        <v>13200</v>
      </c>
      <c r="F28" s="47">
        <f>(+SUMIFS(манзилли!$Q:$Q,манзилли!$D:$D,'свод (сектор вилоят)'!$B$27,манзилли!$E:$E,"1"))</f>
        <v>23073</v>
      </c>
      <c r="G28" s="47">
        <f>(+SUMIFS(манзилли!$S:$S,манзилли!$D:$D,'свод (сектор вилоят)'!$B$27,манзилли!$E:$E,"1"))</f>
        <v>65</v>
      </c>
      <c r="H28" s="47">
        <f>(+SUMIFS(манзилли!$U:$U,манзилли!$D:$D,'свод (сектор вилоят)'!$B$27,манзилли!$E:$E,"1"))</f>
        <v>0</v>
      </c>
      <c r="I28" s="48">
        <f>+SUMIFS(манзилли!$Y:$Y,манзилли!$D:$D,'свод (сектор вилоят)'!$B$27,манзилли!$E:$E,"1")</f>
        <v>161</v>
      </c>
      <c r="J28" s="46">
        <f>(+COUNTIFS(манзилли!$L:$L,"&gt;0",манзилли!$D:$D,'свод (сектор вилоят)'!$B$27,манзилли!$E:$E,"1")+COUNTIFS('Қўшимча ишга тушган'!$T:$T,"&gt;0",'Қўшимча ишга тушган'!$D:$D,'свод (сектор вилоят)'!$B$27,'Қўшимча ишга тушган'!$E:$E,"1"))</f>
        <v>19</v>
      </c>
      <c r="K28" s="48">
        <f>(+SUMIFS(манзилли!$L:$L,манзилли!$D:$D,'свод (сектор вилоят)'!$B$27,манзилли!$E:$E,"1")+SUMIFS('Қўшимча ишга тушган'!$T:$T,'Қўшимча ишга тушган'!$D:$D,'свод (сектор вилоят)'!$B$27,'Қўшимча ишга тушган'!$E:$E,"1"))</f>
        <v>29156.2</v>
      </c>
      <c r="L28" s="49">
        <f>(+SUMIFS(манзилли!$N:$N,манзилли!$D:$D,'свод (сектор вилоят)'!$B$27,манзилли!$E:$E,"1")+SUMIFS('Қўшимча ишга тушган'!$V:$V,'Қўшимча ишга тушган'!$D:$D,'свод (сектор вилоят)'!$B$27,'Қўшимча ишга тушган'!$E:$E,"1"))</f>
        <v>14840</v>
      </c>
      <c r="M28" s="47">
        <f>(+SUMIFS(манзилли!$R:$R,манзилли!$D:$D,'свод (сектор вилоят)'!$B$27,манзилли!$E:$E,"1")+SUMIFS('Қўшимча ишга тушган'!$Z:$Z,'Қўшимча ишга тушган'!$D:$D,'свод (сектор вилоят)'!$B$27,'Қўшимча ишга тушган'!$E:$E,"1"))</f>
        <v>9951</v>
      </c>
      <c r="N28" s="47">
        <f>(+SUMIFS(манзилли!$T:$T,манзилли!$D:$D,'свод (сектор вилоят)'!$B$27,манзилли!$E:$E,"1")+SUMIFS('Қўшимча ишга тушган'!$AB:$AB,'Қўшимча ишга тушган'!$D:$D,'свод (сектор вилоят)'!$B$27,'Қўшимча ишга тушган'!$E:$E,"1"))</f>
        <v>421</v>
      </c>
      <c r="O28" s="48">
        <f>(+SUMIFS(манзилли!$V:$V,манзилли!$D:$D,'свод (сектор вилоят)'!$B$27,манзилли!$E:$E,"1")+SUMIFS('Қўшимча ишга тушган'!$AD:$AD,'Қўшимча ишга тушган'!$D:$D,'свод (сектор вилоят)'!$B$27,'Қўшимча ишга тушган'!$E:$E,"1"))</f>
        <v>0</v>
      </c>
      <c r="P28" s="46">
        <f>+COUNTIFS(манзилли!$D:$D,'свод (сектор вилоят)'!$B$27,манзилли!$AA:$AA,"&gt;31.12.2020",манзилли!$AA:$AA,"&lt;01.01.2022",манзилли!$E:$E,"1")</f>
        <v>22</v>
      </c>
      <c r="Q28" s="47">
        <f>(+SUMIFS(манзилли!$K:$K,манзилли!$D:$D,'свод (сектор вилоят)'!$B$27,манзилли!$AA:$AA,"&gt;31.12.2020",манзилли!$AA:$AA,"&lt;01.01.2022",манзилли!$E:$E,"1"))</f>
        <v>47723</v>
      </c>
      <c r="R28" s="47">
        <f>(+SUMIFS(манзилли!$M:$M,манзилли!$D:$D,'свод (сектор вилоят)'!$B$27,манзилли!$AA:$AA,"&gt;31.12.2020",манзилли!$AA:$AA,"&lt;01.01.2022",манзилли!$E:$E,"1"))</f>
        <v>13000</v>
      </c>
      <c r="S28" s="47">
        <f>(+SUMIFS(манзилли!$Q:$Q,манзилли!$D:$D,'свод (сектор вилоят)'!$B$27,манзилли!$AA:$AA,"&gt;31.12.2020",манзилли!$AA:$AA,"&lt;01.01.2022",манзилли!$E:$E,"1"))</f>
        <v>23073</v>
      </c>
      <c r="T28" s="47">
        <f>(+SUMIFS(манзилли!$S:$S,манзилли!$D:$D,'свод (сектор вилоят)'!$B$27,манзилли!$AA:$AA,"&gt;31.12.2020",манзилли!$AA:$AA,"&lt;01.01.2022",манзилли!$E:$E,"1"))</f>
        <v>0</v>
      </c>
      <c r="U28" s="47">
        <f>(+SUMIFS(манзилли!$U:$U,манзилли!$D:$D,'свод (сектор вилоят)'!$B$27,манзилли!$AA:$AA,"&gt;31.12.2020",манзилли!$AA:$AA,"&lt;01.01.2022",манзилли!$E:$E,"1"))</f>
        <v>0</v>
      </c>
      <c r="V28" s="48">
        <f>+SUMIFS(манзилли!$Y:$Y,манзилли!$D:$D,'свод (сектор вилоят)'!$B$27,манзилли!$AA:$AA,"&gt;31.12.2020",манзилли!$AA:$AA,"&lt;01.01.2022",манзилли!$E:$E,"1")</f>
        <v>153</v>
      </c>
      <c r="W28" s="46">
        <f>+AD28+AK28</f>
        <v>1</v>
      </c>
      <c r="X28" s="47">
        <f t="shared" ref="X28:X31" si="282">+AE28+AL28</f>
        <v>16000</v>
      </c>
      <c r="Y28" s="47">
        <f t="shared" ref="Y28:Y31" si="283">+AF28+AM28</f>
        <v>12600</v>
      </c>
      <c r="Z28" s="47">
        <f t="shared" ref="Z28:Z31" si="284">+AG28+AN28</f>
        <v>3400</v>
      </c>
      <c r="AA28" s="47">
        <f t="shared" ref="AA28:AA31" si="285">+AH28+AO28</f>
        <v>0</v>
      </c>
      <c r="AB28" s="47">
        <f t="shared" ref="AB28:AB31" si="286">+AI28+AP28</f>
        <v>0</v>
      </c>
      <c r="AC28" s="48">
        <f t="shared" ref="AC28:AC31" si="287">+AJ28+AQ28</f>
        <v>24</v>
      </c>
      <c r="AD28" s="46">
        <f>+COUNTIFS(манзилли!$D:$D,'свод (сектор вилоят)'!$B$27,манзилли!$AB:$AB,"&gt;31.12.2020",манзилли!$AA:$AA,"&gt;31.12.2020",манзилли!$AA:$AA,"&lt;01.01.2022",манзилли!$E:$E,"1")</f>
        <v>1</v>
      </c>
      <c r="AE28" s="47">
        <f>(+SUMIFS(манзилли!$L:$L,манзилли!$D:$D,'свод (сектор вилоят)'!$B$27,манзилли!$AB:$AB,"&gt;31.12.2020",манзилли!$AA:$AA,"&gt;31.12.2020",манзилли!$AA:$AA,"&lt;01.01.2022",манзилли!$E:$E,"1"))</f>
        <v>16000</v>
      </c>
      <c r="AF28" s="47">
        <f>(+SUMIFS(манзилли!$N:$N,манзилли!$D:$D,'свод (сектор вилоят)'!$B$27,манзилли!$AB:$AB,"&gt;31.12.2020",манзилли!$AA:$AA,"&gt;31.12.2020",манзилли!$AA:$AA,"&lt;01.01.2022",манзилли!$E:$E,"1"))</f>
        <v>12600</v>
      </c>
      <c r="AG28" s="47">
        <f>(+SUMIFS(манзилли!$R:$R,манзилли!$D:$D,'свод (сектор вилоят)'!$B$27,манзилли!$AB:$AB,"&gt;31.12.2020",манзилли!$AA:$AA,"&gt;31.12.2020",манзилли!$AA:$AA,"&lt;01.01.2022",манзилли!$E:$E,"1"))</f>
        <v>3400</v>
      </c>
      <c r="AH28" s="47">
        <f>(+SUMIFS(манзилли!$T:$T,манзилли!$D:$D,'свод (сектор вилоят)'!$B$27,манзилли!$AB:$AB,"&gt;31.12.2020",манзилли!$AA:$AA,"&gt;31.12.2020",манзилли!$AA:$AA,"&lt;01.01.2022",манзилли!$E:$E,"1"))</f>
        <v>0</v>
      </c>
      <c r="AI28" s="47">
        <f>(+SUMIFS(манзилли!$V:$V,манзилли!$D:$D,'свод (сектор вилоят)'!$B$27,манзилли!$AB:$AB,"&gt;31.12.2020",манзилли!$AA:$AA,"&gt;31.12.2020",манзилли!$AA:$AA,"&lt;01.01.2022",манзилли!$E:$E,"1"))</f>
        <v>0</v>
      </c>
      <c r="AJ28" s="48">
        <f>+SUMIFS(манзилли!$Z:$Z,манзилли!$D:$D,'свод (сектор вилоят)'!$B$27,манзилли!$AB:$AB,"&gt;31.12.2020",манзилли!$AA:$AA,"&gt;31.12.2020",манзилли!$AA:$AA,"&lt;01.01.2022",манзилли!$E:$E,"1")</f>
        <v>24</v>
      </c>
      <c r="AK28" s="46">
        <f>+COUNTIFS('Қўшимча ишга тушган'!$D:$D,'свод (сектор вилоят)'!B27,'Қўшимча ишга тушган'!$AO:$AO,"&lt;01.10.2023",манзилли!$E:$E,"1")</f>
        <v>0</v>
      </c>
      <c r="AL28" s="47">
        <f>(+SUMIFS('Қўшимча ишга тушган'!$T:$T,'Қўшимча ишга тушган'!$D:$D,'свод (сектор вилоят)'!$B$27,'Қўшимча ишга тушган'!$AO:$AO,"&lt;01.10.2023",манзилли!$E:$E,"1"))</f>
        <v>0</v>
      </c>
      <c r="AM28" s="47">
        <f>(+SUMIFS('Қўшимча ишга тушган'!$V:$V,'Қўшимча ишга тушган'!$D:$D,'свод (сектор вилоят)'!$B$27,'Қўшимча ишга тушган'!$AO:$AO,"&lt;01.10.2023",манзилли!$E:$E,"1"))</f>
        <v>0</v>
      </c>
      <c r="AN28" s="47">
        <f>(+SUMIFS('Қўшимча ишга тушган'!$Z:$Z,'Қўшимча ишга тушган'!$D:$D,'свод (сектор вилоят)'!$B$27,'Қўшимча ишга тушган'!$AO:$AO,"&lt;01.10.2023",манзилли!$E:$E,"1"))</f>
        <v>0</v>
      </c>
      <c r="AO28" s="47">
        <f>(+SUMIFS('Қўшимча ишга тушган'!$AB:$AB,'Қўшимча ишга тушган'!$D:$D,'свод (сектор вилоят)'!$B$27,'Қўшимча ишга тушган'!$AO:$AO,"&lt;01.10.2023",манзилли!$E:$E,"1"))</f>
        <v>0</v>
      </c>
      <c r="AP28" s="47">
        <f>(+SUMIFS('Қўшимча ишга тушган'!$AD:$AD,'Қўшимча ишга тушган'!$D:$D,'свод (сектор вилоят)'!$B$27,'Қўшимча ишга тушган'!$AO:$AO,"&lt;01.10.2023",манзилли!$E:$E,"1"))</f>
        <v>0</v>
      </c>
      <c r="AQ28" s="48">
        <f>+SUMIFS('Қўшимча ишга тушган'!$AM:$AM,'Қўшимча ишга тушган'!$D:$D,'свод (сектор вилоят)'!$B$27,'Қўшимча ишга тушган'!$AO:$AO,"&lt;01.10.2023",манзилли!$E:$E,"1")</f>
        <v>0</v>
      </c>
      <c r="AR28" s="46">
        <f>+COUNTIFS(манзилли!$D:$D,'свод (сектор вилоят)'!$B$27,манзилли!$AA:$AA,"&lt;01.02.2021",манзилли!$AB:$AB,"",манзилли!$E:$E,"1")</f>
        <v>0</v>
      </c>
      <c r="AS28" s="47">
        <f>(+SUMIFS(манзилли!$K:$K,манзилли!$D:$D,'свод (сектор вилоят)'!$B$27,манзилли!$AA:$AA,"&lt;01.02.2021",манзилли!$AB:$AB,"",манзилли!$E:$E,"1"))</f>
        <v>0</v>
      </c>
      <c r="AT28" s="47">
        <f>(+SUMIFS(манзилли!$M:$M,манзилли!$D:$D,'свод (сектор вилоят)'!$B$27,манзилли!$AA:$AA,"&lt;01.02.2021",манзилли!$AB:$AB,"",манзилли!$E:$E,"1"))</f>
        <v>0</v>
      </c>
      <c r="AU28" s="47">
        <f>(+SUMIFS(манзилли!$Q:$Q,манзилли!$D:$D,'свод (сектор вилоят)'!$B$27,манзилли!$AA:$AA,"&lt;01.02.2021",манзилли!$AB:$AB,"",манзилли!$E:$E,"1"))</f>
        <v>0</v>
      </c>
      <c r="AV28" s="47">
        <f>(+SUMIFS(манзилли!$S:$S,манзилли!$D:$D,'свод (сектор вилоят)'!$B$27,манзилли!$AA:$AA,"&lt;01.02.2021",манзилли!$AB:$AB,"",манзилли!$E:$E,"1"))</f>
        <v>0</v>
      </c>
      <c r="AW28" s="47">
        <f>(+SUMIFS(манзилли!$U:$U,манзилли!$D:$D,'свод (сектор вилоят)'!$B$27,манзилли!$AA:$AA,"&lt;01.02.2021",манзилли!$AB:$AB,"",манзилли!$E:$E,"1"))</f>
        <v>0</v>
      </c>
      <c r="AX28" s="48">
        <f>+SUMIFS(манзилли!$Y:$Y,манзилли!$D:$D,'свод (сектор вилоят)'!$B$27,манзилли!$AA:$AA,"&lt;01.02.2021",манзилли!$AB:$AB,"",манзилли!$E:$E,"1")</f>
        <v>0</v>
      </c>
      <c r="AY28" s="46">
        <f>+COUNTIFS(манзилли!$D:$D,'свод (сектор вилоят)'!$B$27,манзилли!$AA:$AA,"&lt;01.01.2022",манзилли!$AB:$AB,"",манзилли!$E:$E,"1")</f>
        <v>20</v>
      </c>
      <c r="AZ28" s="47">
        <f>(+SUMIFS(манзилли!$K:$K,манзилли!$D:$D,'свод (сектор вилоят)'!$B$27,манзилли!$AA:$AA,"&lt;01.01.2022",манзилли!$AB:$AB,"",манзилли!$E:$E,"1"))</f>
        <v>31400</v>
      </c>
      <c r="BA28" s="47">
        <f>(+SUMIFS(манзилли!$M:$M,манзилли!$D:$D,'свод (сектор вилоят)'!$B$27,манзилли!$AA:$AA,"&lt;01.01.2022",манзилли!$AB:$AB,"",манзилли!$E:$E,"1"))</f>
        <v>5900</v>
      </c>
      <c r="BB28" s="47">
        <f>(+SUMIFS(манзилли!$Q:$Q,манзилли!$D:$D,'свод (сектор вилоят)'!$B$27,манзилли!$AA:$AA,"&lt;01.01.2022",манзилли!$AB:$AB,"",манзилли!$E:$E,"1"))</f>
        <v>13850</v>
      </c>
      <c r="BC28" s="47">
        <f>(+SUMIFS(манзилли!$S:$S,манзилли!$D:$D,'свод (сектор вилоят)'!$B$27,манзилли!$AA:$AA,"&lt;01.01.2022",манзилли!$AB:$AB,"",манзилли!$E:$E,"1"))</f>
        <v>0</v>
      </c>
      <c r="BD28" s="47">
        <f>(+SUMIFS(манзилли!$U:$U,манзилли!$D:$D,'свод (сектор вилоят)'!$B$27,манзилли!$AA:$AA,"&lt;01.01.2022",манзилли!$AB:$AB,"",манзилли!$E:$E,"1"))</f>
        <v>0</v>
      </c>
      <c r="BE28" s="48">
        <f>+SUMIFS(манзилли!$Y:$Y,манзилли!$D:$D,'свод (сектор вилоят)'!$B$27,манзилли!$AA:$AA,"&lt;01.01.2022",манзилли!$AB:$AB,"",манзилли!$E:$E,"1")</f>
        <v>123</v>
      </c>
      <c r="BF28" s="46">
        <f>+COUNTIFS(манзилли!$D:$D,'свод (сектор вилоят)'!$B$27,манзилли!$AA:$AA,"&lt;01.01.2023",манзилли!$AA:$AA,"&gt;=01.01.2022",манзилли!$E:$E,"1")</f>
        <v>0</v>
      </c>
      <c r="BG28" s="47">
        <f>(+SUMIFS(манзилли!$K:$K,манзилли!$D:$D,'свод (сектор вилоят)'!$B$27,манзилли!$AA:$AA,"&lt;01.01.2023",манзилли!$AA:$AA,"&gt;=01.01.2022",манзилли!$E:$E,"1"))</f>
        <v>0</v>
      </c>
      <c r="BH28" s="47">
        <f>(+SUMIFS(манзилли!$M:$M,манзилли!$D:$D,'свод (сектор вилоят)'!$B$27,манзилли!$AA:$AA,"&lt;01.01.2023",манзилли!$AA:$AA,"&gt;=01.01.2022",манзилли!$E:$E,"1"))</f>
        <v>0</v>
      </c>
      <c r="BI28" s="47">
        <f>(+SUMIFS(манзилли!$Q:$Q,манзилли!$D:$D,'свод (сектор вилоят)'!$B$27,манзилли!$AA:$AA,"&lt;01.01.2023",манзилли!$AA:$AA,"&gt;=01.01.2022",манзилли!$E:$E,"1"))</f>
        <v>0</v>
      </c>
      <c r="BJ28" s="47">
        <f>(+SUMIFS(манзилли!$S:$S,манзилли!$D:$D,'свод (сектор вилоят)'!$B$27,манзилли!$AA:$AA,"&lt;01.01.2023",манзилли!$AA:$AA,"&gt;=01.01.2022",манзилли!$E:$E,"1"))</f>
        <v>0</v>
      </c>
      <c r="BK28" s="47">
        <f>(+SUMIFS(манзилли!$U:$U,манзилли!$D:$D,'свод (сектор вилоят)'!$B$27,манзилли!$AA:$AA,"&lt;01.01.2023",манзилли!$AA:$AA,"&gt;=01.01.2022",манзилли!$E:$E,"1"))</f>
        <v>0</v>
      </c>
      <c r="BL28" s="48">
        <f>+SUMIFS(манзилли!$Y:$Y,манзилли!$D:$D,'свод (сектор вилоят)'!$B$27,манзилли!$AA:$AA,"&lt;01.01.2023",манзилли!$AA:$AA,"&gt;=01.01.2022",манзилли!$E:$E,"1")</f>
        <v>0</v>
      </c>
    </row>
    <row r="29" spans="1:64" s="3" customFormat="1" ht="39.75" customHeight="1">
      <c r="A29" s="51"/>
      <c r="B29" s="27" t="s">
        <v>1772</v>
      </c>
      <c r="C29" s="28">
        <f>+COUNTIFS(манзилли!$D:$D,'свод (сектор вилоят)'!$B$27,манзилли!$E:$E,"2")</f>
        <v>12</v>
      </c>
      <c r="D29" s="29">
        <f>(+SUMIFS(манзилли!$K:$K,манзилли!$D:$D,'свод (сектор вилоят)'!$B$27,манзилли!$E:$E,"2"))</f>
        <v>24020</v>
      </c>
      <c r="E29" s="29">
        <f>(+SUMIFS(манзилли!$M:$M,манзилли!$D:$D,'свод (сектор вилоят)'!$B$27,манзилли!$E:$E,"2"))</f>
        <v>5850</v>
      </c>
      <c r="F29" s="29">
        <f>(+SUMIFS(манзилли!$Q:$Q,манзилли!$D:$D,'свод (сектор вилоят)'!$B$27,манзилли!$E:$E,"2"))</f>
        <v>6500</v>
      </c>
      <c r="G29" s="29">
        <f>(+SUMIFS(манзилли!$S:$S,манзилли!$D:$D,'свод (сектор вилоят)'!$B$27,манзилли!$E:$E,"2"))</f>
        <v>0</v>
      </c>
      <c r="H29" s="29">
        <f>(+SUMIFS(манзилли!$U:$U,манзилли!$D:$D,'свод (сектор вилоят)'!$B$27,манзилли!$E:$E,"2"))</f>
        <v>0</v>
      </c>
      <c r="I29" s="30">
        <f>+SUMIFS(манзилли!$Y:$Y,манзилли!$D:$D,'свод (сектор вилоят)'!$B$27,манзилли!$E:$E,"2")</f>
        <v>62</v>
      </c>
      <c r="J29" s="28">
        <f>(+COUNTIFS(манзилли!$L:$L,"&gt;0",манзилли!$D:$D,'свод (сектор вилоят)'!$B$27,манзилли!$E:$E,"2")+COUNTIFS('Қўшимча ишга тушган'!$T:$T,"&gt;0",'Қўшимча ишга тушган'!$D:$D,'свод (сектор вилоят)'!$B$27,'Қўшимча ишга тушган'!$E:$E,"2"))</f>
        <v>10</v>
      </c>
      <c r="K29" s="30">
        <f>(+SUMIFS(манзилли!$L:$L,манзилли!$D:$D,'свод (сектор вилоят)'!$B$27,манзилли!$E:$E,"2")+SUMIFS('Қўшимча ишга тушган'!$T:$T,'Қўшимча ишга тушган'!$D:$D,'свод (сектор вилоят)'!$B$27,'Қўшимча ишга тушган'!$E:$E,"2"))</f>
        <v>13566.5</v>
      </c>
      <c r="L29" s="31">
        <f>(+SUMIFS(манзилли!$N:$N,манзилли!$D:$D,'свод (сектор вилоят)'!$B$27,манзилли!$E:$E,"2")+SUMIFS('Қўшимча ишга тушган'!$V:$V,'Қўшимча ишга тушган'!$D:$D,'свод (сектор вилоят)'!$B$27,'Қўшимча ишга тушган'!$E:$E,"2"))</f>
        <v>3107</v>
      </c>
      <c r="M29" s="29">
        <f>(+SUMIFS(манзилли!$R:$R,манзилли!$D:$D,'свод (сектор вилоят)'!$B$27,манзилли!$E:$E,"2")+SUMIFS('Қўшимча ишга тушган'!$Z:$Z,'Қўшимча ишга тушган'!$D:$D,'свод (сектор вилоят)'!$B$27,'Қўшимча ишга тушган'!$E:$E,"2"))</f>
        <v>5869.5</v>
      </c>
      <c r="N29" s="29">
        <f>(+SUMIFS(манзилли!$T:$T,манзилли!$D:$D,'свод (сектор вилоят)'!$B$27,манзилли!$E:$E,"2")+SUMIFS('Қўшимча ишга тушган'!$AB:$AB,'Қўшимча ишга тушган'!$D:$D,'свод (сектор вилоят)'!$B$27,'Қўшимча ишга тушган'!$E:$E,"2"))</f>
        <v>450</v>
      </c>
      <c r="O29" s="30">
        <f>(+SUMIFS(манзилли!$V:$V,манзилли!$D:$D,'свод (сектор вилоят)'!$B$27,манзилли!$E:$E,"2")+SUMIFS('Қўшимча ишга тушган'!$AD:$AD,'Қўшимча ишга тушган'!$D:$D,'свод (сектор вилоят)'!$B$27,'Қўшимча ишга тушган'!$E:$E,"2"))</f>
        <v>0</v>
      </c>
      <c r="P29" s="28">
        <f>+COUNTIFS(манзилли!$D:$D,'свод (сектор вилоят)'!$B$27,манзилли!$AA:$AA,"&gt;31.12.2020",манзилли!$AA:$AA,"&lt;01.01.2022",манзилли!$E:$E,"2")</f>
        <v>11</v>
      </c>
      <c r="Q29" s="29">
        <f>(+SUMIFS(манзилли!$K:$K,манзилли!$D:$D,'свод (сектор вилоят)'!$B$27,манзилли!$AA:$AA,"&gt;31.12.2020",манзилли!$AA:$AA,"&lt;01.01.2022",манзилли!$E:$E,"2"))</f>
        <v>23650</v>
      </c>
      <c r="R29" s="29">
        <f>(+SUMIFS(манзилли!$M:$M,манзилли!$D:$D,'свод (сектор вилоят)'!$B$27,манзилли!$AA:$AA,"&gt;31.12.2020",манзилли!$AA:$AA,"&lt;01.01.2022",манзилли!$E:$E,"2"))</f>
        <v>5850</v>
      </c>
      <c r="S29" s="29">
        <f>(+SUMIFS(манзилли!$Q:$Q,манзилли!$D:$D,'свод (сектор вилоят)'!$B$27,манзилли!$AA:$AA,"&gt;31.12.2020",манзилли!$AA:$AA,"&lt;01.01.2022",манзилли!$E:$E,"2"))</f>
        <v>6500</v>
      </c>
      <c r="T29" s="29">
        <f>(+SUMIFS(манзилли!$S:$S,манзилли!$D:$D,'свод (сектор вилоят)'!$B$27,манзилли!$AA:$AA,"&gt;31.12.2020",манзилли!$AA:$AA,"&lt;01.01.2022",манзилли!$E:$E,"2"))</f>
        <v>0</v>
      </c>
      <c r="U29" s="29">
        <f>(+SUMIFS(манзилли!$U:$U,манзилли!$D:$D,'свод (сектор вилоят)'!$B$27,манзилли!$AA:$AA,"&gt;31.12.2020",манзилли!$AA:$AA,"&lt;01.01.2022",манзилли!$E:$E,"2"))</f>
        <v>0</v>
      </c>
      <c r="V29" s="30">
        <f>+SUMIFS(манзилли!$Y:$Y,манзилли!$D:$D,'свод (сектор вилоят)'!$B$27,манзилли!$AA:$AA,"&gt;31.12.2020",манзилли!$AA:$AA,"&lt;01.01.2022",манзилли!$E:$E,"2")</f>
        <v>62</v>
      </c>
      <c r="W29" s="28">
        <f t="shared" ref="W29:W31" si="288">+AD29+AK29</f>
        <v>1</v>
      </c>
      <c r="X29" s="29">
        <f t="shared" si="282"/>
        <v>4000</v>
      </c>
      <c r="Y29" s="29">
        <f t="shared" si="283"/>
        <v>3000</v>
      </c>
      <c r="Z29" s="29">
        <f t="shared" si="284"/>
        <v>1000</v>
      </c>
      <c r="AA29" s="29">
        <f t="shared" si="285"/>
        <v>0</v>
      </c>
      <c r="AB29" s="29">
        <f t="shared" si="286"/>
        <v>0</v>
      </c>
      <c r="AC29" s="30">
        <f t="shared" si="287"/>
        <v>12</v>
      </c>
      <c r="AD29" s="28">
        <f>+COUNTIFS(манзилли!$D:$D,'свод (сектор вилоят)'!$B$27,манзилли!$AB:$AB,"&gt;31.12.2020",манзилли!$AA:$AA,"&gt;31.12.2020",манзилли!$AA:$AA,"&lt;01.01.2022",манзилли!$E:$E,"2")</f>
        <v>1</v>
      </c>
      <c r="AE29" s="29">
        <f>(+SUMIFS(манзилли!$L:$L,манзилли!$D:$D,'свод (сектор вилоят)'!$B$27,манзилли!$AB:$AB,"&gt;31.12.2020",манзилли!$AA:$AA,"&gt;31.12.2020",манзилли!$AA:$AA,"&lt;01.01.2022",манзилли!$E:$E,"2"))</f>
        <v>4000</v>
      </c>
      <c r="AF29" s="29">
        <f>(+SUMIFS(манзилли!$N:$N,манзилли!$D:$D,'свод (сектор вилоят)'!$B$27,манзилли!$AB:$AB,"&gt;31.12.2020",манзилли!$AA:$AA,"&gt;31.12.2020",манзилли!$AA:$AA,"&lt;01.01.2022",манзилли!$E:$E,"2"))</f>
        <v>3000</v>
      </c>
      <c r="AG29" s="29">
        <f>(+SUMIFS(манзилли!$R:$R,манзилли!$D:$D,'свод (сектор вилоят)'!$B$27,манзилли!$AB:$AB,"&gt;31.12.2020",манзилли!$AA:$AA,"&gt;31.12.2020",манзилли!$AA:$AA,"&lt;01.01.2022",манзилли!$E:$E,"2"))</f>
        <v>1000</v>
      </c>
      <c r="AH29" s="29">
        <f>(+SUMIFS(манзилли!$T:$T,манзилли!$D:$D,'свод (сектор вилоят)'!$B$27,манзилли!$AB:$AB,"&gt;31.12.2020",манзилли!$AA:$AA,"&gt;31.12.2020",манзилли!$AA:$AA,"&lt;01.01.2022",манзилли!$E:$E,"2"))</f>
        <v>0</v>
      </c>
      <c r="AI29" s="29">
        <f>(+SUMIFS(манзилли!$V:$V,манзилли!$D:$D,'свод (сектор вилоят)'!$B$27,манзилли!$AB:$AB,"&gt;31.12.2020",манзилли!$AA:$AA,"&gt;31.12.2020",манзилли!$AA:$AA,"&lt;01.01.2022",манзилли!$E:$E,"2"))</f>
        <v>0</v>
      </c>
      <c r="AJ29" s="30">
        <f>+SUMIFS(манзилли!$Z:$Z,манзилли!$D:$D,'свод (сектор вилоят)'!$B$27,манзилли!$AB:$AB,"&gt;31.12.2020",манзилли!$AA:$AA,"&gt;31.12.2020",манзилли!$AA:$AA,"&lt;01.01.2022",манзилли!$E:$E,"2")</f>
        <v>12</v>
      </c>
      <c r="AK29" s="28">
        <f>+COUNTIFS('Қўшимча ишга тушган'!$D:$D,'свод (сектор вилоят)'!B27,'Қўшимча ишга тушган'!$AO:$AO,"&lt;01.10.2023",манзилли!$E:$E,"2")</f>
        <v>0</v>
      </c>
      <c r="AL29" s="29">
        <f>(+SUMIFS('Қўшимча ишга тушган'!$T:$T,'Қўшимча ишга тушган'!$D:$D,'свод (сектор вилоят)'!$B$27,'Қўшимча ишга тушган'!$AO:$AO,"&lt;01.10.2023",манзилли!$E:$E,"2"))</f>
        <v>0</v>
      </c>
      <c r="AM29" s="29">
        <f>(+SUMIFS('Қўшимча ишга тушган'!$V:$V,'Қўшимча ишга тушган'!$D:$D,'свод (сектор вилоят)'!$B$27,'Қўшимча ишга тушган'!$AO:$AO,"&lt;01.10.2023",манзилли!$E:$E,"2"))</f>
        <v>0</v>
      </c>
      <c r="AN29" s="29">
        <f>(+SUMIFS('Қўшимча ишга тушган'!$Z:$Z,'Қўшимча ишга тушган'!$D:$D,'свод (сектор вилоят)'!$B$27,'Қўшимча ишга тушган'!$AO:$AO,"&lt;01.10.2023",манзилли!$E:$E,"2"))</f>
        <v>0</v>
      </c>
      <c r="AO29" s="29">
        <f>(+SUMIFS('Қўшимча ишга тушган'!$AB:$AB,'Қўшимча ишга тушган'!$D:$D,'свод (сектор вилоят)'!$B$27,'Қўшимча ишга тушган'!$AO:$AO,"&lt;01.10.2023",манзилли!$E:$E,"2"))</f>
        <v>0</v>
      </c>
      <c r="AP29" s="29">
        <f>(+SUMIFS('Қўшимча ишга тушган'!$AD:$AD,'Қўшимча ишга тушган'!$D:$D,'свод (сектор вилоят)'!$B$27,'Қўшимча ишга тушган'!$AO:$AO,"&lt;01.10.2023",манзилли!$E:$E,"2"))</f>
        <v>0</v>
      </c>
      <c r="AQ29" s="30">
        <f>+SUMIFS('Қўшимча ишга тушган'!$AM:$AM,'Қўшимча ишга тушган'!$D:$D,'свод (сектор вилоят)'!$B$27,'Қўшимча ишга тушган'!$AO:$AO,"&lt;01.10.2023",манзилли!$E:$E,"2")</f>
        <v>0</v>
      </c>
      <c r="AR29" s="28">
        <f>+COUNTIFS(манзилли!$D:$D,'свод (сектор вилоят)'!$B$27,манзилли!$AA:$AA,"&lt;01.02.2021",манзилли!$AB:$AB,"",манзилли!$E:$E,"2")</f>
        <v>0</v>
      </c>
      <c r="AS29" s="29">
        <f>(+SUMIFS(манзилли!$K:$K,манзилли!$D:$D,'свод (сектор вилоят)'!$B$27,манзилли!$AA:$AA,"&lt;01.02.2021",манзилли!$AB:$AB,"",манзилли!$E:$E,"2"))</f>
        <v>0</v>
      </c>
      <c r="AT29" s="29">
        <f>(+SUMIFS(манзилли!$M:$M,манзилли!$D:$D,'свод (сектор вилоят)'!$B$27,манзилли!$AA:$AA,"&lt;01.02.2021",манзилли!$AB:$AB,"",манзилли!$E:$E,"2"))</f>
        <v>0</v>
      </c>
      <c r="AU29" s="29">
        <f>(+SUMIFS(манзилли!$Q:$Q,манзилли!$D:$D,'свод (сектор вилоят)'!$B$27,манзилли!$AA:$AA,"&lt;01.02.2021",манзилли!$AB:$AB,"",манзилли!$E:$E,"2"))</f>
        <v>0</v>
      </c>
      <c r="AV29" s="29">
        <f>(+SUMIFS(манзилли!$S:$S,манзилли!$D:$D,'свод (сектор вилоят)'!$B$27,манзилли!$AA:$AA,"&lt;01.02.2021",манзилли!$AB:$AB,"",манзилли!$E:$E,"2"))</f>
        <v>0</v>
      </c>
      <c r="AW29" s="29">
        <f>(+SUMIFS(манзилли!$U:$U,манзилли!$D:$D,'свод (сектор вилоят)'!$B$27,манзилли!$AA:$AA,"&lt;01.02.2021",манзилли!$AB:$AB,"",манзилли!$E:$E,"2"))</f>
        <v>0</v>
      </c>
      <c r="AX29" s="30">
        <f>+SUMIFS(манзилли!$Y:$Y,манзилли!$D:$D,'свод (сектор вилоят)'!$B$27,манзилли!$AA:$AA,"&lt;01.02.2021",манзилли!$AB:$AB,"",манзилли!$E:$E,"2")</f>
        <v>0</v>
      </c>
      <c r="AY29" s="28">
        <f>+COUNTIFS(манзилли!$D:$D,'свод (сектор вилоят)'!$B$27,манзилли!$AA:$AA,"&lt;01.01.2022",манзилли!$AB:$AB,"",манзилли!$E:$E,"2")</f>
        <v>10</v>
      </c>
      <c r="AZ29" s="29">
        <f>(+SUMIFS(манзилли!$K:$K,манзилли!$D:$D,'свод (сектор вилоят)'!$B$27,манзилли!$AA:$AA,"&lt;01.01.2022",манзилли!$AB:$AB,"",манзилли!$E:$E,"2"))</f>
        <v>19650</v>
      </c>
      <c r="BA29" s="29">
        <f>(+SUMIFS(манзилли!$M:$M,манзилли!$D:$D,'свод (сектор вилоят)'!$B$27,манзилли!$AA:$AA,"&lt;01.01.2022",манзилли!$AB:$AB,"",манзилли!$E:$E,"2"))</f>
        <v>2850</v>
      </c>
      <c r="BB29" s="29">
        <f>(+SUMIFS(манзилли!$Q:$Q,манзилли!$D:$D,'свод (сектор вилоят)'!$B$27,манзилли!$AA:$AA,"&lt;01.01.2022",манзилли!$AB:$AB,"",манзилли!$E:$E,"2"))</f>
        <v>5500</v>
      </c>
      <c r="BC29" s="29">
        <f>(+SUMIFS(манзилли!$S:$S,манзилли!$D:$D,'свод (сектор вилоят)'!$B$27,манзилли!$AA:$AA,"&lt;01.01.2022",манзилли!$AB:$AB,"",манзилли!$E:$E,"2"))</f>
        <v>0</v>
      </c>
      <c r="BD29" s="29">
        <f>(+SUMIFS(манзилли!$U:$U,манзилли!$D:$D,'свод (сектор вилоят)'!$B$27,манзилли!$AA:$AA,"&lt;01.01.2022",манзилли!$AB:$AB,"",манзилли!$E:$E,"2"))</f>
        <v>0</v>
      </c>
      <c r="BE29" s="30">
        <f>+SUMIFS(манзилли!$Y:$Y,манзилли!$D:$D,'свод (сектор вилоят)'!$B$27,манзилли!$AA:$AA,"&lt;01.01.2022",манзилли!$AB:$AB,"",манзилли!$E:$E,"2")</f>
        <v>50</v>
      </c>
      <c r="BF29" s="28">
        <f>+COUNTIFS(манзилли!$D:$D,'свод (сектор вилоят)'!$B$27,манзилли!$AA:$AA,"&lt;01.01.2023",манзилли!$AA:$AA,"&gt;=01.01.2022",манзилли!$E:$E,"2")</f>
        <v>0</v>
      </c>
      <c r="BG29" s="29">
        <f>(+SUMIFS(манзилли!$K:$K,манзилли!$D:$D,'свод (сектор вилоят)'!$B$27,манзилли!$AA:$AA,"&lt;01.01.2023",манзилли!$AA:$AA,"&gt;=01.01.2022",манзилли!$E:$E,"2"))</f>
        <v>0</v>
      </c>
      <c r="BH29" s="29">
        <f>(+SUMIFS(манзилли!$M:$M,манзилли!$D:$D,'свод (сектор вилоят)'!$B$27,манзилли!$AA:$AA,"&lt;01.01.2023",манзилли!$AA:$AA,"&gt;=01.01.2022",манзилли!$E:$E,"2"))</f>
        <v>0</v>
      </c>
      <c r="BI29" s="29">
        <f>(+SUMIFS(манзилли!$Q:$Q,манзилли!$D:$D,'свод (сектор вилоят)'!$B$27,манзилли!$AA:$AA,"&lt;01.01.2023",манзилли!$AA:$AA,"&gt;=01.01.2022",манзилли!$E:$E,"2"))</f>
        <v>0</v>
      </c>
      <c r="BJ29" s="29">
        <f>(+SUMIFS(манзилли!$S:$S,манзилли!$D:$D,'свод (сектор вилоят)'!$B$27,манзилли!$AA:$AA,"&lt;01.01.2023",манзилли!$AA:$AA,"&gt;=01.01.2022",манзилли!$E:$E,"2"))</f>
        <v>0</v>
      </c>
      <c r="BK29" s="29">
        <f>(+SUMIFS(манзилли!$U:$U,манзилли!$D:$D,'свод (сектор вилоят)'!$B$27,манзилли!$AA:$AA,"&lt;01.01.2023",манзилли!$AA:$AA,"&gt;=01.01.2022",манзилли!$E:$E,"2"))</f>
        <v>0</v>
      </c>
      <c r="BL29" s="30">
        <f>+SUMIFS(манзилли!$Y:$Y,манзилли!$D:$D,'свод (сектор вилоят)'!$B$27,манзилли!$AA:$AA,"&lt;01.01.2023",манзилли!$AA:$AA,"&gt;=01.01.2022",манзилли!$E:$E,"2")</f>
        <v>0</v>
      </c>
    </row>
    <row r="30" spans="1:64" s="3" customFormat="1" ht="39.75" customHeight="1">
      <c r="A30" s="51"/>
      <c r="B30" s="27" t="s">
        <v>1773</v>
      </c>
      <c r="C30" s="28">
        <f>+COUNTIFS(манзилли!$D:$D,'свод (сектор вилоят)'!$B$27,манзилли!$E:$E,"3")</f>
        <v>13</v>
      </c>
      <c r="D30" s="29">
        <f>(+SUMIFS(манзилли!$K:$K,манзилли!$D:$D,'свод (сектор вилоят)'!$B$27,манзилли!$E:$E,"3"))</f>
        <v>165029</v>
      </c>
      <c r="E30" s="29">
        <f>(+SUMIFS(манзилли!$M:$M,манзилли!$D:$D,'свод (сектор вилоят)'!$B$27,манзилли!$E:$E,"3"))</f>
        <v>46984</v>
      </c>
      <c r="F30" s="29">
        <f>(+SUMIFS(манзилли!$Q:$Q,манзилли!$D:$D,'свод (сектор вилоят)'!$B$27,манзилли!$E:$E,"3"))</f>
        <v>25235</v>
      </c>
      <c r="G30" s="29">
        <f>(+SUMIFS(манзилли!$S:$S,манзилли!$D:$D,'свод (сектор вилоят)'!$B$27,манзилли!$E:$E,"3"))</f>
        <v>8300</v>
      </c>
      <c r="H30" s="29">
        <f>(+SUMIFS(манзилли!$U:$U,манзилли!$D:$D,'свод (сектор вилоят)'!$B$27,манзилли!$E:$E,"3"))</f>
        <v>500</v>
      </c>
      <c r="I30" s="30">
        <f>+SUMIFS(манзилли!$Y:$Y,манзилли!$D:$D,'свод (сектор вилоят)'!$B$27,манзилли!$E:$E,"3")</f>
        <v>163</v>
      </c>
      <c r="J30" s="28">
        <f>(+COUNTIFS(манзилли!$L:$L,"&gt;0",манзилли!$D:$D,'свод (сектор вилоят)'!$B$27,манзилли!$E:$E,"3")+COUNTIFS('Қўшимча ишга тушган'!$T:$T,"&gt;0",'Қўшимча ишга тушган'!$D:$D,'свод (сектор вилоят)'!$B$27,'Қўшимча ишга тушган'!$E:$E,"3"))</f>
        <v>9</v>
      </c>
      <c r="K30" s="30">
        <f>(+SUMIFS(манзилли!$L:$L,манзилли!$D:$D,'свод (сектор вилоят)'!$B$27,манзилли!$E:$E,"3")+SUMIFS('Қўшимча ишга тушган'!$T:$T,'Қўшимча ишга тушган'!$D:$D,'свод (сектор вилоят)'!$B$27,'Қўшимча ишга тушган'!$E:$E,"3"))</f>
        <v>29705</v>
      </c>
      <c r="L30" s="31">
        <f>(+SUMIFS(манзилли!$N:$N,манзилли!$D:$D,'свод (сектор вилоят)'!$B$27,манзилли!$E:$E,"3")+SUMIFS('Қўшимча ишга тушган'!$V:$V,'Қўшимча ишга тушган'!$D:$D,'свод (сектор вилоят)'!$B$27,'Қўшимча ишга тушган'!$E:$E,"3"))</f>
        <v>2020</v>
      </c>
      <c r="M30" s="29">
        <f>(+SUMIFS(манзилли!$R:$R,манзилли!$D:$D,'свод (сектор вилоят)'!$B$27,манзилли!$E:$E,"3")+SUMIFS('Қўшимча ишга тушган'!$Z:$Z,'Қўшимча ишга тушган'!$D:$D,'свод (сектор вилоят)'!$B$27,'Қўшимча ишга тушган'!$E:$E,"3"))</f>
        <v>15955</v>
      </c>
      <c r="N30" s="29">
        <f>(+SUMIFS(манзилли!$T:$T,манзилли!$D:$D,'свод (сектор вилоят)'!$B$27,манзилли!$E:$E,"3")+SUMIFS('Қўшимча ишга тушган'!$AB:$AB,'Қўшимча ишга тушган'!$D:$D,'свод (сектор вилоят)'!$B$27,'Қўшимча ишга тушган'!$E:$E,"3"))</f>
        <v>1150</v>
      </c>
      <c r="O30" s="30">
        <f>(+SUMIFS(манзилли!$V:$V,манзилли!$D:$D,'свод (сектор вилоят)'!$B$27,манзилли!$E:$E,"3")+SUMIFS('Қўшимча ишга тушган'!$AD:$AD,'Қўшимча ишга тушган'!$D:$D,'свод (сектор вилоят)'!$B$27,'Қўшимча ишга тушган'!$E:$E,"3"))</f>
        <v>0</v>
      </c>
      <c r="P30" s="28">
        <f>+COUNTIFS(манзилли!$D:$D,'свод (сектор вилоят)'!$B$27,манзилли!$AA:$AA,"&gt;31.12.2020",манзилли!$AA:$AA,"&lt;01.01.2022",манзилли!$E:$E,"3")</f>
        <v>9</v>
      </c>
      <c r="Q30" s="29">
        <f>(+SUMIFS(манзилли!$K:$K,манзилли!$D:$D,'свод (сектор вилоят)'!$B$27,манзилли!$AA:$AA,"&gt;31.12.2020",манзилли!$AA:$AA,"&lt;01.01.2022",манзилли!$E:$E,"3"))</f>
        <v>111899</v>
      </c>
      <c r="R30" s="29">
        <f>(+SUMIFS(манзилли!$M:$M,манзилли!$D:$D,'свод (сектор вилоят)'!$B$27,манзилли!$AA:$AA,"&gt;31.12.2020",манзилли!$AA:$AA,"&lt;01.01.2022",манзилли!$E:$E,"3"))</f>
        <v>33484</v>
      </c>
      <c r="S30" s="29">
        <f>(+SUMIFS(манзилли!$Q:$Q,манзилли!$D:$D,'свод (сектор вилоят)'!$B$27,манзилли!$AA:$AA,"&gt;31.12.2020",манзилли!$AA:$AA,"&lt;01.01.2022",манзилли!$E:$E,"3"))</f>
        <v>24235</v>
      </c>
      <c r="T30" s="29">
        <f>(+SUMIFS(манзилли!$S:$S,манзилли!$D:$D,'свод (сектор вилоят)'!$B$27,манзилли!$AA:$AA,"&gt;31.12.2020",манзилли!$AA:$AA,"&lt;01.01.2022",манзилли!$E:$E,"3"))</f>
        <v>5100</v>
      </c>
      <c r="U30" s="29">
        <f>(+SUMIFS(манзилли!$U:$U,манзилли!$D:$D,'свод (сектор вилоят)'!$B$27,манзилли!$AA:$AA,"&gt;31.12.2020",манзилли!$AA:$AA,"&lt;01.01.2022",манзилли!$E:$E,"3"))</f>
        <v>0</v>
      </c>
      <c r="V30" s="30">
        <f>+SUMIFS(манзилли!$Y:$Y,манзилли!$D:$D,'свод (сектор вилоят)'!$B$27,манзилли!$AA:$AA,"&gt;31.12.2020",манзилли!$AA:$AA,"&lt;01.01.2022",манзилли!$E:$E,"3")</f>
        <v>51</v>
      </c>
      <c r="W30" s="28">
        <f t="shared" si="288"/>
        <v>1</v>
      </c>
      <c r="X30" s="29">
        <f t="shared" si="282"/>
        <v>1350</v>
      </c>
      <c r="Y30" s="29">
        <f t="shared" si="283"/>
        <v>800</v>
      </c>
      <c r="Z30" s="29">
        <f t="shared" si="284"/>
        <v>550</v>
      </c>
      <c r="AA30" s="29">
        <f t="shared" si="285"/>
        <v>0</v>
      </c>
      <c r="AB30" s="29">
        <f t="shared" si="286"/>
        <v>0</v>
      </c>
      <c r="AC30" s="30">
        <f t="shared" si="287"/>
        <v>6</v>
      </c>
      <c r="AD30" s="28">
        <f>+COUNTIFS(манзилли!$D:$D,'свод (сектор вилоят)'!$B$27,манзилли!$AB:$AB,"&gt;31.12.2020",манзилли!$AA:$AA,"&gt;31.12.2020",манзилли!$AA:$AA,"&lt;01.01.2022",манзилли!$E:$E,"3")</f>
        <v>1</v>
      </c>
      <c r="AE30" s="29">
        <f>(+SUMIFS(манзилли!$L:$L,манзилли!$D:$D,'свод (сектор вилоят)'!$B$27,манзилли!$AB:$AB,"&gt;31.12.2020",манзилли!$AA:$AA,"&gt;31.12.2020",манзилли!$AA:$AA,"&lt;01.01.2022",манзилли!$E:$E,"3"))</f>
        <v>1350</v>
      </c>
      <c r="AF30" s="29">
        <f>(+SUMIFS(манзилли!$N:$N,манзилли!$D:$D,'свод (сектор вилоят)'!$B$27,манзилли!$AB:$AB,"&gt;31.12.2020",манзилли!$AA:$AA,"&gt;31.12.2020",манзилли!$AA:$AA,"&lt;01.01.2022",манзилли!$E:$E,"3"))</f>
        <v>800</v>
      </c>
      <c r="AG30" s="29">
        <f>(+SUMIFS(манзилли!$R:$R,манзилли!$D:$D,'свод (сектор вилоят)'!$B$27,манзилли!$AB:$AB,"&gt;31.12.2020",манзилли!$AA:$AA,"&gt;31.12.2020",манзилли!$AA:$AA,"&lt;01.01.2022",манзилли!$E:$E,"3"))</f>
        <v>550</v>
      </c>
      <c r="AH30" s="29">
        <f>(+SUMIFS(манзилли!$T:$T,манзилли!$D:$D,'свод (сектор вилоят)'!$B$27,манзилли!$AB:$AB,"&gt;31.12.2020",манзилли!$AA:$AA,"&gt;31.12.2020",манзилли!$AA:$AA,"&lt;01.01.2022",манзилли!$E:$E,"3"))</f>
        <v>0</v>
      </c>
      <c r="AI30" s="29">
        <f>(+SUMIFS(манзилли!$V:$V,манзилли!$D:$D,'свод (сектор вилоят)'!$B$27,манзилли!$AB:$AB,"&gt;31.12.2020",манзилли!$AA:$AA,"&gt;31.12.2020",манзилли!$AA:$AA,"&lt;01.01.2022",манзилли!$E:$E,"3"))</f>
        <v>0</v>
      </c>
      <c r="AJ30" s="30">
        <f>+SUMIFS(манзилли!$Z:$Z,манзилли!$D:$D,'свод (сектор вилоят)'!$B$27,манзилли!$AB:$AB,"&gt;31.12.2020",манзилли!$AA:$AA,"&gt;31.12.2020",манзилли!$AA:$AA,"&lt;01.01.2022",манзилли!$E:$E,"3")</f>
        <v>6</v>
      </c>
      <c r="AK30" s="28">
        <f>+COUNTIFS('Қўшимча ишга тушган'!$D:$D,'свод (сектор вилоят)'!B27,'Қўшимча ишга тушган'!$AO:$AO,"&lt;01.10.2023",манзилли!$E:$E,"3")</f>
        <v>0</v>
      </c>
      <c r="AL30" s="29">
        <f>(+SUMIFS('Қўшимча ишга тушган'!$T:$T,'Қўшимча ишга тушган'!$D:$D,'свод (сектор вилоят)'!$B$27,'Қўшимча ишга тушган'!$AO:$AO,"&lt;01.10.2023",манзилли!$E:$E,"3"))</f>
        <v>0</v>
      </c>
      <c r="AM30" s="29">
        <f>(+SUMIFS('Қўшимча ишга тушган'!$V:$V,'Қўшимча ишга тушган'!$D:$D,'свод (сектор вилоят)'!$B$27,'Қўшимча ишга тушган'!$AO:$AO,"&lt;01.10.2023",манзилли!$E:$E,"3"))</f>
        <v>0</v>
      </c>
      <c r="AN30" s="29">
        <f>(+SUMIFS('Қўшимча ишга тушган'!$Z:$Z,'Қўшимча ишга тушган'!$D:$D,'свод (сектор вилоят)'!$B$27,'Қўшимча ишга тушган'!$AO:$AO,"&lt;01.10.2023",манзилли!$E:$E,"3"))</f>
        <v>0</v>
      </c>
      <c r="AO30" s="29">
        <f>(+SUMIFS('Қўшимча ишга тушган'!$AB:$AB,'Қўшимча ишга тушган'!$D:$D,'свод (сектор вилоят)'!$B$27,'Қўшимча ишга тушган'!$AO:$AO,"&lt;01.10.2023",манзилли!$E:$E,"3"))</f>
        <v>0</v>
      </c>
      <c r="AP30" s="29">
        <f>(+SUMIFS('Қўшимча ишга тушган'!$AD:$AD,'Қўшимча ишга тушган'!$D:$D,'свод (сектор вилоят)'!$B$27,'Қўшимча ишга тушган'!$AO:$AO,"&lt;01.10.2023",манзилли!$E:$E,"3"))</f>
        <v>0</v>
      </c>
      <c r="AQ30" s="30">
        <f>+SUMIFS('Қўшимча ишга тушган'!$AM:$AM,'Қўшимча ишга тушган'!$D:$D,'свод (сектор вилоят)'!$B$27,'Қўшимча ишга тушган'!$AO:$AO,"&lt;01.10.2023",манзилли!$E:$E,"3")</f>
        <v>0</v>
      </c>
      <c r="AR30" s="28">
        <f>+COUNTIFS(манзилли!$D:$D,'свод (сектор вилоят)'!$B$27,манзилли!$AA:$AA,"&lt;01.02.2021",манзилли!$AB:$AB,"",манзилли!$E:$E,"3")</f>
        <v>0</v>
      </c>
      <c r="AS30" s="29">
        <f>(+SUMIFS(манзилли!$K:$K,манзилли!$D:$D,'свод (сектор вилоят)'!$B$27,манзилли!$AA:$AA,"&lt;01.02.2021",манзилли!$AB:$AB,"",манзилли!$E:$E,"3"))</f>
        <v>0</v>
      </c>
      <c r="AT30" s="29">
        <f>(+SUMIFS(манзилли!$M:$M,манзилли!$D:$D,'свод (сектор вилоят)'!$B$27,манзилли!$AA:$AA,"&lt;01.02.2021",манзилли!$AB:$AB,"",манзилли!$E:$E,"3"))</f>
        <v>0</v>
      </c>
      <c r="AU30" s="29">
        <f>(+SUMIFS(манзилли!$Q:$Q,манзилли!$D:$D,'свод (сектор вилоят)'!$B$27,манзилли!$AA:$AA,"&lt;01.02.2021",манзилли!$AB:$AB,"",манзилли!$E:$E,"3"))</f>
        <v>0</v>
      </c>
      <c r="AV30" s="29">
        <f>(+SUMIFS(манзилли!$S:$S,манзилли!$D:$D,'свод (сектор вилоят)'!$B$27,манзилли!$AA:$AA,"&lt;01.02.2021",манзилли!$AB:$AB,"",манзилли!$E:$E,"3"))</f>
        <v>0</v>
      </c>
      <c r="AW30" s="29">
        <f>(+SUMIFS(манзилли!$U:$U,манзилли!$D:$D,'свод (сектор вилоят)'!$B$27,манзилли!$AA:$AA,"&lt;01.02.2021",манзилли!$AB:$AB,"",манзилли!$E:$E,"3"))</f>
        <v>0</v>
      </c>
      <c r="AX30" s="30">
        <f>+SUMIFS(манзилли!$Y:$Y,манзилли!$D:$D,'свод (сектор вилоят)'!$B$27,манзилли!$AA:$AA,"&lt;01.02.2021",манзилли!$AB:$AB,"",манзилли!$E:$E,"3")</f>
        <v>0</v>
      </c>
      <c r="AY30" s="28">
        <f>+COUNTIFS(манзилли!$D:$D,'свод (сектор вилоят)'!$B$27,манзилли!$AA:$AA,"&lt;01.01.2022",манзилли!$AB:$AB,"",манзилли!$E:$E,"3")</f>
        <v>8</v>
      </c>
      <c r="AZ30" s="29">
        <f>(+SUMIFS(манзилли!$K:$K,манзилли!$D:$D,'свод (сектор вилоят)'!$B$27,манзилли!$AA:$AA,"&lt;01.01.2022",манзилли!$AB:$AB,"",манзилли!$E:$E,"3"))</f>
        <v>110549</v>
      </c>
      <c r="BA30" s="29">
        <f>(+SUMIFS(манзилли!$M:$M,манзилли!$D:$D,'свод (сектор вилоят)'!$B$27,манзилли!$AA:$AA,"&lt;01.01.2022",манзилли!$AB:$AB,"",манзилли!$E:$E,"3"))</f>
        <v>33484</v>
      </c>
      <c r="BB30" s="29">
        <f>(+SUMIFS(манзилли!$Q:$Q,манзилли!$D:$D,'свод (сектор вилоят)'!$B$27,манзилли!$AA:$AA,"&lt;01.01.2022",манзилли!$AB:$AB,"",манзилли!$E:$E,"3"))</f>
        <v>23735</v>
      </c>
      <c r="BC30" s="29">
        <f>(+SUMIFS(манзилли!$S:$S,манзилли!$D:$D,'свод (сектор вилоят)'!$B$27,манзилли!$AA:$AA,"&lt;01.01.2022",манзилли!$AB:$AB,"",манзилли!$E:$E,"3"))</f>
        <v>5100</v>
      </c>
      <c r="BD30" s="29">
        <f>(+SUMIFS(манзилли!$U:$U,манзилли!$D:$D,'свод (сектор вилоят)'!$B$27,манзилли!$AA:$AA,"&lt;01.01.2022",манзилли!$AB:$AB,"",манзилли!$E:$E,"3"))</f>
        <v>0</v>
      </c>
      <c r="BE30" s="30">
        <f>+SUMIFS(манзилли!$Y:$Y,манзилли!$D:$D,'свод (сектор вилоят)'!$B$27,манзилли!$AA:$AA,"&lt;01.01.2022",манзилли!$AB:$AB,"",манзилли!$E:$E,"3")</f>
        <v>45</v>
      </c>
      <c r="BF30" s="28">
        <f>+COUNTIFS(манзилли!$D:$D,'свод (сектор вилоят)'!$B$27,манзилли!$AA:$AA,"&lt;01.01.2023",манзилли!$AA:$AA,"&gt;=01.01.2022",манзилли!$E:$E,"3")</f>
        <v>2</v>
      </c>
      <c r="BG30" s="29">
        <f>(+SUMIFS(манзилли!$K:$K,манзилли!$D:$D,'свод (сектор вилоят)'!$B$27,манзилли!$AA:$AA,"&lt;01.01.2023",манзилли!$AA:$AA,"&gt;=01.01.2022",манзилли!$E:$E,"3"))</f>
        <v>51110</v>
      </c>
      <c r="BH30" s="29">
        <f>(+SUMIFS(манзилли!$M:$M,манзилли!$D:$D,'свод (сектор вилоят)'!$B$27,манзилли!$AA:$AA,"&lt;01.01.2023",манзилли!$AA:$AA,"&gt;=01.01.2022",манзилли!$E:$E,"3"))</f>
        <v>13000</v>
      </c>
      <c r="BI30" s="29">
        <f>(+SUMIFS(манзилли!$Q:$Q,манзилли!$D:$D,'свод (сектор вилоят)'!$B$27,манзилли!$AA:$AA,"&lt;01.01.2023",манзилли!$AA:$AA,"&gt;=01.01.2022",манзилли!$E:$E,"3"))</f>
        <v>0</v>
      </c>
      <c r="BJ30" s="29">
        <f>(+SUMIFS(манзилли!$S:$S,манзилли!$D:$D,'свод (сектор вилоят)'!$B$27,манзилли!$AA:$AA,"&lt;01.01.2023",манзилли!$AA:$AA,"&gt;=01.01.2022",манзилли!$E:$E,"3"))</f>
        <v>3200</v>
      </c>
      <c r="BK30" s="29">
        <f>(+SUMIFS(манзилли!$U:$U,манзилли!$D:$D,'свод (сектор вилоят)'!$B$27,манзилли!$AA:$AA,"&lt;01.01.2023",манзилли!$AA:$AA,"&gt;=01.01.2022",манзилли!$E:$E,"3"))</f>
        <v>500</v>
      </c>
      <c r="BL30" s="30">
        <f>+SUMIFS(манзилли!$Y:$Y,манзилли!$D:$D,'свод (сектор вилоят)'!$B$27,манзилли!$AA:$AA,"&lt;01.01.2023",манзилли!$AA:$AA,"&gt;=01.01.2022",манзилли!$E:$E,"3")</f>
        <v>110</v>
      </c>
    </row>
    <row r="31" spans="1:64" s="3" customFormat="1" ht="39.75" customHeight="1" thickBot="1">
      <c r="A31" s="55"/>
      <c r="B31" s="36" t="s">
        <v>1774</v>
      </c>
      <c r="C31" s="37">
        <f>+COUNTIFS(манзилли!$D:$D,'свод (сектор вилоят)'!$B$27,манзилли!$E:$E,"4")</f>
        <v>3</v>
      </c>
      <c r="D31" s="38">
        <f>(+SUMIFS(манзилли!$K:$K,манзилли!$D:$D,'свод (сектор вилоят)'!$B$27,манзилли!$E:$E,"4"))</f>
        <v>6836</v>
      </c>
      <c r="E31" s="38">
        <f>(+SUMIFS(манзилли!$M:$M,манзилли!$D:$D,'свод (сектор вилоят)'!$B$27,манзилли!$E:$E,"4"))</f>
        <v>1500</v>
      </c>
      <c r="F31" s="38">
        <f>(+SUMIFS(манзилли!$Q:$Q,манзилли!$D:$D,'свод (сектор вилоят)'!$B$27,манзилли!$E:$E,"4"))</f>
        <v>4836</v>
      </c>
      <c r="G31" s="38">
        <f>(+SUMIFS(манзилли!$S:$S,манзилли!$D:$D,'свод (сектор вилоят)'!$B$27,манзилли!$E:$E,"4"))</f>
        <v>0</v>
      </c>
      <c r="H31" s="38">
        <f>(+SUMIFS(манзилли!$U:$U,манзилли!$D:$D,'свод (сектор вилоят)'!$B$27,манзилли!$E:$E,"4"))</f>
        <v>0</v>
      </c>
      <c r="I31" s="39">
        <f>+SUMIFS(манзилли!$Y:$Y,манзилли!$D:$D,'свод (сектор вилоят)'!$B$27,манзилли!$E:$E,"4")</f>
        <v>14</v>
      </c>
      <c r="J31" s="37">
        <f>(+COUNTIFS(манзилли!$L:$L,"&gt;0",манзилли!$D:$D,'свод (сектор вилоят)'!$B$27,манзилли!$E:$E,"4")+COUNTIFS('Қўшимча ишга тушган'!$T:$T,"&gt;0",'Қўшимча ишга тушган'!$D:$D,'свод (сектор вилоят)'!$B$27,'Қўшимча ишга тушган'!$E:$E,"4"))</f>
        <v>2</v>
      </c>
      <c r="K31" s="39">
        <f>(+SUMIFS(манзилли!$L:$L,манзилли!$D:$D,'свод (сектор вилоят)'!$B$27,манзилли!$E:$E,"4")+SUMIFS('Қўшимча ишга тушган'!$T:$T,'Қўшимча ишга тушган'!$D:$D,'свод (сектор вилоят)'!$B$27,'Қўшимча ишга тушган'!$E:$E,"4"))</f>
        <v>3420</v>
      </c>
      <c r="L31" s="40">
        <f>(+SUMIFS(манзилли!$N:$N,манзилли!$D:$D,'свод (сектор вилоят)'!$B$27,манзилли!$E:$E,"4")+SUMIFS('Қўшимча ишга тушган'!$V:$V,'Қўшимча ишга тушган'!$D:$D,'свод (сектор вилоят)'!$B$27,'Қўшимча ишга тушган'!$E:$E,"4"))</f>
        <v>500</v>
      </c>
      <c r="M31" s="38">
        <f>(+SUMIFS(манзилли!$R:$R,манзилли!$D:$D,'свод (сектор вилоят)'!$B$27,манзилли!$E:$E,"4")+SUMIFS('Қўшимча ишга тушган'!$Z:$Z,'Қўшимча ишга тушган'!$D:$D,'свод (сектор вилоят)'!$B$27,'Қўшимча ишга тушган'!$E:$E,"4"))</f>
        <v>2920</v>
      </c>
      <c r="N31" s="38">
        <f>(+SUMIFS(манзилли!$T:$T,манзилли!$D:$D,'свод (сектор вилоят)'!$B$27,манзилли!$E:$E,"4")+SUMIFS('Қўшимча ишга тушган'!$AB:$AB,'Қўшимча ишга тушган'!$D:$D,'свод (сектор вилоят)'!$B$27,'Қўшимча ишга тушган'!$E:$E,"4"))</f>
        <v>0</v>
      </c>
      <c r="O31" s="39">
        <f>(+SUMIFS(манзилли!$V:$V,манзилли!$D:$D,'свод (сектор вилоят)'!$B$27,манзилли!$E:$E,"4")+SUMIFS('Қўшимча ишга тушган'!$AD:$AD,'Қўшимча ишга тушган'!$D:$D,'свод (сектор вилоят)'!$B$27,'Қўшимча ишга тушган'!$E:$E,"4"))</f>
        <v>0</v>
      </c>
      <c r="P31" s="37">
        <f>+COUNTIFS(манзилли!$D:$D,'свод (сектор вилоят)'!$B$27,манзилли!$AA:$AA,"&gt;31.12.2020",манзилли!$AA:$AA,"&lt;01.01.2022",манзилли!$E:$E,"4")</f>
        <v>3</v>
      </c>
      <c r="Q31" s="38">
        <f>(+SUMIFS(манзилли!$K:$K,манзилли!$D:$D,'свод (сектор вилоят)'!$B$27,манзилли!$AA:$AA,"&gt;31.12.2020",манзилли!$AA:$AA,"&lt;01.01.2022",манзилли!$E:$E,"4"))</f>
        <v>6836</v>
      </c>
      <c r="R31" s="38">
        <f>(+SUMIFS(манзилли!$M:$M,манзилли!$D:$D,'свод (сектор вилоят)'!$B$27,манзилли!$AA:$AA,"&gt;31.12.2020",манзилли!$AA:$AA,"&lt;01.01.2022",манзилли!$E:$E,"4"))</f>
        <v>1500</v>
      </c>
      <c r="S31" s="38">
        <f>(+SUMIFS(манзилли!$Q:$Q,манзилли!$D:$D,'свод (сектор вилоят)'!$B$27,манзилли!$AA:$AA,"&gt;31.12.2020",манзилли!$AA:$AA,"&lt;01.01.2022",манзилли!$E:$E,"4"))</f>
        <v>4836</v>
      </c>
      <c r="T31" s="38">
        <f>(+SUMIFS(манзилли!$S:$S,манзилли!$D:$D,'свод (сектор вилоят)'!$B$27,манзилли!$AA:$AA,"&gt;31.12.2020",манзилли!$AA:$AA,"&lt;01.01.2022",манзилли!$E:$E,"4"))</f>
        <v>0</v>
      </c>
      <c r="U31" s="38">
        <f>(+SUMIFS(манзилли!$U:$U,манзилли!$D:$D,'свод (сектор вилоят)'!$B$27,манзилли!$AA:$AA,"&gt;31.12.2020",манзилли!$AA:$AA,"&lt;01.01.2022",манзилли!$E:$E,"4"))</f>
        <v>0</v>
      </c>
      <c r="V31" s="39">
        <f>+SUMIFS(манзилли!$Y:$Y,манзилли!$D:$D,'свод (сектор вилоят)'!$B$27,манзилли!$AA:$AA,"&gt;31.12.2020",манзилли!$AA:$AA,"&lt;01.01.2022",манзилли!$E:$E,"4")</f>
        <v>14</v>
      </c>
      <c r="W31" s="37">
        <f t="shared" si="288"/>
        <v>0</v>
      </c>
      <c r="X31" s="38">
        <f t="shared" si="282"/>
        <v>0</v>
      </c>
      <c r="Y31" s="38">
        <f t="shared" si="283"/>
        <v>0</v>
      </c>
      <c r="Z31" s="38">
        <f t="shared" si="284"/>
        <v>0</v>
      </c>
      <c r="AA31" s="38">
        <f t="shared" si="285"/>
        <v>0</v>
      </c>
      <c r="AB31" s="38">
        <f t="shared" si="286"/>
        <v>0</v>
      </c>
      <c r="AC31" s="39">
        <f t="shared" si="287"/>
        <v>0</v>
      </c>
      <c r="AD31" s="37">
        <f>+COUNTIFS(манзилли!$D:$D,'свод (сектор вилоят)'!$B$27,манзилли!$AB:$AB,"&gt;31.12.2020",манзилли!$AA:$AA,"&gt;31.12.2020",манзилли!$AA:$AA,"&lt;01.01.2022",манзилли!$E:$E,"4")</f>
        <v>0</v>
      </c>
      <c r="AE31" s="38">
        <f>(+SUMIFS(манзилли!$L:$L,манзилли!$D:$D,'свод (сектор вилоят)'!$B$27,манзилли!$AB:$AB,"&gt;31.12.2020",манзилли!$AA:$AA,"&gt;31.12.2020",манзилли!$AA:$AA,"&lt;01.01.2022",манзилли!$E:$E,"4"))</f>
        <v>0</v>
      </c>
      <c r="AF31" s="38">
        <f>(+SUMIFS(манзилли!$N:$N,манзилли!$D:$D,'свод (сектор вилоят)'!$B$27,манзилли!$AB:$AB,"&gt;31.12.2020",манзилли!$AA:$AA,"&gt;31.12.2020",манзилли!$AA:$AA,"&lt;01.01.2022",манзилли!$E:$E,"4"))</f>
        <v>0</v>
      </c>
      <c r="AG31" s="38">
        <f>(+SUMIFS(манзилли!$R:$R,манзилли!$D:$D,'свод (сектор вилоят)'!$B$27,манзилли!$AB:$AB,"&gt;31.12.2020",манзилли!$AA:$AA,"&gt;31.12.2020",манзилли!$AA:$AA,"&lt;01.01.2022",манзилли!$E:$E,"4"))</f>
        <v>0</v>
      </c>
      <c r="AH31" s="38">
        <f>(+SUMIFS(манзилли!$T:$T,манзилли!$D:$D,'свод (сектор вилоят)'!$B$27,манзилли!$AB:$AB,"&gt;31.12.2020",манзилли!$AA:$AA,"&gt;31.12.2020",манзилли!$AA:$AA,"&lt;01.01.2022",манзилли!$E:$E,"4"))</f>
        <v>0</v>
      </c>
      <c r="AI31" s="38">
        <f>(+SUMIFS(манзилли!$V:$V,манзилли!$D:$D,'свод (сектор вилоят)'!$B$27,манзилли!$AB:$AB,"&gt;31.12.2020",манзилли!$AA:$AA,"&gt;31.12.2020",манзилли!$AA:$AA,"&lt;01.01.2022",манзилли!$E:$E,"4"))</f>
        <v>0</v>
      </c>
      <c r="AJ31" s="39">
        <f>+SUMIFS(манзилли!$Z:$Z,манзилли!$D:$D,'свод (сектор вилоят)'!$B$27,манзилли!$AB:$AB,"&gt;31.12.2020",манзилли!$AA:$AA,"&gt;31.12.2020",манзилли!$AA:$AA,"&lt;01.01.2022",манзилли!$E:$E,"4")</f>
        <v>0</v>
      </c>
      <c r="AK31" s="37">
        <f>+COUNTIFS('Қўшимча ишга тушган'!$D:$D,'свод (сектор вилоят)'!B27,'Қўшимча ишга тушган'!$AO:$AO,"&lt;01.10.2023",манзилли!$E:$E,"4")</f>
        <v>0</v>
      </c>
      <c r="AL31" s="38">
        <f>(+SUMIFS('Қўшимча ишга тушган'!$T:$T,'Қўшимча ишга тушган'!$D:$D,'свод (сектор вилоят)'!$B$27,'Қўшимча ишга тушган'!$AO:$AO,"&lt;01.10.2023",манзилли!$E:$E,"4"))</f>
        <v>0</v>
      </c>
      <c r="AM31" s="38">
        <f>(+SUMIFS('Қўшимча ишга тушган'!$V:$V,'Қўшимча ишга тушган'!$D:$D,'свод (сектор вилоят)'!$B$27,'Қўшимча ишга тушган'!$AO:$AO,"&lt;01.10.2023",манзилли!$E:$E,"4"))</f>
        <v>0</v>
      </c>
      <c r="AN31" s="38">
        <f>(+SUMIFS('Қўшимча ишга тушган'!$Z:$Z,'Қўшимча ишга тушган'!$D:$D,'свод (сектор вилоят)'!$B$27,'Қўшимча ишга тушган'!$AO:$AO,"&lt;01.10.2023",манзилли!$E:$E,"4"))</f>
        <v>0</v>
      </c>
      <c r="AO31" s="38">
        <f>(+SUMIFS('Қўшимча ишга тушган'!$AB:$AB,'Қўшимча ишга тушган'!$D:$D,'свод (сектор вилоят)'!$B$27,'Қўшимча ишга тушган'!$AO:$AO,"&lt;01.10.2023",манзилли!$E:$E,"4"))</f>
        <v>0</v>
      </c>
      <c r="AP31" s="38">
        <f>(+SUMIFS('Қўшимча ишга тушган'!$AD:$AD,'Қўшимча ишга тушган'!$D:$D,'свод (сектор вилоят)'!$B$27,'Қўшимча ишга тушган'!$AO:$AO,"&lt;01.10.2023",манзилли!$E:$E,"4"))</f>
        <v>0</v>
      </c>
      <c r="AQ31" s="39">
        <f>+SUMIFS('Қўшимча ишга тушган'!$AM:$AM,'Қўшимча ишга тушган'!$D:$D,'свод (сектор вилоят)'!$B$27,'Қўшимча ишга тушган'!$AO:$AO,"&lt;01.10.2023",манзилли!$E:$E,"4")</f>
        <v>0</v>
      </c>
      <c r="AR31" s="37">
        <f>+COUNTIFS(манзилли!$D:$D,'свод (сектор вилоят)'!$B$27,манзилли!$AA:$AA,"&lt;01.02.2021",манзилли!$AB:$AB,"",манзилли!$E:$E,"4")</f>
        <v>0</v>
      </c>
      <c r="AS31" s="38">
        <f>(+SUMIFS(манзилли!$K:$K,манзилли!$D:$D,'свод (сектор вилоят)'!$B$27,манзилли!$AA:$AA,"&lt;01.02.2021",манзилли!$AB:$AB,"",манзилли!$E:$E,"4"))</f>
        <v>0</v>
      </c>
      <c r="AT31" s="38">
        <f>(+SUMIFS(манзилли!$M:$M,манзилли!$D:$D,'свод (сектор вилоят)'!$B$27,манзилли!$AA:$AA,"&lt;01.02.2021",манзилли!$AB:$AB,"",манзилли!$E:$E,"4"))</f>
        <v>0</v>
      </c>
      <c r="AU31" s="38">
        <f>(+SUMIFS(манзилли!$Q:$Q,манзилли!$D:$D,'свод (сектор вилоят)'!$B$27,манзилли!$AA:$AA,"&lt;01.02.2021",манзилли!$AB:$AB,"",манзилли!$E:$E,"4"))</f>
        <v>0</v>
      </c>
      <c r="AV31" s="38">
        <f>(+SUMIFS(манзилли!$S:$S,манзилли!$D:$D,'свод (сектор вилоят)'!$B$27,манзилли!$AA:$AA,"&lt;01.02.2021",манзилли!$AB:$AB,"",манзилли!$E:$E,"4"))</f>
        <v>0</v>
      </c>
      <c r="AW31" s="38">
        <f>(+SUMIFS(манзилли!$U:$U,манзилли!$D:$D,'свод (сектор вилоят)'!$B$27,манзилли!$AA:$AA,"&lt;01.02.2021",манзилли!$AB:$AB,"",манзилли!$E:$E,"4"))</f>
        <v>0</v>
      </c>
      <c r="AX31" s="39">
        <f>+SUMIFS(манзилли!$Y:$Y,манзилли!$D:$D,'свод (сектор вилоят)'!$B$27,манзилли!$AA:$AA,"&lt;01.02.2021",манзилли!$AB:$AB,"",манзилли!$E:$E,"4")</f>
        <v>0</v>
      </c>
      <c r="AY31" s="37">
        <f>+COUNTIFS(манзилли!$D:$D,'свод (сектор вилоят)'!$B$27,манзилли!$AA:$AA,"&lt;01.01.2022",манзилли!$AB:$AB,"",манзилли!$E:$E,"4")</f>
        <v>2</v>
      </c>
      <c r="AZ31" s="38">
        <f>(+SUMIFS(манзилли!$K:$K,манзилли!$D:$D,'свод (сектор вилоят)'!$B$27,манзилли!$AA:$AA,"&lt;01.01.2022",манзилли!$AB:$AB,"",манзилли!$E:$E,"4"))</f>
        <v>4700</v>
      </c>
      <c r="BA31" s="38">
        <f>(+SUMIFS(манзилли!$M:$M,манзилли!$D:$D,'свод (сектор вилоят)'!$B$27,манзилли!$AA:$AA,"&lt;01.01.2022",манзилли!$AB:$AB,"",манзилли!$E:$E,"4"))</f>
        <v>1000</v>
      </c>
      <c r="BB31" s="38">
        <f>(+SUMIFS(манзилли!$Q:$Q,манзилли!$D:$D,'свод (сектор вилоят)'!$B$27,манзилли!$AA:$AA,"&lt;01.01.2022",манзилли!$AB:$AB,"",манзилли!$E:$E,"4"))</f>
        <v>3200</v>
      </c>
      <c r="BC31" s="38">
        <f>(+SUMIFS(манзилли!$S:$S,манзилли!$D:$D,'свод (сектор вилоят)'!$B$27,манзилли!$AA:$AA,"&lt;01.01.2022",манзилли!$AB:$AB,"",манзилли!$E:$E,"4"))</f>
        <v>0</v>
      </c>
      <c r="BD31" s="38">
        <f>(+SUMIFS(манзилли!$U:$U,манзилли!$D:$D,'свод (сектор вилоят)'!$B$27,манзилли!$AA:$AA,"&lt;01.01.2022",манзилли!$AB:$AB,"",манзилли!$E:$E,"4"))</f>
        <v>0</v>
      </c>
      <c r="BE31" s="39">
        <f>+SUMIFS(манзилли!$Y:$Y,манзилли!$D:$D,'свод (сектор вилоят)'!$B$27,манзилли!$AA:$AA,"&lt;01.01.2022",манзилли!$AB:$AB,"",манзилли!$E:$E,"4")</f>
        <v>10</v>
      </c>
      <c r="BF31" s="37">
        <f>+COUNTIFS(манзилли!$D:$D,'свод (сектор вилоят)'!$B$27,манзилли!$AA:$AA,"&lt;01.01.2023",манзилли!$AA:$AA,"&gt;=01.01.2022",манзилли!$E:$E,"4")</f>
        <v>0</v>
      </c>
      <c r="BG31" s="38">
        <f>(+SUMIFS(манзилли!$K:$K,манзилли!$D:$D,'свод (сектор вилоят)'!$B$27,манзилли!$AA:$AA,"&lt;01.01.2023",манзилли!$AA:$AA,"&gt;=01.01.2022",манзилли!$E:$E,"4"))</f>
        <v>0</v>
      </c>
      <c r="BH31" s="38">
        <f>(+SUMIFS(манзилли!$M:$M,манзилли!$D:$D,'свод (сектор вилоят)'!$B$27,манзилли!$AA:$AA,"&lt;01.01.2023",манзилли!$AA:$AA,"&gt;=01.01.2022",манзилли!$E:$E,"4"))</f>
        <v>0</v>
      </c>
      <c r="BI31" s="38">
        <f>(+SUMIFS(манзилли!$Q:$Q,манзилли!$D:$D,'свод (сектор вилоят)'!$B$27,манзилли!$AA:$AA,"&lt;01.01.2023",манзилли!$AA:$AA,"&gt;=01.01.2022",манзилли!$E:$E,"4"))</f>
        <v>0</v>
      </c>
      <c r="BJ31" s="38">
        <f>(+SUMIFS(манзилли!$S:$S,манзилли!$D:$D,'свод (сектор вилоят)'!$B$27,манзилли!$AA:$AA,"&lt;01.01.2023",манзилли!$AA:$AA,"&gt;=01.01.2022",манзилли!$E:$E,"4"))</f>
        <v>0</v>
      </c>
      <c r="BK31" s="38">
        <f>(+SUMIFS(манзилли!$U:$U,манзилли!$D:$D,'свод (сектор вилоят)'!$B$27,манзилли!$AA:$AA,"&lt;01.01.2023",манзилли!$AA:$AA,"&gt;=01.01.2022",манзилли!$E:$E,"4"))</f>
        <v>0</v>
      </c>
      <c r="BL31" s="39">
        <f>+SUMIFS(манзилли!$Y:$Y,манзилли!$D:$D,'свод (сектор вилоят)'!$B$27,манзилли!$AA:$AA,"&lt;01.01.2023",манзилли!$AA:$AA,"&gt;=01.01.2022",манзилли!$E:$E,"4")</f>
        <v>0</v>
      </c>
    </row>
    <row r="32" spans="1:64" s="3" customFormat="1" ht="39.75" customHeight="1" thickBot="1">
      <c r="A32" s="53">
        <v>6</v>
      </c>
      <c r="B32" s="54" t="s">
        <v>227</v>
      </c>
      <c r="C32" s="41">
        <f>+SUM(C33:C36)</f>
        <v>44</v>
      </c>
      <c r="D32" s="41">
        <f t="shared" ref="D32" si="289">+SUM(D33:D36)</f>
        <v>255310.40000000002</v>
      </c>
      <c r="E32" s="41">
        <f t="shared" ref="E32" si="290">+SUM(E33:E36)</f>
        <v>132758</v>
      </c>
      <c r="F32" s="41">
        <f t="shared" ref="F32" si="291">+SUM(F33:F36)</f>
        <v>59125</v>
      </c>
      <c r="G32" s="41">
        <f t="shared" ref="G32" si="292">+SUM(G33:G36)</f>
        <v>6058</v>
      </c>
      <c r="H32" s="41">
        <f t="shared" ref="H32" si="293">+SUM(H33:H36)</f>
        <v>100</v>
      </c>
      <c r="I32" s="41">
        <f t="shared" ref="I32" si="294">+SUM(I33:I36)</f>
        <v>968</v>
      </c>
      <c r="J32" s="41">
        <f t="shared" ref="J32" si="295">+SUM(J33:J36)</f>
        <v>27</v>
      </c>
      <c r="K32" s="41">
        <f t="shared" ref="K32" si="296">+SUM(K33:K36)</f>
        <v>65007.899999999994</v>
      </c>
      <c r="L32" s="41">
        <f t="shared" ref="L32" si="297">+SUM(L33:L36)</f>
        <v>8205</v>
      </c>
      <c r="M32" s="41">
        <f t="shared" ref="M32" si="298">+SUM(M33:M36)</f>
        <v>11298</v>
      </c>
      <c r="N32" s="41">
        <f t="shared" ref="N32" si="299">+SUM(N33:N36)</f>
        <v>4483.5</v>
      </c>
      <c r="O32" s="41">
        <f t="shared" ref="O32" si="300">+SUM(O33:O36)</f>
        <v>0</v>
      </c>
      <c r="P32" s="41">
        <f t="shared" ref="P32" si="301">+SUM(P33:P36)</f>
        <v>30</v>
      </c>
      <c r="Q32" s="41">
        <f t="shared" ref="Q32" si="302">+SUM(Q33:Q36)</f>
        <v>154936.4</v>
      </c>
      <c r="R32" s="41">
        <f t="shared" ref="R32" si="303">+SUM(R33:R36)</f>
        <v>100133</v>
      </c>
      <c r="S32" s="41">
        <f t="shared" ref="S32" si="304">+SUM(S33:S36)</f>
        <v>33400</v>
      </c>
      <c r="T32" s="41">
        <f t="shared" ref="T32" si="305">+SUM(T33:T36)</f>
        <v>1978</v>
      </c>
      <c r="U32" s="41">
        <f t="shared" ref="U32" si="306">+SUM(U33:U36)</f>
        <v>100</v>
      </c>
      <c r="V32" s="41">
        <f t="shared" ref="V32" si="307">+SUM(V33:V36)</f>
        <v>347</v>
      </c>
      <c r="W32" s="41">
        <f t="shared" ref="W32" si="308">+SUM(W33:W36)</f>
        <v>3</v>
      </c>
      <c r="X32" s="41">
        <f t="shared" ref="X32" si="309">+SUM(X33:X36)</f>
        <v>1580</v>
      </c>
      <c r="Y32" s="41">
        <f t="shared" ref="Y32" si="310">+SUM(Y33:Y36)</f>
        <v>1150</v>
      </c>
      <c r="Z32" s="41">
        <f t="shared" ref="Z32" si="311">+SUM(Z33:Z36)</f>
        <v>430</v>
      </c>
      <c r="AA32" s="41">
        <f t="shared" ref="AA32" si="312">+SUM(AA33:AA36)</f>
        <v>0</v>
      </c>
      <c r="AB32" s="41">
        <f t="shared" ref="AB32" si="313">+SUM(AB33:AB36)</f>
        <v>0</v>
      </c>
      <c r="AC32" s="41">
        <f t="shared" ref="AC32" si="314">+SUM(AC33:AC36)</f>
        <v>7</v>
      </c>
      <c r="AD32" s="41">
        <f t="shared" ref="AD32" si="315">+SUM(AD33:AD36)</f>
        <v>3</v>
      </c>
      <c r="AE32" s="41">
        <f t="shared" ref="AE32" si="316">+SUM(AE33:AE36)</f>
        <v>1580</v>
      </c>
      <c r="AF32" s="41">
        <f t="shared" ref="AF32" si="317">+SUM(AF33:AF36)</f>
        <v>1150</v>
      </c>
      <c r="AG32" s="41">
        <f t="shared" ref="AG32" si="318">+SUM(AG33:AG36)</f>
        <v>430</v>
      </c>
      <c r="AH32" s="41">
        <f t="shared" ref="AH32" si="319">+SUM(AH33:AH36)</f>
        <v>0</v>
      </c>
      <c r="AI32" s="41">
        <f t="shared" ref="AI32" si="320">+SUM(AI33:AI36)</f>
        <v>0</v>
      </c>
      <c r="AJ32" s="41">
        <f t="shared" ref="AJ32" si="321">+SUM(AJ33:AJ36)</f>
        <v>7</v>
      </c>
      <c r="AK32" s="41">
        <f t="shared" ref="AK32" si="322">+SUM(AK33:AK36)</f>
        <v>0</v>
      </c>
      <c r="AL32" s="41">
        <f t="shared" ref="AL32" si="323">+SUM(AL33:AL36)</f>
        <v>0</v>
      </c>
      <c r="AM32" s="41">
        <f t="shared" ref="AM32" si="324">+SUM(AM33:AM36)</f>
        <v>0</v>
      </c>
      <c r="AN32" s="41">
        <f t="shared" ref="AN32" si="325">+SUM(AN33:AN36)</f>
        <v>0</v>
      </c>
      <c r="AO32" s="41">
        <f t="shared" ref="AO32" si="326">+SUM(AO33:AO36)</f>
        <v>0</v>
      </c>
      <c r="AP32" s="41">
        <f t="shared" ref="AP32" si="327">+SUM(AP33:AP36)</f>
        <v>0</v>
      </c>
      <c r="AQ32" s="41">
        <f t="shared" ref="AQ32" si="328">+SUM(AQ33:AQ36)</f>
        <v>0</v>
      </c>
      <c r="AR32" s="41">
        <f t="shared" ref="AR32" si="329">+SUM(AR33:AR36)</f>
        <v>0</v>
      </c>
      <c r="AS32" s="41">
        <f t="shared" ref="AS32" si="330">+SUM(AS33:AS36)</f>
        <v>0</v>
      </c>
      <c r="AT32" s="41">
        <f t="shared" ref="AT32" si="331">+SUM(AT33:AT36)</f>
        <v>0</v>
      </c>
      <c r="AU32" s="41">
        <f t="shared" ref="AU32" si="332">+SUM(AU33:AU36)</f>
        <v>0</v>
      </c>
      <c r="AV32" s="41">
        <f t="shared" ref="AV32" si="333">+SUM(AV33:AV36)</f>
        <v>0</v>
      </c>
      <c r="AW32" s="41">
        <f t="shared" ref="AW32" si="334">+SUM(AW33:AW36)</f>
        <v>0</v>
      </c>
      <c r="AX32" s="41">
        <f t="shared" ref="AX32" si="335">+SUM(AX33:AX36)</f>
        <v>0</v>
      </c>
      <c r="AY32" s="41">
        <f t="shared" ref="AY32" si="336">+SUM(AY33:AY36)</f>
        <v>21</v>
      </c>
      <c r="AZ32" s="41">
        <f t="shared" ref="AZ32" si="337">+SUM(AZ33:AZ36)</f>
        <v>143027.6</v>
      </c>
      <c r="BA32" s="41">
        <f t="shared" ref="BA32" si="338">+SUM(BA33:BA36)</f>
        <v>95233</v>
      </c>
      <c r="BB32" s="41">
        <f t="shared" ref="BB32" si="339">+SUM(BB33:BB36)</f>
        <v>30470</v>
      </c>
      <c r="BC32" s="41">
        <f t="shared" ref="BC32" si="340">+SUM(BC33:BC36)</f>
        <v>1582</v>
      </c>
      <c r="BD32" s="41">
        <f t="shared" ref="BD32" si="341">+SUM(BD33:BD36)</f>
        <v>100</v>
      </c>
      <c r="BE32" s="41">
        <f t="shared" ref="BE32" si="342">+SUM(BE33:BE36)</f>
        <v>306</v>
      </c>
      <c r="BF32" s="41">
        <f t="shared" ref="BF32" si="343">+SUM(BF33:BF36)</f>
        <v>5</v>
      </c>
      <c r="BG32" s="41">
        <f t="shared" ref="BG32" si="344">+SUM(BG33:BG36)</f>
        <v>91060</v>
      </c>
      <c r="BH32" s="41">
        <f t="shared" ref="BH32" si="345">+SUM(BH33:BH36)</f>
        <v>28860</v>
      </c>
      <c r="BI32" s="41">
        <f t="shared" ref="BI32" si="346">+SUM(BI33:BI36)</f>
        <v>21000</v>
      </c>
      <c r="BJ32" s="41">
        <f t="shared" ref="BJ32" si="347">+SUM(BJ33:BJ36)</f>
        <v>4000</v>
      </c>
      <c r="BK32" s="41">
        <f t="shared" ref="BK32" si="348">+SUM(BK33:BK36)</f>
        <v>0</v>
      </c>
      <c r="BL32" s="43">
        <f t="shared" ref="BL32" si="349">+SUM(BL33:BL36)</f>
        <v>570</v>
      </c>
    </row>
    <row r="33" spans="1:64" s="3" customFormat="1" ht="39.75" customHeight="1">
      <c r="A33" s="52"/>
      <c r="B33" s="50" t="s">
        <v>1771</v>
      </c>
      <c r="C33" s="46">
        <f>+COUNTIFS(манзилли!$D:$D,'свод (сектор вилоят)'!$B$32,манзилли!$E:$E,"1")</f>
        <v>17</v>
      </c>
      <c r="D33" s="47">
        <f>(+SUMIFS(манзилли!$K:$K,манзилли!$D:$D,'свод (сектор вилоят)'!$B$32,манзилли!$E:$E,"1"))</f>
        <v>93344.1</v>
      </c>
      <c r="E33" s="47">
        <f>(+SUMIFS(манзилли!$M:$M,манзилли!$D:$D,'свод (сектор вилоят)'!$B$32,манзилли!$E:$E,"1"))</f>
        <v>36433</v>
      </c>
      <c r="F33" s="47">
        <f>(+SUMIFS(манзилли!$Q:$Q,манзилли!$D:$D,'свод (сектор вилоят)'!$B$32,манзилли!$E:$E,"1"))</f>
        <v>39020</v>
      </c>
      <c r="G33" s="47">
        <f>(+SUMIFS(манзилли!$S:$S,манзилли!$D:$D,'свод (сектор вилоят)'!$B$32,манзилли!$E:$E,"1"))</f>
        <v>1737</v>
      </c>
      <c r="H33" s="47">
        <f>(+SUMIFS(манзилли!$U:$U,манзилли!$D:$D,'свод (сектор вилоят)'!$B$32,манзилли!$E:$E,"1"))</f>
        <v>0</v>
      </c>
      <c r="I33" s="48">
        <f>+SUMIFS(манзилли!$Y:$Y,манзилли!$D:$D,'свод (сектор вилоят)'!$B$32,манзилли!$E:$E,"1")</f>
        <v>337</v>
      </c>
      <c r="J33" s="46">
        <f>(+COUNTIFS(манзилли!$L:$L,"&gt;0",манзилли!$D:$D,'свод (сектор вилоят)'!$B$32,манзилли!$E:$E,"1")+COUNTIFS('Қўшимча ишга тушган'!$T:$T,"&gt;0",'Қўшимча ишга тушган'!$D:$D,'свод (сектор вилоят)'!$B$32,'Қўшимча ишга тушган'!$E:$E,"1"))</f>
        <v>10</v>
      </c>
      <c r="K33" s="48">
        <f>(+SUMIFS(манзилли!$L:$L,манзилли!$D:$D,'свод (сектор вилоят)'!$B$32,манзилли!$E:$E,"1")+SUMIFS('Қўшимча ишга тушган'!$T:$T,'Қўшимча ишга тушган'!$D:$D,'свод (сектор вилоят)'!$B$32,'Қўшимча ишга тушган'!$E:$E,"1"))</f>
        <v>17450.879999999997</v>
      </c>
      <c r="L33" s="49">
        <f>(+SUMIFS(манзилли!$N:$N,манзилли!$D:$D,'свод (сектор вилоят)'!$B$32,манзилли!$E:$E,"1")+SUMIFS('Қўшимча ишга тушган'!$V:$V,'Қўшимча ишга тушган'!$D:$D,'свод (сектор вилоят)'!$B$32,'Қўшимча ишга тушган'!$E:$E,"1"))</f>
        <v>1800</v>
      </c>
      <c r="M33" s="47">
        <f>(+SUMIFS(манзилли!$R:$R,манзилли!$D:$D,'свод (сектор вилоят)'!$B$32,манзилли!$E:$E,"1")+SUMIFS('Қўшимча ишга тушган'!$Z:$Z,'Қўшимча ишга тушган'!$D:$D,'свод (сектор вилоят)'!$B$32,'Қўшимча ишга тушган'!$E:$E,"1"))</f>
        <v>3723</v>
      </c>
      <c r="N33" s="47">
        <f>(+SUMIFS(манзилли!$T:$T,манзилли!$D:$D,'свод (сектор вилоят)'!$B$32,манзилли!$E:$E,"1")+SUMIFS('Қўшимча ишга тушган'!$AB:$AB,'Қўшимча ишга тушган'!$D:$D,'свод (сектор вилоят)'!$B$32,'Қўшимча ишга тушган'!$E:$E,"1"))</f>
        <v>1169.4000000000001</v>
      </c>
      <c r="O33" s="48">
        <f>(+SUMIFS(манзилли!$V:$V,манзилли!$D:$D,'свод (сектор вилоят)'!$B$32,манзилли!$E:$E,"1")+SUMIFS('Қўшимча ишга тушган'!$AD:$AD,'Қўшимча ишга тушган'!$D:$D,'свод (сектор вилоят)'!$B$32,'Қўшимча ишга тушган'!$E:$E,"1"))</f>
        <v>0</v>
      </c>
      <c r="P33" s="46">
        <f>+COUNTIFS(манзилли!$D:$D,'свод (сектор вилоят)'!$B$32,манзилли!$AA:$AA,"&gt;31.12.2020",манзилли!$AA:$AA,"&lt;01.01.2022",манзилли!$E:$E,"1")</f>
        <v>13</v>
      </c>
      <c r="Q33" s="47">
        <f>(+SUMIFS(манзилли!$K:$K,манзилли!$D:$D,'свод (сектор вилоят)'!$B$32,манзилли!$AA:$AA,"&gt;31.12.2020",манзилли!$AA:$AA,"&lt;01.01.2022",манзилли!$E:$E,"1"))</f>
        <v>42970.1</v>
      </c>
      <c r="R33" s="47">
        <f>(+SUMIFS(манзилли!$M:$M,манзилли!$D:$D,'свод (сектор вилоят)'!$B$32,манзилли!$AA:$AA,"&gt;31.12.2020",манзилли!$AA:$AA,"&lt;01.01.2022",манзилли!$E:$E,"1"))</f>
        <v>18283</v>
      </c>
      <c r="S33" s="47">
        <f>(+SUMIFS(манзилли!$Q:$Q,манзилли!$D:$D,'свод (сектор вилоят)'!$B$32,манзилли!$AA:$AA,"&gt;31.12.2020",манзилли!$AA:$AA,"&lt;01.01.2022",манзилли!$E:$E,"1"))</f>
        <v>17920</v>
      </c>
      <c r="T33" s="47">
        <f>(+SUMIFS(манзилли!$S:$S,манзилли!$D:$D,'свод (сектор вилоят)'!$B$32,манзилли!$AA:$AA,"&gt;31.12.2020",манзилли!$AA:$AA,"&lt;01.01.2022",манзилли!$E:$E,"1"))</f>
        <v>657</v>
      </c>
      <c r="U33" s="47">
        <f>(+SUMIFS(манзилли!$U:$U,манзилли!$D:$D,'свод (сектор вилоят)'!$B$32,манзилли!$AA:$AA,"&gt;31.12.2020",манзилли!$AA:$AA,"&lt;01.01.2022",манзилли!$E:$E,"1"))</f>
        <v>0</v>
      </c>
      <c r="V33" s="48">
        <f>+SUMIFS(манзилли!$Y:$Y,манзилли!$D:$D,'свод (сектор вилоят)'!$B$32,манзилли!$AA:$AA,"&gt;31.12.2020",манзилли!$AA:$AA,"&lt;01.01.2022",манзилли!$E:$E,"1")</f>
        <v>130</v>
      </c>
      <c r="W33" s="46">
        <f>+AD33+AK33</f>
        <v>1</v>
      </c>
      <c r="X33" s="47">
        <f t="shared" ref="X33:X36" si="350">+AE33+AL33</f>
        <v>1000</v>
      </c>
      <c r="Y33" s="47">
        <f t="shared" ref="Y33:Y36" si="351">+AF33+AM33</f>
        <v>700</v>
      </c>
      <c r="Z33" s="47">
        <f t="shared" ref="Z33:Z36" si="352">+AG33+AN33</f>
        <v>300</v>
      </c>
      <c r="AA33" s="47">
        <f t="shared" ref="AA33:AA36" si="353">+AH33+AO33</f>
        <v>0</v>
      </c>
      <c r="AB33" s="47">
        <f t="shared" ref="AB33:AB36" si="354">+AI33+AP33</f>
        <v>0</v>
      </c>
      <c r="AC33" s="48">
        <f t="shared" ref="AC33:AC36" si="355">+AJ33+AQ33</f>
        <v>4</v>
      </c>
      <c r="AD33" s="46">
        <f>+COUNTIFS(манзилли!$D:$D,'свод (сектор вилоят)'!$B$32,манзилли!$AB:$AB,"&gt;31.12.2020",манзилли!$AA:$AA,"&gt;31.12.2020",манзилли!$AA:$AA,"&lt;01.01.2022",манзилли!$E:$E,"1")</f>
        <v>1</v>
      </c>
      <c r="AE33" s="47">
        <f>(+SUMIFS(манзилли!$L:$L,манзилли!$D:$D,'свод (сектор вилоят)'!$B$32,манзилли!$AB:$AB,"&gt;31.12.2020",манзилли!$AA:$AA,"&gt;31.12.2020",манзилли!$AA:$AA,"&lt;01.01.2022",манзилли!$E:$E,"1"))</f>
        <v>1000</v>
      </c>
      <c r="AF33" s="47">
        <f>(+SUMIFS(манзилли!$N:$N,манзилли!$D:$D,'свод (сектор вилоят)'!$B$32,манзилли!$AB:$AB,"&gt;31.12.2020",манзилли!$AA:$AA,"&gt;31.12.2020",манзилли!$AA:$AA,"&lt;01.01.2022",манзилли!$E:$E,"1"))</f>
        <v>700</v>
      </c>
      <c r="AG33" s="47">
        <f>(+SUMIFS(манзилли!$R:$R,манзилли!$D:$D,'свод (сектор вилоят)'!$B$32,манзилли!$AB:$AB,"&gt;31.12.2020",манзилли!$AA:$AA,"&gt;31.12.2020",манзилли!$AA:$AA,"&lt;01.01.2022",манзилли!$E:$E,"1"))</f>
        <v>300</v>
      </c>
      <c r="AH33" s="47">
        <f>(+SUMIFS(манзилли!$T:$T,манзилли!$D:$D,'свод (сектор вилоят)'!$B$32,манзилли!$AB:$AB,"&gt;31.12.2020",манзилли!$AA:$AA,"&gt;31.12.2020",манзилли!$AA:$AA,"&lt;01.01.2022",манзилли!$E:$E,"1"))</f>
        <v>0</v>
      </c>
      <c r="AI33" s="47">
        <f>(+SUMIFS(манзилли!$V:$V,манзилли!$D:$D,'свод (сектор вилоят)'!$B$32,манзилли!$AB:$AB,"&gt;31.12.2020",манзилли!$AA:$AA,"&gt;31.12.2020",манзилли!$AA:$AA,"&lt;01.01.2022",манзилли!$E:$E,"1"))</f>
        <v>0</v>
      </c>
      <c r="AJ33" s="48">
        <f>+SUMIFS(манзилли!$Z:$Z,манзилли!$D:$D,'свод (сектор вилоят)'!$B$32,манзилли!$AB:$AB,"&gt;31.12.2020",манзилли!$AA:$AA,"&gt;31.12.2020",манзилли!$AA:$AA,"&lt;01.01.2022",манзилли!$E:$E,"1")</f>
        <v>4</v>
      </c>
      <c r="AK33" s="46">
        <f>+COUNTIFS('Қўшимча ишга тушган'!$D:$D,'свод (сектор вилоят)'!B32,'Қўшимча ишга тушган'!$AO:$AO,"&lt;01.10.2023",манзилли!$E:$E,"1")</f>
        <v>0</v>
      </c>
      <c r="AL33" s="47">
        <f>(+SUMIFS('Қўшимча ишга тушган'!$T:$T,'Қўшимча ишга тушган'!$D:$D,'свод (сектор вилоят)'!$B$32,'Қўшимча ишга тушган'!$AO:$AO,"&lt;01.10.2023",манзилли!$E:$E,"1"))</f>
        <v>0</v>
      </c>
      <c r="AM33" s="47">
        <f>(+SUMIFS('Қўшимча ишга тушган'!$V:$V,'Қўшимча ишга тушган'!$D:$D,'свод (сектор вилоят)'!$B$32,'Қўшимча ишга тушган'!$AO:$AO,"&lt;01.10.2023",манзилли!$E:$E,"1"))</f>
        <v>0</v>
      </c>
      <c r="AN33" s="47">
        <f>(+SUMIFS('Қўшимча ишга тушган'!$Z:$Z,'Қўшимча ишга тушган'!$D:$D,'свод (сектор вилоят)'!$B$32,'Қўшимча ишга тушган'!$AO:$AO,"&lt;01.10.2023",манзилли!$E:$E,"1"))</f>
        <v>0</v>
      </c>
      <c r="AO33" s="47">
        <f>(+SUMIFS('Қўшимча ишга тушган'!$AB:$AB,'Қўшимча ишга тушган'!$D:$D,'свод (сектор вилоят)'!$B$32,'Қўшимча ишга тушган'!$AO:$AO,"&lt;01.10.2023",манзилли!$E:$E,"1"))</f>
        <v>0</v>
      </c>
      <c r="AP33" s="47">
        <f>(+SUMIFS('Қўшимча ишга тушган'!$AD:$AD,'Қўшимча ишга тушган'!$D:$D,'свод (сектор вилоят)'!$B$32,'Қўшимча ишга тушган'!$AO:$AO,"&lt;01.10.2023",манзилли!$E:$E,"1"))</f>
        <v>0</v>
      </c>
      <c r="AQ33" s="48">
        <f>+SUMIFS('Қўшимча ишга тушган'!$AM:$AM,'Қўшимча ишга тушган'!$D:$D,'свод (сектор вилоят)'!$B$32,'Қўшимча ишга тушган'!$AO:$AO,"&lt;01.10.2023",манзилли!$E:$E,"1")</f>
        <v>0</v>
      </c>
      <c r="AR33" s="46">
        <f>+COUNTIFS(манзилли!$D:$D,'свод (сектор вилоят)'!$B$32,манзилли!$AA:$AA,"&lt;01.02.2021",манзилли!$AB:$AB,"",манзилли!$E:$E,"1")</f>
        <v>0</v>
      </c>
      <c r="AS33" s="47">
        <f>(+SUMIFS(манзилли!$K:$K,манзилли!$D:$D,'свод (сектор вилоят)'!$B$32,манзилли!$AA:$AA,"&lt;01.02.2021",манзилли!$AB:$AB,"",манзилли!$E:$E,"1"))</f>
        <v>0</v>
      </c>
      <c r="AT33" s="47">
        <f>(+SUMIFS(манзилли!$M:$M,манзилли!$D:$D,'свод (сектор вилоят)'!$B$32,манзилли!$AA:$AA,"&lt;01.02.2021",манзилли!$AB:$AB,"",манзилли!$E:$E,"1"))</f>
        <v>0</v>
      </c>
      <c r="AU33" s="47">
        <f>(+SUMIFS(манзилли!$Q:$Q,манзилли!$D:$D,'свод (сектор вилоят)'!$B$32,манзилли!$AA:$AA,"&lt;01.02.2021",манзилли!$AB:$AB,"",манзилли!$E:$E,"1"))</f>
        <v>0</v>
      </c>
      <c r="AV33" s="47">
        <f>(+SUMIFS(манзилли!$S:$S,манзилли!$D:$D,'свод (сектор вилоят)'!$B$32,манзилли!$AA:$AA,"&lt;01.02.2021",манзилли!$AB:$AB,"",манзилли!$E:$E,"1"))</f>
        <v>0</v>
      </c>
      <c r="AW33" s="47">
        <f>(+SUMIFS(манзилли!$U:$U,манзилли!$D:$D,'свод (сектор вилоят)'!$B$32,манзилли!$AA:$AA,"&lt;01.02.2021",манзилли!$AB:$AB,"",манзилли!$E:$E,"1"))</f>
        <v>0</v>
      </c>
      <c r="AX33" s="48">
        <f>+SUMIFS(манзилли!$Y:$Y,манзилли!$D:$D,'свод (сектор вилоят)'!$B$32,манзилли!$AA:$AA,"&lt;01.02.2021",манзилли!$AB:$AB,"",манзилли!$E:$E,"1")</f>
        <v>0</v>
      </c>
      <c r="AY33" s="46">
        <f>+COUNTIFS(манзилли!$D:$D,'свод (сектор вилоят)'!$B$32,манзилли!$AA:$AA,"&lt;01.01.2022",манзилли!$AB:$AB,"",манзилли!$E:$E,"1")</f>
        <v>10</v>
      </c>
      <c r="AZ33" s="47">
        <f>(+SUMIFS(манзилли!$K:$K,манзилли!$D:$D,'свод (сектор вилоят)'!$B$32,манзилли!$AA:$AA,"&lt;01.01.2022",манзилли!$AB:$AB,"",манзилли!$E:$E,"1"))</f>
        <v>40170.1</v>
      </c>
      <c r="BA33" s="47">
        <f>(+SUMIFS(манзилли!$M:$M,манзилли!$D:$D,'свод (сектор вилоят)'!$B$32,манзилли!$AA:$AA,"&lt;01.01.2022",манзилли!$AB:$AB,"",манзилли!$E:$E,"1"))</f>
        <v>16983</v>
      </c>
      <c r="BB33" s="47">
        <f>(+SUMIFS(манзилли!$Q:$Q,манзилли!$D:$D,'свод (сектор вилоят)'!$B$32,манзилли!$AA:$AA,"&lt;01.01.2022",манзилли!$AB:$AB,"",манзилли!$E:$E,"1"))</f>
        <v>16420</v>
      </c>
      <c r="BC33" s="47">
        <f>(+SUMIFS(манзилли!$S:$S,манзилли!$D:$D,'свод (сектор вилоят)'!$B$32,манзилли!$AA:$AA,"&lt;01.01.2022",манзилли!$AB:$AB,"",манзилли!$E:$E,"1"))</f>
        <v>657</v>
      </c>
      <c r="BD33" s="47">
        <f>(+SUMIFS(манзилли!$U:$U,манзилли!$D:$D,'свод (сектор вилоят)'!$B$32,манзилли!$AA:$AA,"&lt;01.01.2022",манзилли!$AB:$AB,"",манзилли!$E:$E,"1"))</f>
        <v>0</v>
      </c>
      <c r="BE33" s="48">
        <f>+SUMIFS(манзилли!$Y:$Y,манзилли!$D:$D,'свод (сектор вилоят)'!$B$32,манзилли!$AA:$AA,"&lt;01.01.2022",манзилли!$AB:$AB,"",манзилли!$E:$E,"1")</f>
        <v>114</v>
      </c>
      <c r="BF33" s="46">
        <f>+COUNTIFS(манзилли!$D:$D,'свод (сектор вилоят)'!$B$32,манзилли!$AA:$AA,"&lt;01.01.2023",манзилли!$AA:$AA,"&gt;=01.01.2022",манзилли!$E:$E,"1")</f>
        <v>2</v>
      </c>
      <c r="BG33" s="47">
        <f>(+SUMIFS(манзилли!$K:$K,манзилли!$D:$D,'свод (сектор вилоят)'!$B$32,манзилли!$AA:$AA,"&lt;01.01.2023",манзилли!$AA:$AA,"&gt;=01.01.2022",манзилли!$E:$E,"1"))</f>
        <v>48910</v>
      </c>
      <c r="BH33" s="47">
        <f>(+SUMIFS(манзилли!$M:$M,манзилли!$D:$D,'свод (сектор вилоят)'!$B$32,манзилли!$AA:$AA,"&lt;01.01.2023",манзилли!$AA:$AA,"&gt;=01.01.2022",манзилли!$E:$E,"1"))</f>
        <v>17610</v>
      </c>
      <c r="BI33" s="47">
        <f>(+SUMIFS(манзилли!$Q:$Q,манзилли!$D:$D,'свод (сектор вилоят)'!$B$32,манзилли!$AA:$AA,"&lt;01.01.2023",манзилли!$AA:$AA,"&gt;=01.01.2022",манзилли!$E:$E,"1"))</f>
        <v>21000</v>
      </c>
      <c r="BJ33" s="47">
        <f>(+SUMIFS(манзилли!$S:$S,манзилли!$D:$D,'свод (сектор вилоят)'!$B$32,манзилли!$AA:$AA,"&lt;01.01.2023",манзилли!$AA:$AA,"&gt;=01.01.2022",манзилли!$E:$E,"1"))</f>
        <v>1000</v>
      </c>
      <c r="BK33" s="47">
        <f>(+SUMIFS(манзилли!$U:$U,манзилли!$D:$D,'свод (сектор вилоят)'!$B$32,манзилли!$AA:$AA,"&lt;01.01.2023",манзилли!$AA:$AA,"&gt;=01.01.2022",манзилли!$E:$E,"1"))</f>
        <v>0</v>
      </c>
      <c r="BL33" s="48">
        <f>+SUMIFS(манзилли!$Y:$Y,манзилли!$D:$D,'свод (сектор вилоят)'!$B$32,манзилли!$AA:$AA,"&lt;01.01.2023",манзилли!$AA:$AA,"&gt;=01.01.2022",манзилли!$E:$E,"1")</f>
        <v>195</v>
      </c>
    </row>
    <row r="34" spans="1:64" s="3" customFormat="1" ht="39.75" customHeight="1">
      <c r="A34" s="51"/>
      <c r="B34" s="27" t="s">
        <v>1772</v>
      </c>
      <c r="C34" s="28">
        <f>+COUNTIFS(манзилли!$D:$D,'свод (сектор вилоят)'!$B$32,манзилли!$E:$E,"2")</f>
        <v>10</v>
      </c>
      <c r="D34" s="29">
        <f>(+SUMIFS(манзилли!$K:$K,манзилли!$D:$D,'свод (сектор вилоят)'!$B$32,манзилли!$E:$E,"2"))</f>
        <v>105008.8</v>
      </c>
      <c r="E34" s="29">
        <f>(+SUMIFS(манзилли!$M:$M,манзилли!$D:$D,'свод (сектор вилоят)'!$B$32,манзилли!$E:$E,"2"))</f>
        <v>76075</v>
      </c>
      <c r="F34" s="29">
        <f>(+SUMIFS(манзилли!$Q:$Q,манзилли!$D:$D,'свод (сектор вилоят)'!$B$32,манзилли!$E:$E,"2"))</f>
        <v>13525</v>
      </c>
      <c r="G34" s="29">
        <f>(+SUMIFS(манзилли!$S:$S,манзилли!$D:$D,'свод (сектор вилоят)'!$B$32,манзилли!$E:$E,"2"))</f>
        <v>1396</v>
      </c>
      <c r="H34" s="29">
        <f>(+SUMIFS(манзилли!$U:$U,манзилли!$D:$D,'свод (сектор вилоят)'!$B$32,манзилли!$E:$E,"2"))</f>
        <v>100</v>
      </c>
      <c r="I34" s="30">
        <f>+SUMIFS(манзилли!$Y:$Y,манзилли!$D:$D,'свод (сектор вилоят)'!$B$32,манзилли!$E:$E,"2")</f>
        <v>287</v>
      </c>
      <c r="J34" s="28">
        <f>(+COUNTIFS(манзилли!$L:$L,"&gt;0",манзилли!$D:$D,'свод (сектор вилоят)'!$B$32,манзилли!$E:$E,"2")+COUNTIFS('Қўшимча ишга тушган'!$T:$T,"&gt;0",'Қўшимча ишга тушган'!$D:$D,'свод (сектор вилоят)'!$B$32,'Қўшимча ишга тушган'!$E:$E,"2"))</f>
        <v>7</v>
      </c>
      <c r="K34" s="30">
        <f>(+SUMIFS(манзилли!$L:$L,манзилли!$D:$D,'свод (сектор вилоят)'!$B$32,манзилли!$E:$E,"2")+SUMIFS('Қўшимча ишга тушган'!$T:$T,'Қўшимча ишга тушган'!$D:$D,'свод (сектор вилоят)'!$B$32,'Қўшимча ишга тушган'!$E:$E,"2"))</f>
        <v>18814.04</v>
      </c>
      <c r="L34" s="31">
        <f>(+SUMIFS(манзилли!$N:$N,манзилли!$D:$D,'свод (сектор вилоят)'!$B$32,манзилли!$E:$E,"2")+SUMIFS('Қўшимча ишга тушган'!$V:$V,'Қўшимча ишга тушган'!$D:$D,'свод (сектор вилоят)'!$B$32,'Қўшимча ишга тушган'!$E:$E,"2"))</f>
        <v>2150</v>
      </c>
      <c r="M34" s="29">
        <f>(+SUMIFS(манзилли!$R:$R,манзилли!$D:$D,'свод (сектор вилоят)'!$B$32,манзилли!$E:$E,"2")+SUMIFS('Қўшимча ишга тушган'!$Z:$Z,'Қўшимча ишга тушган'!$D:$D,'свод (сектор вилоят)'!$B$32,'Қўшимча ишга тушган'!$E:$E,"2"))</f>
        <v>2925</v>
      </c>
      <c r="N34" s="29">
        <f>(+SUMIFS(манзилли!$T:$T,манзилли!$D:$D,'свод (сектор вилоят)'!$B$32,манзилли!$E:$E,"2")+SUMIFS('Қўшимча ишга тушган'!$AB:$AB,'Қўшимча ишга тушган'!$D:$D,'свод (сектор вилоят)'!$B$32,'Қўшимча ишга тушган'!$E:$E,"2"))</f>
        <v>1369.2</v>
      </c>
      <c r="O34" s="30">
        <f>(+SUMIFS(манзилли!$V:$V,манзилли!$D:$D,'свод (сектор вилоят)'!$B$32,манзилли!$E:$E,"2")+SUMIFS('Қўшимча ишга тушган'!$AD:$AD,'Қўшимча ишга тушган'!$D:$D,'свод (сектор вилоят)'!$B$32,'Қўшимча ишга тушган'!$E:$E,"2"))</f>
        <v>0</v>
      </c>
      <c r="P34" s="28">
        <f>+COUNTIFS(манзилли!$D:$D,'свод (сектор вилоят)'!$B$32,манзилли!$AA:$AA,"&gt;31.12.2020",манзилли!$AA:$AA,"&lt;01.01.2022",манзилли!$E:$E,"2")</f>
        <v>7</v>
      </c>
      <c r="Q34" s="29">
        <f>(+SUMIFS(манзилли!$K:$K,манзилли!$D:$D,'свод (сектор вилоят)'!$B$32,манзилли!$AA:$AA,"&gt;31.12.2020",манзилли!$AA:$AA,"&lt;01.01.2022",манзилли!$E:$E,"2"))</f>
        <v>89408.8</v>
      </c>
      <c r="R34" s="29">
        <f>(+SUMIFS(манзилли!$M:$M,манзилли!$D:$D,'свод (сектор вилоят)'!$B$32,манзилли!$AA:$AA,"&gt;31.12.2020",манзилли!$AA:$AA,"&lt;01.01.2022",манзилли!$E:$E,"2"))</f>
        <v>71900</v>
      </c>
      <c r="S34" s="29">
        <f>(+SUMIFS(манзилли!$Q:$Q,манзилли!$D:$D,'свод (сектор вилоят)'!$B$32,манзилли!$AA:$AA,"&gt;31.12.2020",манзилли!$AA:$AA,"&lt;01.01.2022",манзилли!$E:$E,"2"))</f>
        <v>12400</v>
      </c>
      <c r="T34" s="29">
        <f>(+SUMIFS(манзилли!$S:$S,манзилли!$D:$D,'свод (сектор вилоят)'!$B$32,манзилли!$AA:$AA,"&gt;31.12.2020",манзилли!$AA:$AA,"&lt;01.01.2022",манзилли!$E:$E,"2"))</f>
        <v>396</v>
      </c>
      <c r="U34" s="29">
        <f>(+SUMIFS(манзилли!$U:$U,манзилли!$D:$D,'свод (сектор вилоят)'!$B$32,манзилли!$AA:$AA,"&gt;31.12.2020",манзилли!$AA:$AA,"&lt;01.01.2022",манзилли!$E:$E,"2"))</f>
        <v>100</v>
      </c>
      <c r="V34" s="30">
        <f>+SUMIFS(манзилли!$Y:$Y,манзилли!$D:$D,'свод (сектор вилоят)'!$B$32,манзилли!$AA:$AA,"&gt;31.12.2020",манзилли!$AA:$AA,"&lt;01.01.2022",манзилли!$E:$E,"2")</f>
        <v>149</v>
      </c>
      <c r="W34" s="28">
        <f t="shared" ref="W34:W36" si="356">+AD34+AK34</f>
        <v>0</v>
      </c>
      <c r="X34" s="29">
        <f t="shared" si="350"/>
        <v>0</v>
      </c>
      <c r="Y34" s="29">
        <f t="shared" si="351"/>
        <v>0</v>
      </c>
      <c r="Z34" s="29">
        <f t="shared" si="352"/>
        <v>0</v>
      </c>
      <c r="AA34" s="29">
        <f t="shared" si="353"/>
        <v>0</v>
      </c>
      <c r="AB34" s="29">
        <f t="shared" si="354"/>
        <v>0</v>
      </c>
      <c r="AC34" s="30">
        <f t="shared" si="355"/>
        <v>0</v>
      </c>
      <c r="AD34" s="28">
        <f>+COUNTIFS(манзилли!$D:$D,'свод (сектор вилоят)'!$B$32,манзилли!$AB:$AB,"&gt;31.12.2020",манзилли!$AA:$AA,"&gt;31.12.2020",манзилли!$AA:$AA,"&lt;01.01.2022",манзилли!$E:$E,"2")</f>
        <v>0</v>
      </c>
      <c r="AE34" s="29">
        <f>(+SUMIFS(манзилли!$L:$L,манзилли!$D:$D,'свод (сектор вилоят)'!$B$32,манзилли!$AB:$AB,"&gt;31.12.2020",манзилли!$AA:$AA,"&gt;31.12.2020",манзилли!$AA:$AA,"&lt;01.01.2022",манзилли!$E:$E,"2"))</f>
        <v>0</v>
      </c>
      <c r="AF34" s="29">
        <f>(+SUMIFS(манзилли!$N:$N,манзилли!$D:$D,'свод (сектор вилоят)'!$B$32,манзилли!$AB:$AB,"&gt;31.12.2020",манзилли!$AA:$AA,"&gt;31.12.2020",манзилли!$AA:$AA,"&lt;01.01.2022",манзилли!$E:$E,"2"))</f>
        <v>0</v>
      </c>
      <c r="AG34" s="29">
        <f>(+SUMIFS(манзилли!$R:$R,манзилли!$D:$D,'свод (сектор вилоят)'!$B$32,манзилли!$AB:$AB,"&gt;31.12.2020",манзилли!$AA:$AA,"&gt;31.12.2020",манзилли!$AA:$AA,"&lt;01.01.2022",манзилли!$E:$E,"2"))</f>
        <v>0</v>
      </c>
      <c r="AH34" s="29">
        <f>(+SUMIFS(манзилли!$T:$T,манзилли!$D:$D,'свод (сектор вилоят)'!$B$32,манзилли!$AB:$AB,"&gt;31.12.2020",манзилли!$AA:$AA,"&gt;31.12.2020",манзилли!$AA:$AA,"&lt;01.01.2022",манзилли!$E:$E,"2"))</f>
        <v>0</v>
      </c>
      <c r="AI34" s="29">
        <f>(+SUMIFS(манзилли!$V:$V,манзилли!$D:$D,'свод (сектор вилоят)'!$B$32,манзилли!$AB:$AB,"&gt;31.12.2020",манзилли!$AA:$AA,"&gt;31.12.2020",манзилли!$AA:$AA,"&lt;01.01.2022",манзилли!$E:$E,"2"))</f>
        <v>0</v>
      </c>
      <c r="AJ34" s="30">
        <f>+SUMIFS(манзилли!$Z:$Z,манзилли!$D:$D,'свод (сектор вилоят)'!$B$32,манзилли!$AB:$AB,"&gt;31.12.2020",манзилли!$AA:$AA,"&gt;31.12.2020",манзилли!$AA:$AA,"&lt;01.01.2022",манзилли!$E:$E,"2")</f>
        <v>0</v>
      </c>
      <c r="AK34" s="28">
        <f>+COUNTIFS('Қўшимча ишга тушган'!$D:$D,'свод (сектор вилоят)'!B32,'Қўшимча ишга тушган'!$AO:$AO,"&lt;01.10.2023",манзилли!$E:$E,"2")</f>
        <v>0</v>
      </c>
      <c r="AL34" s="29">
        <f>(+SUMIFS('Қўшимча ишга тушган'!$T:$T,'Қўшимча ишга тушган'!$D:$D,'свод (сектор вилоят)'!$B$32,'Қўшимча ишга тушган'!$AO:$AO,"&lt;01.10.2023",манзилли!$E:$E,"2"))</f>
        <v>0</v>
      </c>
      <c r="AM34" s="29">
        <f>(+SUMIFS('Қўшимча ишга тушган'!$V:$V,'Қўшимча ишга тушган'!$D:$D,'свод (сектор вилоят)'!$B$32,'Қўшимча ишга тушган'!$AO:$AO,"&lt;01.10.2023",манзилли!$E:$E,"2"))</f>
        <v>0</v>
      </c>
      <c r="AN34" s="29">
        <f>(+SUMIFS('Қўшимча ишга тушган'!$Z:$Z,'Қўшимча ишга тушган'!$D:$D,'свод (сектор вилоят)'!$B$32,'Қўшимча ишга тушган'!$AO:$AO,"&lt;01.10.2023",манзилли!$E:$E,"2"))</f>
        <v>0</v>
      </c>
      <c r="AO34" s="29">
        <f>(+SUMIFS('Қўшимча ишга тушган'!$AB:$AB,'Қўшимча ишга тушган'!$D:$D,'свод (сектор вилоят)'!$B$32,'Қўшимча ишга тушган'!$AO:$AO,"&lt;01.10.2023",манзилли!$E:$E,"2"))</f>
        <v>0</v>
      </c>
      <c r="AP34" s="29">
        <f>(+SUMIFS('Қўшимча ишга тушган'!$AD:$AD,'Қўшимча ишга тушган'!$D:$D,'свод (сектор вилоят)'!$B$32,'Қўшимча ишга тушган'!$AO:$AO,"&lt;01.10.2023",манзилли!$E:$E,"2"))</f>
        <v>0</v>
      </c>
      <c r="AQ34" s="30">
        <f>+SUMIFS('Қўшимча ишга тушган'!$AM:$AM,'Қўшимча ишга тушган'!$D:$D,'свод (сектор вилоят)'!$B$32,'Қўшимча ишга тушган'!$AO:$AO,"&lt;01.10.2023",манзилли!$E:$E,"2")</f>
        <v>0</v>
      </c>
      <c r="AR34" s="28">
        <f>+COUNTIFS(манзилли!$D:$D,'свод (сектор вилоят)'!$B$32,манзилли!$AA:$AA,"&lt;01.02.2021",манзилли!$AB:$AB,"",манзилли!$E:$E,"2")</f>
        <v>0</v>
      </c>
      <c r="AS34" s="29">
        <f>(+SUMIFS(манзилли!$K:$K,манзилли!$D:$D,'свод (сектор вилоят)'!$B$32,манзилли!$AA:$AA,"&lt;01.02.2021",манзилли!$AB:$AB,"",манзилли!$E:$E,"2"))</f>
        <v>0</v>
      </c>
      <c r="AT34" s="29">
        <f>(+SUMIFS(манзилли!$M:$M,манзилли!$D:$D,'свод (сектор вилоят)'!$B$32,манзилли!$AA:$AA,"&lt;01.02.2021",манзилли!$AB:$AB,"",манзилли!$E:$E,"2"))</f>
        <v>0</v>
      </c>
      <c r="AU34" s="29">
        <f>(+SUMIFS(манзилли!$Q:$Q,манзилли!$D:$D,'свод (сектор вилоят)'!$B$32,манзилли!$AA:$AA,"&lt;01.02.2021",манзилли!$AB:$AB,"",манзилли!$E:$E,"2"))</f>
        <v>0</v>
      </c>
      <c r="AV34" s="29">
        <f>(+SUMIFS(манзилли!$S:$S,манзилли!$D:$D,'свод (сектор вилоят)'!$B$32,манзилли!$AA:$AA,"&lt;01.02.2021",манзилли!$AB:$AB,"",манзилли!$E:$E,"2"))</f>
        <v>0</v>
      </c>
      <c r="AW34" s="29">
        <f>(+SUMIFS(манзилли!$U:$U,манзилли!$D:$D,'свод (сектор вилоят)'!$B$32,манзилли!$AA:$AA,"&lt;01.02.2021",манзилли!$AB:$AB,"",манзилли!$E:$E,"2"))</f>
        <v>0</v>
      </c>
      <c r="AX34" s="30">
        <f>+SUMIFS(манзилли!$Y:$Y,манзилли!$D:$D,'свод (сектор вилоят)'!$B$32,манзилли!$AA:$AA,"&lt;01.02.2021",манзилли!$AB:$AB,"",манзилли!$E:$E,"2")</f>
        <v>0</v>
      </c>
      <c r="AY34" s="28">
        <f>+COUNTIFS(манзилли!$D:$D,'свод (сектор вилоят)'!$B$32,манзилли!$AA:$AA,"&lt;01.01.2022",манзилли!$AB:$AB,"",манзилли!$E:$E,"2")</f>
        <v>4</v>
      </c>
      <c r="AZ34" s="29">
        <f>(+SUMIFS(манзилли!$K:$K,манзилли!$D:$D,'свод (сектор вилоят)'!$B$32,манзилли!$AA:$AA,"&lt;01.01.2022",манзилли!$AB:$AB,"",манзилли!$E:$E,"2"))</f>
        <v>82930</v>
      </c>
      <c r="BA34" s="29">
        <f>(+SUMIFS(манзилли!$M:$M,манзилли!$D:$D,'свод (сектор вилоят)'!$B$32,манзилли!$AA:$AA,"&lt;01.01.2022",манзилли!$AB:$AB,"",манзилли!$E:$E,"2"))</f>
        <v>69700</v>
      </c>
      <c r="BB34" s="29">
        <f>(+SUMIFS(манзилли!$Q:$Q,манзилли!$D:$D,'свод (сектор вилоят)'!$B$32,манзилли!$AA:$AA,"&lt;01.01.2022",манзилли!$AB:$AB,"",манзилли!$E:$E,"2"))</f>
        <v>12200</v>
      </c>
      <c r="BC34" s="29">
        <f>(+SUMIFS(манзилли!$S:$S,манзилли!$D:$D,'свод (сектор вилоят)'!$B$32,манзилли!$AA:$AA,"&lt;01.01.2022",манзилли!$AB:$AB,"",манзилли!$E:$E,"2"))</f>
        <v>0</v>
      </c>
      <c r="BD34" s="29">
        <f>(+SUMIFS(манзилли!$U:$U,манзилли!$D:$D,'свод (сектор вилоят)'!$B$32,манзилли!$AA:$AA,"&lt;01.01.2022",манзилли!$AB:$AB,"",манзилли!$E:$E,"2"))</f>
        <v>100</v>
      </c>
      <c r="BE34" s="30">
        <f>+SUMIFS(манзилли!$Y:$Y,манзилли!$D:$D,'свод (сектор вилоят)'!$B$32,манзилли!$AA:$AA,"&lt;01.01.2022",манзилли!$AB:$AB,"",манзилли!$E:$E,"2")</f>
        <v>135</v>
      </c>
      <c r="BF34" s="28">
        <f>+COUNTIFS(манзилли!$D:$D,'свод (сектор вилоят)'!$B$32,манзилли!$AA:$AA,"&lt;01.01.2023",манзилли!$AA:$AA,"&gt;=01.01.2022",манзилли!$E:$E,"2")</f>
        <v>1</v>
      </c>
      <c r="BG34" s="29">
        <f>(+SUMIFS(манзилли!$K:$K,манзилли!$D:$D,'свод (сектор вилоят)'!$B$32,манзилли!$AA:$AA,"&lt;01.01.2023",манзилли!$AA:$AA,"&gt;=01.01.2022",манзилли!$E:$E,"2"))</f>
        <v>14050</v>
      </c>
      <c r="BH34" s="29">
        <f>(+SUMIFS(манзилли!$M:$M,манзилли!$D:$D,'свод (сектор вилоят)'!$B$32,манзилли!$AA:$AA,"&lt;01.01.2023",манзилли!$AA:$AA,"&gt;=01.01.2022",манзилли!$E:$E,"2"))</f>
        <v>3750</v>
      </c>
      <c r="BI34" s="29">
        <f>(+SUMIFS(манзилли!$Q:$Q,манзилли!$D:$D,'свод (сектор вилоят)'!$B$32,манзилли!$AA:$AA,"&lt;01.01.2023",манзилли!$AA:$AA,"&gt;=01.01.2022",манзилли!$E:$E,"2"))</f>
        <v>0</v>
      </c>
      <c r="BJ34" s="29">
        <f>(+SUMIFS(манзилли!$S:$S,манзилли!$D:$D,'свод (сектор вилоят)'!$B$32,манзилли!$AA:$AA,"&lt;01.01.2023",манзилли!$AA:$AA,"&gt;=01.01.2022",манзилли!$E:$E,"2"))</f>
        <v>1000</v>
      </c>
      <c r="BK34" s="29">
        <f>(+SUMIFS(манзилли!$U:$U,манзилли!$D:$D,'свод (сектор вилоят)'!$B$32,манзилли!$AA:$AA,"&lt;01.01.2023",манзилли!$AA:$AA,"&gt;=01.01.2022",манзилли!$E:$E,"2"))</f>
        <v>0</v>
      </c>
      <c r="BL34" s="30">
        <f>+SUMIFS(манзилли!$Y:$Y,манзилли!$D:$D,'свод (сектор вилоят)'!$B$32,манзилли!$AA:$AA,"&lt;01.01.2023",манзилли!$AA:$AA,"&gt;=01.01.2022",манзилли!$E:$E,"2")</f>
        <v>125</v>
      </c>
    </row>
    <row r="35" spans="1:64" s="3" customFormat="1" ht="39.75" customHeight="1">
      <c r="A35" s="51"/>
      <c r="B35" s="27" t="s">
        <v>1773</v>
      </c>
      <c r="C35" s="28">
        <f>+COUNTIFS(манзилли!$D:$D,'свод (сектор вилоят)'!$B$32,манзилли!$E:$E,"3")</f>
        <v>7</v>
      </c>
      <c r="D35" s="29">
        <f>(+SUMIFS(манзилли!$K:$K,манзилли!$D:$D,'свод (сектор вилоят)'!$B$32,манзилли!$E:$E,"3"))</f>
        <v>24760</v>
      </c>
      <c r="E35" s="29">
        <f>(+SUMIFS(манзилли!$M:$M,манзилли!$D:$D,'свод (сектор вилоят)'!$B$32,манзилли!$E:$E,"3"))</f>
        <v>8600</v>
      </c>
      <c r="F35" s="29">
        <f>(+SUMIFS(манзилли!$Q:$Q,манзилли!$D:$D,'свод (сектор вилоят)'!$B$32,манзилли!$E:$E,"3"))</f>
        <v>4830</v>
      </c>
      <c r="G35" s="29">
        <f>(+SUMIFS(манзилли!$S:$S,манзилли!$D:$D,'свод (сектор вилоят)'!$B$32,манзилли!$E:$E,"3"))</f>
        <v>1100</v>
      </c>
      <c r="H35" s="29">
        <f>(+SUMIFS(манзилли!$U:$U,манзилли!$D:$D,'свод (сектор вилоят)'!$B$32,манзилли!$E:$E,"3"))</f>
        <v>0</v>
      </c>
      <c r="I35" s="30">
        <f>+SUMIFS(манзилли!$Y:$Y,манзилли!$D:$D,'свод (сектор вилоят)'!$B$32,манзилли!$E:$E,"3")</f>
        <v>159</v>
      </c>
      <c r="J35" s="28">
        <f>(+COUNTIFS(манзилли!$L:$L,"&gt;0",манзилли!$D:$D,'свод (сектор вилоят)'!$B$32,манзилли!$E:$E,"3")+COUNTIFS('Қўшимча ишга тушган'!$T:$T,"&gt;0",'Қўшимча ишга тушган'!$D:$D,'свод (сектор вилоят)'!$B$32,'Қўшимча ишга тушган'!$E:$E,"3"))</f>
        <v>4</v>
      </c>
      <c r="K35" s="30">
        <f>(+SUMIFS(манзилли!$L:$L,манзилли!$D:$D,'свод (сектор вилоят)'!$B$32,манзилли!$E:$E,"3")+SUMIFS('Қўшимча ишга тушган'!$T:$T,'Қўшимча ишга тушган'!$D:$D,'свод (сектор вилоят)'!$B$32,'Қўшимча ишга тушган'!$E:$E,"3"))</f>
        <v>15436.34</v>
      </c>
      <c r="L35" s="31">
        <f>(+SUMIFS(манзилли!$N:$N,манзилли!$D:$D,'свод (сектор вилоят)'!$B$32,манзилли!$E:$E,"3")+SUMIFS('Қўшимча ишга тушган'!$V:$V,'Қўшимча ишга тушган'!$D:$D,'свод (сектор вилоят)'!$B$32,'Қўшимча ишга тушган'!$E:$E,"3"))</f>
        <v>2400</v>
      </c>
      <c r="M35" s="29">
        <f>(+SUMIFS(манзилли!$R:$R,манзилли!$D:$D,'свод (сектор вилоят)'!$B$32,манзилли!$E:$E,"3")+SUMIFS('Қўшимча ишга тушган'!$Z:$Z,'Қўшимча ишга тушган'!$D:$D,'свод (сектор вилоят)'!$B$32,'Қўшимча ишга тушган'!$E:$E,"3"))</f>
        <v>3125</v>
      </c>
      <c r="N35" s="29">
        <f>(+SUMIFS(манзилли!$T:$T,манзилли!$D:$D,'свод (сектор вилоят)'!$B$32,манзилли!$E:$E,"3")+SUMIFS('Қўшимча ишга тушган'!$AB:$AB,'Қўшимча ишга тушган'!$D:$D,'свод (сектор вилоят)'!$B$32,'Қўшимча ишга тушган'!$E:$E,"3"))</f>
        <v>971.7</v>
      </c>
      <c r="O35" s="30">
        <f>(+SUMIFS(манзилли!$V:$V,манзилли!$D:$D,'свод (сектор вилоят)'!$B$32,манзилли!$E:$E,"3")+SUMIFS('Қўшимча ишга тушган'!$AD:$AD,'Қўшимча ишга тушган'!$D:$D,'свод (сектор вилоят)'!$B$32,'Қўшимча ишга тушган'!$E:$E,"3"))</f>
        <v>0</v>
      </c>
      <c r="P35" s="28">
        <f>+COUNTIFS(манзилли!$D:$D,'свод (сектор вилоят)'!$B$32,манзилли!$AA:$AA,"&gt;31.12.2020",манзилли!$AA:$AA,"&lt;01.01.2022",манзилли!$E:$E,"3")</f>
        <v>4</v>
      </c>
      <c r="Q35" s="29">
        <f>(+SUMIFS(манзилли!$K:$K,манзилли!$D:$D,'свод (сектор вилоят)'!$B$32,манзилли!$AA:$AA,"&gt;31.12.2020",манзилли!$AA:$AA,"&lt;01.01.2022",манзилли!$E:$E,"3"))</f>
        <v>5410</v>
      </c>
      <c r="R35" s="29">
        <f>(+SUMIFS(манзилли!$M:$M,манзилли!$D:$D,'свод (сектор вилоят)'!$B$32,манзилли!$AA:$AA,"&gt;31.12.2020",манзилли!$AA:$AA,"&lt;01.01.2022",манзилли!$E:$E,"3"))</f>
        <v>2550</v>
      </c>
      <c r="S35" s="29">
        <f>(+SUMIFS(манзилли!$Q:$Q,манзилли!$D:$D,'свод (сектор вилоят)'!$B$32,манзилли!$AA:$AA,"&gt;31.12.2020",манзилли!$AA:$AA,"&lt;01.01.2022",манзилли!$E:$E,"3"))</f>
        <v>1830</v>
      </c>
      <c r="T35" s="29">
        <f>(+SUMIFS(манзилли!$S:$S,манзилли!$D:$D,'свод (сектор вилоят)'!$B$32,манзилли!$AA:$AA,"&gt;31.12.2020",манзилли!$AA:$AA,"&lt;01.01.2022",манзилли!$E:$E,"3"))</f>
        <v>100</v>
      </c>
      <c r="U35" s="29">
        <f>(+SUMIFS(манзилли!$U:$U,манзилли!$D:$D,'свод (сектор вилоят)'!$B$32,манзилли!$AA:$AA,"&gt;31.12.2020",манзилли!$AA:$AA,"&lt;01.01.2022",манзилли!$E:$E,"3"))</f>
        <v>0</v>
      </c>
      <c r="V35" s="30">
        <f>+SUMIFS(манзилли!$Y:$Y,манзилли!$D:$D,'свод (сектор вилоят)'!$B$32,манзилли!$AA:$AA,"&gt;31.12.2020",манзилли!$AA:$AA,"&lt;01.01.2022",манзилли!$E:$E,"3")</f>
        <v>22</v>
      </c>
      <c r="W35" s="28">
        <f t="shared" si="356"/>
        <v>1</v>
      </c>
      <c r="X35" s="29">
        <f t="shared" si="350"/>
        <v>180</v>
      </c>
      <c r="Y35" s="29">
        <f t="shared" si="351"/>
        <v>50</v>
      </c>
      <c r="Z35" s="29">
        <f t="shared" si="352"/>
        <v>130</v>
      </c>
      <c r="AA35" s="29">
        <f t="shared" si="353"/>
        <v>0</v>
      </c>
      <c r="AB35" s="29">
        <f t="shared" si="354"/>
        <v>0</v>
      </c>
      <c r="AC35" s="30">
        <f t="shared" si="355"/>
        <v>2</v>
      </c>
      <c r="AD35" s="28">
        <f>+COUNTIFS(манзилли!$D:$D,'свод (сектор вилоят)'!$B$32,манзилли!$AB:$AB,"&gt;31.12.2020",манзилли!$AA:$AA,"&gt;31.12.2020",манзилли!$AA:$AA,"&lt;01.01.2022",манзилли!$E:$E,"3")</f>
        <v>1</v>
      </c>
      <c r="AE35" s="29">
        <f>(+SUMIFS(манзилли!$L:$L,манзилли!$D:$D,'свод (сектор вилоят)'!$B$32,манзилли!$AB:$AB,"&gt;31.12.2020",манзилли!$AA:$AA,"&gt;31.12.2020",манзилли!$AA:$AA,"&lt;01.01.2022",манзилли!$E:$E,"3"))</f>
        <v>180</v>
      </c>
      <c r="AF35" s="29">
        <f>(+SUMIFS(манзилли!$N:$N,манзилли!$D:$D,'свод (сектор вилоят)'!$B$32,манзилли!$AB:$AB,"&gt;31.12.2020",манзилли!$AA:$AA,"&gt;31.12.2020",манзилли!$AA:$AA,"&lt;01.01.2022",манзилли!$E:$E,"3"))</f>
        <v>50</v>
      </c>
      <c r="AG35" s="29">
        <f>(+SUMIFS(манзилли!$R:$R,манзилли!$D:$D,'свод (сектор вилоят)'!$B$32,манзилли!$AB:$AB,"&gt;31.12.2020",манзилли!$AA:$AA,"&gt;31.12.2020",манзилли!$AA:$AA,"&lt;01.01.2022",манзилли!$E:$E,"3"))</f>
        <v>130</v>
      </c>
      <c r="AH35" s="29">
        <f>(+SUMIFS(манзилли!$T:$T,манзилли!$D:$D,'свод (сектор вилоят)'!$B$32,манзилли!$AB:$AB,"&gt;31.12.2020",манзилли!$AA:$AA,"&gt;31.12.2020",манзилли!$AA:$AA,"&lt;01.01.2022",манзилли!$E:$E,"3"))</f>
        <v>0</v>
      </c>
      <c r="AI35" s="29">
        <f>(+SUMIFS(манзилли!$V:$V,манзилли!$D:$D,'свод (сектор вилоят)'!$B$32,манзилли!$AB:$AB,"&gt;31.12.2020",манзилли!$AA:$AA,"&gt;31.12.2020",манзилли!$AA:$AA,"&lt;01.01.2022",манзилли!$E:$E,"3"))</f>
        <v>0</v>
      </c>
      <c r="AJ35" s="30">
        <f>+SUMIFS(манзилли!$Z:$Z,манзилли!$D:$D,'свод (сектор вилоят)'!$B$32,манзилли!$AB:$AB,"&gt;31.12.2020",манзилли!$AA:$AA,"&gt;31.12.2020",манзилли!$AA:$AA,"&lt;01.01.2022",манзилли!$E:$E,"3")</f>
        <v>2</v>
      </c>
      <c r="AK35" s="28">
        <f>+COUNTIFS('Қўшимча ишга тушган'!$D:$D,'свод (сектор вилоят)'!B32,'Қўшимча ишга тушган'!$AO:$AO,"&lt;01.10.2023",манзилли!$E:$E,"3")</f>
        <v>0</v>
      </c>
      <c r="AL35" s="29">
        <f>(+SUMIFS('Қўшимча ишга тушган'!$T:$T,'Қўшимча ишга тушган'!$D:$D,'свод (сектор вилоят)'!$B$32,'Қўшимча ишга тушган'!$AO:$AO,"&lt;01.10.2023",манзилли!$E:$E,"3"))</f>
        <v>0</v>
      </c>
      <c r="AM35" s="29">
        <f>(+SUMIFS('Қўшимча ишга тушган'!$V:$V,'Қўшимча ишга тушган'!$D:$D,'свод (сектор вилоят)'!$B$32,'Қўшимча ишга тушган'!$AO:$AO,"&lt;01.10.2023",манзилли!$E:$E,"3"))</f>
        <v>0</v>
      </c>
      <c r="AN35" s="29">
        <f>(+SUMIFS('Қўшимча ишга тушган'!$Z:$Z,'Қўшимча ишга тушган'!$D:$D,'свод (сектор вилоят)'!$B$32,'Қўшимча ишга тушган'!$AO:$AO,"&lt;01.10.2023",манзилли!$E:$E,"3"))</f>
        <v>0</v>
      </c>
      <c r="AO35" s="29">
        <f>(+SUMIFS('Қўшимча ишга тушган'!$AB:$AB,'Қўшимча ишга тушган'!$D:$D,'свод (сектор вилоят)'!$B$32,'Қўшимча ишга тушган'!$AO:$AO,"&lt;01.10.2023",манзилли!$E:$E,"3"))</f>
        <v>0</v>
      </c>
      <c r="AP35" s="29">
        <f>(+SUMIFS('Қўшимча ишга тушган'!$AD:$AD,'Қўшимча ишга тушган'!$D:$D,'свод (сектор вилоят)'!$B$32,'Қўшимча ишга тушган'!$AO:$AO,"&lt;01.10.2023",манзилли!$E:$E,"3"))</f>
        <v>0</v>
      </c>
      <c r="AQ35" s="30">
        <f>+SUMIFS('Қўшимча ишга тушган'!$AM:$AM,'Қўшимча ишга тушган'!$D:$D,'свод (сектор вилоят)'!$B$32,'Қўшимча ишга тушган'!$AO:$AO,"&lt;01.10.2023",манзилли!$E:$E,"3")</f>
        <v>0</v>
      </c>
      <c r="AR35" s="28">
        <f>+COUNTIFS(манзилли!$D:$D,'свод (сектор вилоят)'!$B$32,манзилли!$AA:$AA,"&lt;01.02.2021",манзилли!$AB:$AB,"",манзилли!$E:$E,"3")</f>
        <v>0</v>
      </c>
      <c r="AS35" s="29">
        <f>(+SUMIFS(манзилли!$K:$K,манзилли!$D:$D,'свод (сектор вилоят)'!$B$32,манзилли!$AA:$AA,"&lt;01.02.2021",манзилли!$AB:$AB,"",манзилли!$E:$E,"3"))</f>
        <v>0</v>
      </c>
      <c r="AT35" s="29">
        <f>(+SUMIFS(манзилли!$M:$M,манзилли!$D:$D,'свод (сектор вилоят)'!$B$32,манзилли!$AA:$AA,"&lt;01.02.2021",манзилли!$AB:$AB,"",манзилли!$E:$E,"3"))</f>
        <v>0</v>
      </c>
      <c r="AU35" s="29">
        <f>(+SUMIFS(манзилли!$Q:$Q,манзилли!$D:$D,'свод (сектор вилоят)'!$B$32,манзилли!$AA:$AA,"&lt;01.02.2021",манзилли!$AB:$AB,"",манзилли!$E:$E,"3"))</f>
        <v>0</v>
      </c>
      <c r="AV35" s="29">
        <f>(+SUMIFS(манзилли!$S:$S,манзилли!$D:$D,'свод (сектор вилоят)'!$B$32,манзилли!$AA:$AA,"&lt;01.02.2021",манзилли!$AB:$AB,"",манзилли!$E:$E,"3"))</f>
        <v>0</v>
      </c>
      <c r="AW35" s="29">
        <f>(+SUMIFS(манзилли!$U:$U,манзилли!$D:$D,'свод (сектор вилоят)'!$B$32,манзилли!$AA:$AA,"&lt;01.02.2021",манзилли!$AB:$AB,"",манзилли!$E:$E,"3"))</f>
        <v>0</v>
      </c>
      <c r="AX35" s="30">
        <f>+SUMIFS(манзилли!$Y:$Y,манзилли!$D:$D,'свод (сектор вилоят)'!$B$32,манзилли!$AA:$AA,"&lt;01.02.2021",манзилли!$AB:$AB,"",манзилли!$E:$E,"3")</f>
        <v>0</v>
      </c>
      <c r="AY35" s="28">
        <f>+COUNTIFS(манзилли!$D:$D,'свод (сектор вилоят)'!$B$32,манзилли!$AA:$AA,"&lt;01.01.2022",манзилли!$AB:$AB,"",манзилли!$E:$E,"3")</f>
        <v>3</v>
      </c>
      <c r="AZ35" s="29">
        <f>(+SUMIFS(манзилли!$K:$K,манзилли!$D:$D,'свод (сектор вилоят)'!$B$32,манзилли!$AA:$AA,"&lt;01.01.2022",манзилли!$AB:$AB,"",манзилли!$E:$E,"3"))</f>
        <v>5180</v>
      </c>
      <c r="BA35" s="29">
        <f>(+SUMIFS(манзилли!$M:$M,манзилли!$D:$D,'свод (сектор вилоят)'!$B$32,манзилли!$AA:$AA,"&lt;01.01.2022",манзилли!$AB:$AB,"",манзилли!$E:$E,"3"))</f>
        <v>2450</v>
      </c>
      <c r="BB35" s="29">
        <f>(+SUMIFS(манзилли!$Q:$Q,манзилли!$D:$D,'свод (сектор вилоят)'!$B$32,манзилли!$AA:$AA,"&lt;01.01.2022",манзилли!$AB:$AB,"",манзилли!$E:$E,"3"))</f>
        <v>1700</v>
      </c>
      <c r="BC35" s="29">
        <f>(+SUMIFS(манзилли!$S:$S,манзилли!$D:$D,'свод (сектор вилоят)'!$B$32,манзилли!$AA:$AA,"&lt;01.01.2022",манзилли!$AB:$AB,"",манзилли!$E:$E,"3"))</f>
        <v>100</v>
      </c>
      <c r="BD35" s="29">
        <f>(+SUMIFS(манзилли!$U:$U,манзилли!$D:$D,'свод (сектор вилоят)'!$B$32,манзилли!$AA:$AA,"&lt;01.01.2022",манзилли!$AB:$AB,"",манзилли!$E:$E,"3"))</f>
        <v>0</v>
      </c>
      <c r="BE35" s="30">
        <f>+SUMIFS(манзилли!$Y:$Y,манзилли!$D:$D,'свод (сектор вилоят)'!$B$32,манзилли!$AA:$AA,"&lt;01.01.2022",манзилли!$AB:$AB,"",манзилли!$E:$E,"3")</f>
        <v>20</v>
      </c>
      <c r="BF35" s="28">
        <f>+COUNTIFS(манзилли!$D:$D,'свод (сектор вилоят)'!$B$32,манзилли!$AA:$AA,"&lt;01.01.2023",манзилли!$AA:$AA,"&gt;=01.01.2022",манзилли!$E:$E,"3")</f>
        <v>1</v>
      </c>
      <c r="BG35" s="29">
        <f>(+SUMIFS(манзилли!$K:$K,манзилли!$D:$D,'свод (сектор вилоят)'!$B$32,манзилли!$AA:$AA,"&lt;01.01.2023",манзилли!$AA:$AA,"&gt;=01.01.2022",манзилли!$E:$E,"3"))</f>
        <v>14050</v>
      </c>
      <c r="BH35" s="29">
        <f>(+SUMIFS(манзилли!$M:$M,манзилли!$D:$D,'свод (сектор вилоят)'!$B$32,манзилли!$AA:$AA,"&lt;01.01.2023",манзилли!$AA:$AA,"&gt;=01.01.2022",манзилли!$E:$E,"3"))</f>
        <v>3750</v>
      </c>
      <c r="BI35" s="29">
        <f>(+SUMIFS(манзилли!$Q:$Q,манзилли!$D:$D,'свод (сектор вилоят)'!$B$32,манзилли!$AA:$AA,"&lt;01.01.2023",манзилли!$AA:$AA,"&gt;=01.01.2022",манзилли!$E:$E,"3"))</f>
        <v>0</v>
      </c>
      <c r="BJ35" s="29">
        <f>(+SUMIFS(манзилли!$S:$S,манзилли!$D:$D,'свод (сектор вилоят)'!$B$32,манзилли!$AA:$AA,"&lt;01.01.2023",манзилли!$AA:$AA,"&gt;=01.01.2022",манзилли!$E:$E,"3"))</f>
        <v>1000</v>
      </c>
      <c r="BK35" s="29">
        <f>(+SUMIFS(манзилли!$U:$U,манзилли!$D:$D,'свод (сектор вилоят)'!$B$32,манзилли!$AA:$AA,"&lt;01.01.2023",манзилли!$AA:$AA,"&gt;=01.01.2022",манзилли!$E:$E,"3"))</f>
        <v>0</v>
      </c>
      <c r="BL35" s="30">
        <f>+SUMIFS(манзилли!$Y:$Y,манзилли!$D:$D,'свод (сектор вилоят)'!$B$32,манзилли!$AA:$AA,"&lt;01.01.2023",манзилли!$AA:$AA,"&gt;=01.01.2022",манзилли!$E:$E,"3")</f>
        <v>125</v>
      </c>
    </row>
    <row r="36" spans="1:64" s="3" customFormat="1" ht="39.75" customHeight="1" thickBot="1">
      <c r="A36" s="55"/>
      <c r="B36" s="36" t="s">
        <v>1774</v>
      </c>
      <c r="C36" s="37">
        <f>+COUNTIFS(манзилли!$D:$D,'свод (сектор вилоят)'!$B$32,манзилли!$E:$E,"4")</f>
        <v>10</v>
      </c>
      <c r="D36" s="38">
        <f>(+SUMIFS(манзилли!$K:$K,манзилли!$D:$D,'свод (сектор вилоят)'!$B$32,манзилли!$E:$E,"4"))</f>
        <v>32197.5</v>
      </c>
      <c r="E36" s="38">
        <f>(+SUMIFS(манзилли!$M:$M,манзилли!$D:$D,'свод (сектор вилоят)'!$B$32,манзилли!$E:$E,"4"))</f>
        <v>11650</v>
      </c>
      <c r="F36" s="38">
        <f>(+SUMIFS(манзилли!$Q:$Q,манзилли!$D:$D,'свод (сектор вилоят)'!$B$32,манзилли!$E:$E,"4"))</f>
        <v>1750</v>
      </c>
      <c r="G36" s="38">
        <f>(+SUMIFS(манзилли!$S:$S,манзилли!$D:$D,'свод (сектор вилоят)'!$B$32,манзилли!$E:$E,"4"))</f>
        <v>1825</v>
      </c>
      <c r="H36" s="38">
        <f>(+SUMIFS(манзилли!$U:$U,манзилли!$D:$D,'свод (сектор вилоят)'!$B$32,манзилли!$E:$E,"4"))</f>
        <v>0</v>
      </c>
      <c r="I36" s="39">
        <f>+SUMIFS(манзилли!$Y:$Y,манзилли!$D:$D,'свод (сектор вилоят)'!$B$32,манзилли!$E:$E,"4")</f>
        <v>185</v>
      </c>
      <c r="J36" s="37">
        <f>(+COUNTIFS(манзилли!$L:$L,"&gt;0",манзилли!$D:$D,'свод (сектор вилоят)'!$B$32,манзилли!$E:$E,"4")+COUNTIFS('Қўшимча ишга тушган'!$T:$T,"&gt;0",'Қўшимча ишга тушган'!$D:$D,'свод (сектор вилоят)'!$B$32,'Қўшимча ишга тушган'!$E:$E,"4"))</f>
        <v>6</v>
      </c>
      <c r="K36" s="39">
        <f>(+SUMIFS(манзилли!$L:$L,манзилли!$D:$D,'свод (сектор вилоят)'!$B$32,манзилли!$E:$E,"4")+SUMIFS('Қўшимча ишга тушган'!$T:$T,'Қўшимча ишга тушган'!$D:$D,'свод (сектор вилоят)'!$B$32,'Қўшимча ишга тушган'!$E:$E,"4"))</f>
        <v>13306.64</v>
      </c>
      <c r="L36" s="40">
        <f>(+SUMIFS(манзилли!$N:$N,манзилли!$D:$D,'свод (сектор вилоят)'!$B$32,манзилли!$E:$E,"4")+SUMIFS('Қўшимча ишга тушган'!$V:$V,'Қўшимча ишга тушган'!$D:$D,'свод (сектор вилоят)'!$B$32,'Қўшимча ишга тушган'!$E:$E,"4"))</f>
        <v>1855</v>
      </c>
      <c r="M36" s="38">
        <f>(+SUMIFS(манзилли!$R:$R,манзилли!$D:$D,'свод (сектор вилоят)'!$B$32,манзилли!$E:$E,"4")+SUMIFS('Қўшимча ишга тушган'!$Z:$Z,'Қўшимча ишга тушган'!$D:$D,'свод (сектор вилоят)'!$B$32,'Қўшимча ишга тушган'!$E:$E,"4"))</f>
        <v>1525</v>
      </c>
      <c r="N36" s="38">
        <f>(+SUMIFS(манзилли!$T:$T,манзилли!$D:$D,'свод (сектор вилоят)'!$B$32,манзилли!$E:$E,"4")+SUMIFS('Қўшимча ишга тушган'!$AB:$AB,'Қўшимча ишга тушган'!$D:$D,'свод (сектор вилоят)'!$B$32,'Қўшимча ишга тушган'!$E:$E,"4"))</f>
        <v>973.2</v>
      </c>
      <c r="O36" s="39">
        <f>(+SUMIFS(манзилли!$V:$V,манзилли!$D:$D,'свод (сектор вилоят)'!$B$32,манзилли!$E:$E,"4")+SUMIFS('Қўшимча ишга тушган'!$AD:$AD,'Қўшимча ишга тушган'!$D:$D,'свод (сектор вилоят)'!$B$32,'Қўшимча ишга тушган'!$E:$E,"4"))</f>
        <v>0</v>
      </c>
      <c r="P36" s="37">
        <f>+COUNTIFS(манзилли!$D:$D,'свод (сектор вилоят)'!$B$32,манзилли!$AA:$AA,"&gt;31.12.2020",манзилли!$AA:$AA,"&lt;01.01.2022",манзилли!$E:$E,"4")</f>
        <v>6</v>
      </c>
      <c r="Q36" s="38">
        <f>(+SUMIFS(манзилли!$K:$K,манзилли!$D:$D,'свод (сектор вилоят)'!$B$32,манзилли!$AA:$AA,"&gt;31.12.2020",манзилли!$AA:$AA,"&lt;01.01.2022",манзилли!$E:$E,"4"))</f>
        <v>17147.5</v>
      </c>
      <c r="R36" s="38">
        <f>(+SUMIFS(манзилли!$M:$M,манзилли!$D:$D,'свод (сектор вилоят)'!$B$32,манзилли!$AA:$AA,"&gt;31.12.2020",манзилли!$AA:$AA,"&lt;01.01.2022",манзилли!$E:$E,"4"))</f>
        <v>7400</v>
      </c>
      <c r="S36" s="38">
        <f>(+SUMIFS(манзилли!$Q:$Q,манзилли!$D:$D,'свод (сектор вилоят)'!$B$32,манзилли!$AA:$AA,"&gt;31.12.2020",манзилли!$AA:$AA,"&lt;01.01.2022",манзилли!$E:$E,"4"))</f>
        <v>1250</v>
      </c>
      <c r="T36" s="38">
        <f>(+SUMIFS(манзилли!$S:$S,манзилли!$D:$D,'свод (сектор вилоят)'!$B$32,манзилли!$AA:$AA,"&gt;31.12.2020",манзилли!$AA:$AA,"&lt;01.01.2022",манзилли!$E:$E,"4"))</f>
        <v>825</v>
      </c>
      <c r="U36" s="38">
        <f>(+SUMIFS(манзилли!$U:$U,манзилли!$D:$D,'свод (сектор вилоят)'!$B$32,манзилли!$AA:$AA,"&gt;31.12.2020",манзилли!$AA:$AA,"&lt;01.01.2022",манзилли!$E:$E,"4"))</f>
        <v>0</v>
      </c>
      <c r="V36" s="39">
        <f>+SUMIFS(манзилли!$Y:$Y,манзилли!$D:$D,'свод (сектор вилоят)'!$B$32,манзилли!$AA:$AA,"&gt;31.12.2020",манзилли!$AA:$AA,"&lt;01.01.2022",манзилли!$E:$E,"4")</f>
        <v>46</v>
      </c>
      <c r="W36" s="37">
        <f t="shared" si="356"/>
        <v>1</v>
      </c>
      <c r="X36" s="38">
        <f t="shared" si="350"/>
        <v>400</v>
      </c>
      <c r="Y36" s="38">
        <f t="shared" si="351"/>
        <v>400</v>
      </c>
      <c r="Z36" s="38">
        <f t="shared" si="352"/>
        <v>0</v>
      </c>
      <c r="AA36" s="38">
        <f t="shared" si="353"/>
        <v>0</v>
      </c>
      <c r="AB36" s="38">
        <f t="shared" si="354"/>
        <v>0</v>
      </c>
      <c r="AC36" s="39">
        <f t="shared" si="355"/>
        <v>1</v>
      </c>
      <c r="AD36" s="37">
        <f>+COUNTIFS(манзилли!$D:$D,'свод (сектор вилоят)'!$B$32,манзилли!$AB:$AB,"&gt;31.12.2020",манзилли!$AA:$AA,"&gt;31.12.2020",манзилли!$AA:$AA,"&lt;01.01.2022",манзилли!$E:$E,"4")</f>
        <v>1</v>
      </c>
      <c r="AE36" s="38">
        <f>(+SUMIFS(манзилли!$L:$L,манзилли!$D:$D,'свод (сектор вилоят)'!$B$32,манзилли!$AB:$AB,"&gt;31.12.2020",манзилли!$AA:$AA,"&gt;31.12.2020",манзилли!$AA:$AA,"&lt;01.01.2022",манзилли!$E:$E,"4"))</f>
        <v>400</v>
      </c>
      <c r="AF36" s="38">
        <f>(+SUMIFS(манзилли!$N:$N,манзилли!$D:$D,'свод (сектор вилоят)'!$B$32,манзилли!$AB:$AB,"&gt;31.12.2020",манзилли!$AA:$AA,"&gt;31.12.2020",манзилли!$AA:$AA,"&lt;01.01.2022",манзилли!$E:$E,"4"))</f>
        <v>400</v>
      </c>
      <c r="AG36" s="38">
        <f>(+SUMIFS(манзилли!$R:$R,манзилли!$D:$D,'свод (сектор вилоят)'!$B$32,манзилли!$AB:$AB,"&gt;31.12.2020",манзилли!$AA:$AA,"&gt;31.12.2020",манзилли!$AA:$AA,"&lt;01.01.2022",манзилли!$E:$E,"4"))</f>
        <v>0</v>
      </c>
      <c r="AH36" s="38">
        <f>(+SUMIFS(манзилли!$T:$T,манзилли!$D:$D,'свод (сектор вилоят)'!$B$32,манзилли!$AB:$AB,"&gt;31.12.2020",манзилли!$AA:$AA,"&gt;31.12.2020",манзилли!$AA:$AA,"&lt;01.01.2022",манзилли!$E:$E,"4"))</f>
        <v>0</v>
      </c>
      <c r="AI36" s="38">
        <f>(+SUMIFS(манзилли!$V:$V,манзилли!$D:$D,'свод (сектор вилоят)'!$B$32,манзилли!$AB:$AB,"&gt;31.12.2020",манзилли!$AA:$AA,"&gt;31.12.2020",манзилли!$AA:$AA,"&lt;01.01.2022",манзилли!$E:$E,"4"))</f>
        <v>0</v>
      </c>
      <c r="AJ36" s="39">
        <f>+SUMIFS(манзилли!$Z:$Z,манзилли!$D:$D,'свод (сектор вилоят)'!$B$32,манзилли!$AB:$AB,"&gt;31.12.2020",манзилли!$AA:$AA,"&gt;31.12.2020",манзилли!$AA:$AA,"&lt;01.01.2022",манзилли!$E:$E,"4")</f>
        <v>1</v>
      </c>
      <c r="AK36" s="37">
        <f>+COUNTIFS('Қўшимча ишга тушган'!$D:$D,'свод (сектор вилоят)'!B32,'Қўшимча ишга тушган'!$AO:$AO,"&lt;01.10.2023",манзилли!$E:$E,"4")</f>
        <v>0</v>
      </c>
      <c r="AL36" s="38">
        <f>(+SUMIFS('Қўшимча ишга тушган'!$T:$T,'Қўшимча ишга тушган'!$D:$D,'свод (сектор вилоят)'!$B$32,'Қўшимча ишга тушган'!$AO:$AO,"&lt;01.10.2023",манзилли!$E:$E,"4"))</f>
        <v>0</v>
      </c>
      <c r="AM36" s="38">
        <f>(+SUMIFS('Қўшимча ишга тушган'!$V:$V,'Қўшимча ишга тушган'!$D:$D,'свод (сектор вилоят)'!$B$32,'Қўшимча ишга тушган'!$AO:$AO,"&lt;01.10.2023",манзилли!$E:$E,"4"))</f>
        <v>0</v>
      </c>
      <c r="AN36" s="38">
        <f>(+SUMIFS('Қўшимча ишга тушган'!$Z:$Z,'Қўшимча ишга тушган'!$D:$D,'свод (сектор вилоят)'!$B$32,'Қўшимча ишга тушган'!$AO:$AO,"&lt;01.10.2023",манзилли!$E:$E,"4"))</f>
        <v>0</v>
      </c>
      <c r="AO36" s="38">
        <f>(+SUMIFS('Қўшимча ишга тушган'!$AB:$AB,'Қўшимча ишга тушган'!$D:$D,'свод (сектор вилоят)'!$B$32,'Қўшимча ишга тушган'!$AO:$AO,"&lt;01.10.2023",манзилли!$E:$E,"4"))</f>
        <v>0</v>
      </c>
      <c r="AP36" s="38">
        <f>(+SUMIFS('Қўшимча ишга тушган'!$AD:$AD,'Қўшимча ишга тушган'!$D:$D,'свод (сектор вилоят)'!$B$32,'Қўшимча ишга тушган'!$AO:$AO,"&lt;01.10.2023",манзилли!$E:$E,"4"))</f>
        <v>0</v>
      </c>
      <c r="AQ36" s="39">
        <f>+SUMIFS('Қўшимча ишга тушган'!$AM:$AM,'Қўшимча ишга тушган'!$D:$D,'свод (сектор вилоят)'!$B$32,'Қўшимча ишга тушган'!$AO:$AO,"&lt;01.10.2023",манзилли!$E:$E,"4")</f>
        <v>0</v>
      </c>
      <c r="AR36" s="37">
        <f>+COUNTIFS(манзилли!$D:$D,'свод (сектор вилоят)'!$B$32,манзилли!$AA:$AA,"&lt;01.02.2021",манзилли!$AB:$AB,"",манзилли!$E:$E,"4")</f>
        <v>0</v>
      </c>
      <c r="AS36" s="38">
        <f>(+SUMIFS(манзилли!$K:$K,манзилли!$D:$D,'свод (сектор вилоят)'!$B$32,манзилли!$AA:$AA,"&lt;01.02.2021",манзилли!$AB:$AB,"",манзилли!$E:$E,"4"))</f>
        <v>0</v>
      </c>
      <c r="AT36" s="38">
        <f>(+SUMIFS(манзилли!$M:$M,манзилли!$D:$D,'свод (сектор вилоят)'!$B$32,манзилли!$AA:$AA,"&lt;01.02.2021",манзилли!$AB:$AB,"",манзилли!$E:$E,"4"))</f>
        <v>0</v>
      </c>
      <c r="AU36" s="38">
        <f>(+SUMIFS(манзилли!$Q:$Q,манзилли!$D:$D,'свод (сектор вилоят)'!$B$32,манзилли!$AA:$AA,"&lt;01.02.2021",манзилли!$AB:$AB,"",манзилли!$E:$E,"4"))</f>
        <v>0</v>
      </c>
      <c r="AV36" s="38">
        <f>(+SUMIFS(манзилли!$S:$S,манзилли!$D:$D,'свод (сектор вилоят)'!$B$32,манзилли!$AA:$AA,"&lt;01.02.2021",манзилли!$AB:$AB,"",манзилли!$E:$E,"4"))</f>
        <v>0</v>
      </c>
      <c r="AW36" s="38">
        <f>(+SUMIFS(манзилли!$U:$U,манзилли!$D:$D,'свод (сектор вилоят)'!$B$32,манзилли!$AA:$AA,"&lt;01.02.2021",манзилли!$AB:$AB,"",манзилли!$E:$E,"4"))</f>
        <v>0</v>
      </c>
      <c r="AX36" s="39">
        <f>+SUMIFS(манзилли!$Y:$Y,манзилли!$D:$D,'свод (сектор вилоят)'!$B$32,манзилли!$AA:$AA,"&lt;01.02.2021",манзилли!$AB:$AB,"",манзилли!$E:$E,"4")</f>
        <v>0</v>
      </c>
      <c r="AY36" s="37">
        <f>+COUNTIFS(манзилли!$D:$D,'свод (сектор вилоят)'!$B$32,манзилли!$AA:$AA,"&lt;01.01.2022",манзилли!$AB:$AB,"",манзилли!$E:$E,"4")</f>
        <v>4</v>
      </c>
      <c r="AZ36" s="38">
        <f>(+SUMIFS(манзилли!$K:$K,манзилли!$D:$D,'свод (сектор вилоят)'!$B$32,манзилли!$AA:$AA,"&lt;01.01.2022",манзилли!$AB:$AB,"",манзилли!$E:$E,"4"))</f>
        <v>14747.5</v>
      </c>
      <c r="BA36" s="38">
        <f>(+SUMIFS(манзилли!$M:$M,манзилли!$D:$D,'свод (сектор вилоят)'!$B$32,манзилли!$AA:$AA,"&lt;01.01.2022",манзилли!$AB:$AB,"",манзилли!$E:$E,"4"))</f>
        <v>6100</v>
      </c>
      <c r="BB36" s="38">
        <f>(+SUMIFS(манзилли!$Q:$Q,манзилли!$D:$D,'свод (сектор вилоят)'!$B$32,манзилли!$AA:$AA,"&lt;01.01.2022",манзилли!$AB:$AB,"",манзилли!$E:$E,"4"))</f>
        <v>150</v>
      </c>
      <c r="BC36" s="38">
        <f>(+SUMIFS(манзилли!$S:$S,манзилли!$D:$D,'свод (сектор вилоят)'!$B$32,манзилли!$AA:$AA,"&lt;01.01.2022",манзилли!$AB:$AB,"",манзилли!$E:$E,"4"))</f>
        <v>825</v>
      </c>
      <c r="BD36" s="38">
        <f>(+SUMIFS(манзилли!$U:$U,манзилли!$D:$D,'свод (сектор вилоят)'!$B$32,манзилли!$AA:$AA,"&lt;01.01.2022",манзилли!$AB:$AB,"",манзилли!$E:$E,"4"))</f>
        <v>0</v>
      </c>
      <c r="BE36" s="39">
        <f>+SUMIFS(манзилли!$Y:$Y,манзилли!$D:$D,'свод (сектор вилоят)'!$B$32,манзилли!$AA:$AA,"&lt;01.01.2022",манзилли!$AB:$AB,"",манзилли!$E:$E,"4")</f>
        <v>37</v>
      </c>
      <c r="BF36" s="37">
        <f>+COUNTIFS(манзилли!$D:$D,'свод (сектор вилоят)'!$B$32,манзилли!$AA:$AA,"&lt;01.01.2023",манзилли!$AA:$AA,"&gt;=01.01.2022",манзилли!$E:$E,"4")</f>
        <v>1</v>
      </c>
      <c r="BG36" s="38">
        <f>(+SUMIFS(манзилли!$K:$K,манзилли!$D:$D,'свод (сектор вилоят)'!$B$32,манзилли!$AA:$AA,"&lt;01.01.2023",манзилли!$AA:$AA,"&gt;=01.01.2022",манзилли!$E:$E,"4"))</f>
        <v>14050</v>
      </c>
      <c r="BH36" s="38">
        <f>(+SUMIFS(манзилли!$M:$M,манзилли!$D:$D,'свод (сектор вилоят)'!$B$32,манзилли!$AA:$AA,"&lt;01.01.2023",манзилли!$AA:$AA,"&gt;=01.01.2022",манзилли!$E:$E,"4"))</f>
        <v>3750</v>
      </c>
      <c r="BI36" s="38">
        <f>(+SUMIFS(манзилли!$Q:$Q,манзилли!$D:$D,'свод (сектор вилоят)'!$B$32,манзилли!$AA:$AA,"&lt;01.01.2023",манзилли!$AA:$AA,"&gt;=01.01.2022",манзилли!$E:$E,"4"))</f>
        <v>0</v>
      </c>
      <c r="BJ36" s="38">
        <f>(+SUMIFS(манзилли!$S:$S,манзилли!$D:$D,'свод (сектор вилоят)'!$B$32,манзилли!$AA:$AA,"&lt;01.01.2023",манзилли!$AA:$AA,"&gt;=01.01.2022",манзилли!$E:$E,"4"))</f>
        <v>1000</v>
      </c>
      <c r="BK36" s="38">
        <f>(+SUMIFS(манзилли!$U:$U,манзилли!$D:$D,'свод (сектор вилоят)'!$B$32,манзилли!$AA:$AA,"&lt;01.01.2023",манзилли!$AA:$AA,"&gt;=01.01.2022",манзилли!$E:$E,"4"))</f>
        <v>0</v>
      </c>
      <c r="BL36" s="39">
        <f>+SUMIFS(манзилли!$Y:$Y,манзилли!$D:$D,'свод (сектор вилоят)'!$B$32,манзилли!$AA:$AA,"&lt;01.01.2023",манзилли!$AA:$AA,"&gt;=01.01.2022",манзилли!$E:$E,"4")</f>
        <v>125</v>
      </c>
    </row>
    <row r="37" spans="1:64" s="3" customFormat="1" ht="39.75" customHeight="1" thickBot="1">
      <c r="A37" s="53">
        <v>7</v>
      </c>
      <c r="B37" s="54" t="s">
        <v>243</v>
      </c>
      <c r="C37" s="41">
        <f>+SUM(C38:C41)</f>
        <v>87</v>
      </c>
      <c r="D37" s="41">
        <f t="shared" ref="D37" si="357">+SUM(D38:D41)</f>
        <v>1096004.1000000001</v>
      </c>
      <c r="E37" s="41">
        <f t="shared" ref="E37" si="358">+SUM(E38:E41)</f>
        <v>483180</v>
      </c>
      <c r="F37" s="41">
        <f t="shared" ref="F37" si="359">+SUM(F38:F41)</f>
        <v>130305</v>
      </c>
      <c r="G37" s="41">
        <f t="shared" ref="G37" si="360">+SUM(G38:G41)</f>
        <v>9242</v>
      </c>
      <c r="H37" s="41">
        <f t="shared" ref="H37" si="361">+SUM(H38:H41)</f>
        <v>37585</v>
      </c>
      <c r="I37" s="41">
        <f t="shared" ref="I37" si="362">+SUM(I38:I41)</f>
        <v>1449</v>
      </c>
      <c r="J37" s="41">
        <f t="shared" ref="J37" si="363">+SUM(J38:J41)</f>
        <v>65</v>
      </c>
      <c r="K37" s="41">
        <f t="shared" ref="K37" si="364">+SUM(K38:K41)</f>
        <v>76249.820000000007</v>
      </c>
      <c r="L37" s="41">
        <f t="shared" ref="L37" si="365">+SUM(L38:L41)</f>
        <v>10980</v>
      </c>
      <c r="M37" s="41">
        <f t="shared" ref="M37" si="366">+SUM(M38:M41)</f>
        <v>27509</v>
      </c>
      <c r="N37" s="41">
        <f t="shared" ref="N37" si="367">+SUM(N38:N41)</f>
        <v>3700.6</v>
      </c>
      <c r="O37" s="41">
        <f t="shared" ref="O37" si="368">+SUM(O38:O41)</f>
        <v>0</v>
      </c>
      <c r="P37" s="41">
        <f t="shared" ref="P37" si="369">+SUM(P38:P41)</f>
        <v>75</v>
      </c>
      <c r="Q37" s="41">
        <f t="shared" ref="Q37" si="370">+SUM(Q38:Q41)</f>
        <v>966818.1</v>
      </c>
      <c r="R37" s="41">
        <f t="shared" ref="R37" si="371">+SUM(R38:R41)</f>
        <v>442850</v>
      </c>
      <c r="S37" s="41">
        <f t="shared" ref="S37" si="372">+SUM(S38:S41)</f>
        <v>86845</v>
      </c>
      <c r="T37" s="41">
        <f t="shared" ref="T37" si="373">+SUM(T38:T41)</f>
        <v>7342</v>
      </c>
      <c r="U37" s="41">
        <f t="shared" ref="U37" si="374">+SUM(U38:U41)</f>
        <v>35085</v>
      </c>
      <c r="V37" s="41">
        <f t="shared" ref="V37" si="375">+SUM(V38:V41)</f>
        <v>1237</v>
      </c>
      <c r="W37" s="41">
        <f t="shared" ref="W37" si="376">+SUM(W38:W41)</f>
        <v>11</v>
      </c>
      <c r="X37" s="41">
        <f t="shared" ref="X37" si="377">+SUM(X38:X41)</f>
        <v>12284.5</v>
      </c>
      <c r="Y37" s="41">
        <f t="shared" ref="Y37" si="378">+SUM(Y38:Y41)</f>
        <v>7100</v>
      </c>
      <c r="Z37" s="41">
        <f t="shared" ref="Z37" si="379">+SUM(Z38:Z41)</f>
        <v>3650</v>
      </c>
      <c r="AA37" s="41">
        <f t="shared" ref="AA37" si="380">+SUM(AA38:AA41)</f>
        <v>149</v>
      </c>
      <c r="AB37" s="41">
        <f t="shared" ref="AB37" si="381">+SUM(AB38:AB41)</f>
        <v>0</v>
      </c>
      <c r="AC37" s="41">
        <f t="shared" ref="AC37" si="382">+SUM(AC38:AC41)</f>
        <v>62</v>
      </c>
      <c r="AD37" s="41">
        <f t="shared" ref="AD37" si="383">+SUM(AD38:AD41)</f>
        <v>11</v>
      </c>
      <c r="AE37" s="41">
        <f t="shared" ref="AE37" si="384">+SUM(AE38:AE41)</f>
        <v>12284.5</v>
      </c>
      <c r="AF37" s="41">
        <f t="shared" ref="AF37" si="385">+SUM(AF38:AF41)</f>
        <v>7100</v>
      </c>
      <c r="AG37" s="41">
        <f t="shared" ref="AG37" si="386">+SUM(AG38:AG41)</f>
        <v>3650</v>
      </c>
      <c r="AH37" s="41">
        <f t="shared" ref="AH37" si="387">+SUM(AH38:AH41)</f>
        <v>149</v>
      </c>
      <c r="AI37" s="41">
        <f t="shared" ref="AI37" si="388">+SUM(AI38:AI41)</f>
        <v>0</v>
      </c>
      <c r="AJ37" s="41">
        <f t="shared" ref="AJ37" si="389">+SUM(AJ38:AJ41)</f>
        <v>62</v>
      </c>
      <c r="AK37" s="41">
        <f t="shared" ref="AK37" si="390">+SUM(AK38:AK41)</f>
        <v>0</v>
      </c>
      <c r="AL37" s="41">
        <f t="shared" ref="AL37" si="391">+SUM(AL38:AL41)</f>
        <v>0</v>
      </c>
      <c r="AM37" s="41">
        <f t="shared" ref="AM37" si="392">+SUM(AM38:AM41)</f>
        <v>0</v>
      </c>
      <c r="AN37" s="41">
        <f t="shared" ref="AN37" si="393">+SUM(AN38:AN41)</f>
        <v>0</v>
      </c>
      <c r="AO37" s="41">
        <f t="shared" ref="AO37" si="394">+SUM(AO38:AO41)</f>
        <v>0</v>
      </c>
      <c r="AP37" s="41">
        <f t="shared" ref="AP37" si="395">+SUM(AP38:AP41)</f>
        <v>0</v>
      </c>
      <c r="AQ37" s="41">
        <f t="shared" ref="AQ37" si="396">+SUM(AQ38:AQ41)</f>
        <v>0</v>
      </c>
      <c r="AR37" s="41">
        <f t="shared" ref="AR37" si="397">+SUM(AR38:AR41)</f>
        <v>0</v>
      </c>
      <c r="AS37" s="41">
        <f t="shared" ref="AS37" si="398">+SUM(AS38:AS41)</f>
        <v>0</v>
      </c>
      <c r="AT37" s="41">
        <f t="shared" ref="AT37" si="399">+SUM(AT38:AT41)</f>
        <v>0</v>
      </c>
      <c r="AU37" s="41">
        <f t="shared" ref="AU37" si="400">+SUM(AU38:AU41)</f>
        <v>0</v>
      </c>
      <c r="AV37" s="41">
        <f t="shared" ref="AV37" si="401">+SUM(AV38:AV41)</f>
        <v>0</v>
      </c>
      <c r="AW37" s="41">
        <f t="shared" ref="AW37" si="402">+SUM(AW38:AW41)</f>
        <v>0</v>
      </c>
      <c r="AX37" s="41">
        <f t="shared" ref="AX37" si="403">+SUM(AX38:AX41)</f>
        <v>0</v>
      </c>
      <c r="AY37" s="41">
        <f t="shared" ref="AY37" si="404">+SUM(AY38:AY41)</f>
        <v>58</v>
      </c>
      <c r="AZ37" s="41">
        <f t="shared" ref="AZ37" si="405">+SUM(AZ38:AZ41)</f>
        <v>948131.1</v>
      </c>
      <c r="BA37" s="41">
        <f t="shared" ref="BA37" si="406">+SUM(BA38:BA41)</f>
        <v>436150</v>
      </c>
      <c r="BB37" s="41">
        <f t="shared" ref="BB37" si="407">+SUM(BB38:BB41)</f>
        <v>77330</v>
      </c>
      <c r="BC37" s="41">
        <f t="shared" ref="BC37" si="408">+SUM(BC38:BC41)</f>
        <v>7102</v>
      </c>
      <c r="BD37" s="41">
        <f t="shared" ref="BD37" si="409">+SUM(BD38:BD41)</f>
        <v>35085</v>
      </c>
      <c r="BE37" s="41">
        <f t="shared" ref="BE37" si="410">+SUM(BE38:BE41)</f>
        <v>1122</v>
      </c>
      <c r="BF37" s="41">
        <f t="shared" ref="BF37" si="411">+SUM(BF38:BF41)</f>
        <v>8</v>
      </c>
      <c r="BG37" s="41">
        <f t="shared" ref="BG37" si="412">+SUM(BG38:BG41)</f>
        <v>125896</v>
      </c>
      <c r="BH37" s="41">
        <f t="shared" ref="BH37" si="413">+SUM(BH38:BH41)</f>
        <v>39000</v>
      </c>
      <c r="BI37" s="41">
        <f t="shared" ref="BI37" si="414">+SUM(BI38:BI41)</f>
        <v>41500</v>
      </c>
      <c r="BJ37" s="41">
        <f t="shared" ref="BJ37" si="415">+SUM(BJ38:BJ41)</f>
        <v>1900</v>
      </c>
      <c r="BK37" s="41">
        <f t="shared" ref="BK37" si="416">+SUM(BK38:BK41)</f>
        <v>2500</v>
      </c>
      <c r="BL37" s="43">
        <f t="shared" ref="BL37" si="417">+SUM(BL38:BL41)</f>
        <v>191</v>
      </c>
    </row>
    <row r="38" spans="1:64" s="3" customFormat="1" ht="39.75" customHeight="1">
      <c r="A38" s="52"/>
      <c r="B38" s="50" t="s">
        <v>1771</v>
      </c>
      <c r="C38" s="46">
        <f>+COUNTIFS(манзилли!$D:$D,'свод (сектор вилоят)'!$B$37,манзилли!$E:$E,"1")</f>
        <v>53</v>
      </c>
      <c r="D38" s="47">
        <f>(+SUMIFS(манзилли!$K:$K,манзилли!$D:$D,'свод (сектор вилоят)'!$B$37,манзилли!$E:$E,"1"))</f>
        <v>234583.6</v>
      </c>
      <c r="E38" s="47">
        <f>(+SUMIFS(манзилли!$M:$M,манзилли!$D:$D,'свод (сектор вилоят)'!$B$37,манзилли!$E:$E,"1"))</f>
        <v>68510</v>
      </c>
      <c r="F38" s="47">
        <f>(+SUMIFS(манзилли!$Q:$Q,манзилли!$D:$D,'свод (сектор вилоят)'!$B$37,манзилли!$E:$E,"1"))</f>
        <v>83165</v>
      </c>
      <c r="G38" s="47">
        <f>(+SUMIFS(манзилли!$S:$S,манзилли!$D:$D,'свод (сектор вилоят)'!$B$37,манзилли!$E:$E,"1"))</f>
        <v>5542</v>
      </c>
      <c r="H38" s="47">
        <f>(+SUMIFS(манзилли!$U:$U,манзилли!$D:$D,'свод (сектор вилоят)'!$B$37,манзилли!$E:$E,"1"))</f>
        <v>2500</v>
      </c>
      <c r="I38" s="48">
        <f>+SUMIFS(манзилли!$Y:$Y,манзилли!$D:$D,'свод (сектор вилоят)'!$B$37,манзилли!$E:$E,"1")</f>
        <v>700</v>
      </c>
      <c r="J38" s="46">
        <f>(+COUNTIFS(манзилли!$L:$L,"&gt;0",манзилли!$D:$D,'свод (сектор вилоят)'!$B$37,манзилли!$E:$E,"1")+COUNTIFS('Қўшимча ишга тушган'!$T:$T,"&gt;0",'Қўшимча ишга тушган'!$D:$D,'свод (сектор вилоят)'!$B$37,'Қўшимча ишга тушган'!$E:$E,"1"))</f>
        <v>41</v>
      </c>
      <c r="K38" s="48">
        <f>(+SUMIFS(манзилли!$L:$L,манзилли!$D:$D,'свод (сектор вилоят)'!$B$37,манзилли!$E:$E,"1")+SUMIFS('Қўшимча ишга тушган'!$T:$T,'Қўшимча ишга тушган'!$D:$D,'свод (сектор вилоят)'!$B$37,'Қўшимча ишга тушган'!$E:$E,"1"))</f>
        <v>41411</v>
      </c>
      <c r="L38" s="49">
        <f>(+SUMIFS(манзилли!$N:$N,манзилли!$D:$D,'свод (сектор вилоят)'!$B$37,манзилли!$E:$E,"1")+SUMIFS('Қўшимча ишга тушган'!$V:$V,'Қўшимча ишга тушган'!$D:$D,'свод (сектор вилоят)'!$B$37,'Қўшимча ишга тушган'!$E:$E,"1"))</f>
        <v>2200</v>
      </c>
      <c r="M38" s="47">
        <f>(+SUMIFS(манзилли!$R:$R,манзилли!$D:$D,'свод (сектор вилоят)'!$B$37,манзилли!$E:$E,"1")+SUMIFS('Қўшимча ишга тушган'!$Z:$Z,'Қўшимча ишга тушган'!$D:$D,'свод (сектор вилоят)'!$B$37,'Қўшимча ишга тушган'!$E:$E,"1"))</f>
        <v>12334</v>
      </c>
      <c r="N38" s="47">
        <f>(+SUMIFS(манзилли!$T:$T,манзилли!$D:$D,'свод (сектор вилоят)'!$B$37,манзилли!$E:$E,"1")+SUMIFS('Қўшимча ишга тушган'!$AB:$AB,'Қўшимча ишга тушган'!$D:$D,'свод (сектор вилоят)'!$B$37,'Қўшимча ишга тушган'!$E:$E,"1"))</f>
        <v>2635</v>
      </c>
      <c r="O38" s="48">
        <f>(+SUMIFS(манзилли!$V:$V,манзилли!$D:$D,'свод (сектор вилоят)'!$B$37,манзилли!$E:$E,"1")+SUMIFS('Қўшимча ишга тушган'!$AD:$AD,'Қўшимча ишга тушган'!$D:$D,'свод (сектор вилоят)'!$B$37,'Қўшимча ишга тушган'!$E:$E,"1"))</f>
        <v>0</v>
      </c>
      <c r="P38" s="46">
        <f>+COUNTIFS(манзилли!$D:$D,'свод (сектор вилоят)'!$B$37,манзилли!$AA:$AA,"&gt;31.12.2020",манзилли!$AA:$AA,"&lt;01.01.2022",манзилли!$E:$E,"1")</f>
        <v>45</v>
      </c>
      <c r="Q38" s="47">
        <f>(+SUMIFS(манзилли!$K:$K,манзилли!$D:$D,'свод (сектор вилоят)'!$B$37,манзилли!$AA:$AA,"&gt;31.12.2020",манзилли!$AA:$AA,"&lt;01.01.2022",манзилли!$E:$E,"1"))</f>
        <v>115687.6</v>
      </c>
      <c r="R38" s="47">
        <f>(+SUMIFS(манзилли!$M:$M,манзилли!$D:$D,'свод (сектор вилоят)'!$B$37,манзилли!$AA:$AA,"&gt;31.12.2020",манзилли!$AA:$AA,"&lt;01.01.2022",манзилли!$E:$E,"1"))</f>
        <v>34510</v>
      </c>
      <c r="S38" s="47">
        <f>(+SUMIFS(манзилли!$Q:$Q,манзилли!$D:$D,'свод (сектор вилоят)'!$B$37,манзилли!$AA:$AA,"&gt;31.12.2020",манзилли!$AA:$AA,"&lt;01.01.2022",манзилли!$E:$E,"1"))</f>
        <v>43665</v>
      </c>
      <c r="T38" s="47">
        <f>(+SUMIFS(манзилли!$S:$S,манзилли!$D:$D,'свод (сектор вилоят)'!$B$37,манзилли!$AA:$AA,"&gt;31.12.2020",манзилли!$AA:$AA,"&lt;01.01.2022",манзилли!$E:$E,"1"))</f>
        <v>3642</v>
      </c>
      <c r="U38" s="47">
        <f>(+SUMIFS(манзилли!$U:$U,манзилли!$D:$D,'свод (сектор вилоят)'!$B$37,манзилли!$AA:$AA,"&gt;31.12.2020",манзилли!$AA:$AA,"&lt;01.01.2022",манзилли!$E:$E,"1"))</f>
        <v>0</v>
      </c>
      <c r="V38" s="48">
        <f>+SUMIFS(манзилли!$Y:$Y,манзилли!$D:$D,'свод (сектор вилоят)'!$B$37,манзилли!$AA:$AA,"&gt;31.12.2020",манзилли!$AA:$AA,"&lt;01.01.2022",манзилли!$E:$E,"1")</f>
        <v>513</v>
      </c>
      <c r="W38" s="46">
        <f>+AD38+AK38</f>
        <v>3</v>
      </c>
      <c r="X38" s="47">
        <f t="shared" ref="X38:X41" si="418">+AE38+AL38</f>
        <v>1850</v>
      </c>
      <c r="Y38" s="47">
        <f t="shared" ref="Y38:Y41" si="419">+AF38+AM38</f>
        <v>700</v>
      </c>
      <c r="Z38" s="47">
        <f t="shared" ref="Z38:Z41" si="420">+AG38+AN38</f>
        <v>1150</v>
      </c>
      <c r="AA38" s="47">
        <f t="shared" ref="AA38:AA41" si="421">+AH38+AO38</f>
        <v>0</v>
      </c>
      <c r="AB38" s="47">
        <f t="shared" ref="AB38:AB41" si="422">+AI38+AP38</f>
        <v>0</v>
      </c>
      <c r="AC38" s="48">
        <f t="shared" ref="AC38:AC41" si="423">+AJ38+AQ38</f>
        <v>12</v>
      </c>
      <c r="AD38" s="46">
        <f>+COUNTIFS(манзилли!$D:$D,'свод (сектор вилоят)'!$B$37,манзилли!$AB:$AB,"&gt;31.12.2020",манзилли!$AA:$AA,"&gt;31.12.2020",манзилли!$AA:$AA,"&lt;01.01.2022",манзилли!$E:$E,"1")</f>
        <v>3</v>
      </c>
      <c r="AE38" s="47">
        <f>(+SUMIFS(манзилли!$L:$L,манзилли!$D:$D,'свод (сектор вилоят)'!$B$37,манзилли!$AB:$AB,"&gt;31.12.2020",манзилли!$AA:$AA,"&gt;31.12.2020",манзилли!$AA:$AA,"&lt;01.01.2022",манзилли!$E:$E,"1"))</f>
        <v>1850</v>
      </c>
      <c r="AF38" s="47">
        <f>(+SUMIFS(манзилли!$N:$N,манзилли!$D:$D,'свод (сектор вилоят)'!$B$37,манзилли!$AB:$AB,"&gt;31.12.2020",манзилли!$AA:$AA,"&gt;31.12.2020",манзилли!$AA:$AA,"&lt;01.01.2022",манзилли!$E:$E,"1"))</f>
        <v>700</v>
      </c>
      <c r="AG38" s="47">
        <f>(+SUMIFS(манзилли!$R:$R,манзилли!$D:$D,'свод (сектор вилоят)'!$B$37,манзилли!$AB:$AB,"&gt;31.12.2020",манзилли!$AA:$AA,"&gt;31.12.2020",манзилли!$AA:$AA,"&lt;01.01.2022",манзилли!$E:$E,"1"))</f>
        <v>1150</v>
      </c>
      <c r="AH38" s="47">
        <f>(+SUMIFS(манзилли!$T:$T,манзилли!$D:$D,'свод (сектор вилоят)'!$B$37,манзилли!$AB:$AB,"&gt;31.12.2020",манзилли!$AA:$AA,"&gt;31.12.2020",манзилли!$AA:$AA,"&lt;01.01.2022",манзилли!$E:$E,"1"))</f>
        <v>0</v>
      </c>
      <c r="AI38" s="47">
        <f>(+SUMIFS(манзилли!$V:$V,манзилли!$D:$D,'свод (сектор вилоят)'!$B$37,манзилли!$AB:$AB,"&gt;31.12.2020",манзилли!$AA:$AA,"&gt;31.12.2020",манзилли!$AA:$AA,"&lt;01.01.2022",манзилли!$E:$E,"1"))</f>
        <v>0</v>
      </c>
      <c r="AJ38" s="48">
        <f>+SUMIFS(манзилли!$Z:$Z,манзилли!$D:$D,'свод (сектор вилоят)'!$B$37,манзилли!$AB:$AB,"&gt;31.12.2020",манзилли!$AA:$AA,"&gt;31.12.2020",манзилли!$AA:$AA,"&lt;01.01.2022",манзилли!$E:$E,"1")</f>
        <v>12</v>
      </c>
      <c r="AK38" s="46">
        <f>+COUNTIFS('Қўшимча ишга тушган'!$D:$D,'свод (сектор вилоят)'!B37,'Қўшимча ишга тушган'!$AO:$AO,"&lt;01.10.2023",манзилли!$E:$E,"1")</f>
        <v>0</v>
      </c>
      <c r="AL38" s="47">
        <f>(+SUMIFS('Қўшимча ишга тушган'!$T:$T,'Қўшимча ишга тушган'!$D:$D,'свод (сектор вилоят)'!$B$37,'Қўшимча ишга тушган'!$AO:$AO,"&lt;01.10.2023",манзилли!$E:$E,"1"))</f>
        <v>0</v>
      </c>
      <c r="AM38" s="47">
        <f>(+SUMIFS('Қўшимча ишга тушган'!$V:$V,'Қўшимча ишга тушган'!$D:$D,'свод (сектор вилоят)'!$B$37,'Қўшимча ишга тушган'!$AO:$AO,"&lt;01.10.2023",манзилли!$E:$E,"1"))</f>
        <v>0</v>
      </c>
      <c r="AN38" s="47">
        <f>(+SUMIFS('Қўшимча ишга тушган'!$Z:$Z,'Қўшимча ишга тушган'!$D:$D,'свод (сектор вилоят)'!$B$37,'Қўшимча ишга тушган'!$AO:$AO,"&lt;01.10.2023",манзилли!$E:$E,"1"))</f>
        <v>0</v>
      </c>
      <c r="AO38" s="47">
        <f>(+SUMIFS('Қўшимча ишга тушган'!$AB:$AB,'Қўшимча ишга тушган'!$D:$D,'свод (сектор вилоят)'!$B$37,'Қўшимча ишга тушган'!$AO:$AO,"&lt;01.10.2023",манзилли!$E:$E,"1"))</f>
        <v>0</v>
      </c>
      <c r="AP38" s="47">
        <f>(+SUMIFS('Қўшимча ишга тушган'!$AD:$AD,'Қўшимча ишга тушган'!$D:$D,'свод (сектор вилоят)'!$B$37,'Қўшимча ишга тушган'!$AO:$AO,"&lt;01.10.2023",манзилли!$E:$E,"1"))</f>
        <v>0</v>
      </c>
      <c r="AQ38" s="48">
        <f>+SUMIFS('Қўшимча ишга тушган'!$AM:$AM,'Қўшимча ишга тушган'!$D:$D,'свод (сектор вилоят)'!$B$37,'Қўшимча ишга тушган'!$AO:$AO,"&lt;01.10.2023",манзилли!$E:$E,"1")</f>
        <v>0</v>
      </c>
      <c r="AR38" s="46">
        <f>+COUNTIFS(манзилли!$D:$D,'свод (сектор вилоят)'!$B$37,манзилли!$AA:$AA,"&lt;01.02.2021",манзилли!$AB:$AB,"",манзилли!$E:$E,"1")</f>
        <v>0</v>
      </c>
      <c r="AS38" s="47">
        <f>(+SUMIFS(манзилли!$K:$K,манзилли!$D:$D,'свод (сектор вилоят)'!$B$37,манзилли!$AA:$AA,"&lt;01.02.2021",манзилли!$AB:$AB,"",манзилли!$E:$E,"1"))</f>
        <v>0</v>
      </c>
      <c r="AT38" s="47">
        <f>(+SUMIFS(манзилли!$M:$M,манзилли!$D:$D,'свод (сектор вилоят)'!$B$37,манзилли!$AA:$AA,"&lt;01.02.2021",манзилли!$AB:$AB,"",манзилли!$E:$E,"1"))</f>
        <v>0</v>
      </c>
      <c r="AU38" s="47">
        <f>(+SUMIFS(манзилли!$Q:$Q,манзилли!$D:$D,'свод (сектор вилоят)'!$B$37,манзилли!$AA:$AA,"&lt;01.02.2021",манзилли!$AB:$AB,"",манзилли!$E:$E,"1"))</f>
        <v>0</v>
      </c>
      <c r="AV38" s="47">
        <f>(+SUMIFS(манзилли!$S:$S,манзилли!$D:$D,'свод (сектор вилоят)'!$B$37,манзилли!$AA:$AA,"&lt;01.02.2021",манзилли!$AB:$AB,"",манзилли!$E:$E,"1"))</f>
        <v>0</v>
      </c>
      <c r="AW38" s="47">
        <f>(+SUMIFS(манзилли!$U:$U,манзилли!$D:$D,'свод (сектор вилоят)'!$B$37,манзилли!$AA:$AA,"&lt;01.02.2021",манзилли!$AB:$AB,"",манзилли!$E:$E,"1"))</f>
        <v>0</v>
      </c>
      <c r="AX38" s="48">
        <f>+SUMIFS(манзилли!$Y:$Y,манзилли!$D:$D,'свод (сектор вилоят)'!$B$37,манзилли!$AA:$AA,"&lt;01.02.2021",манзилли!$AB:$AB,"",манзилли!$E:$E,"1")</f>
        <v>0</v>
      </c>
      <c r="AY38" s="46">
        <f>+COUNTIFS(манзилли!$D:$D,'свод (сектор вилоят)'!$B$37,манзилли!$AA:$AA,"&lt;01.01.2022",манзилли!$AB:$AB,"",манзилли!$E:$E,"1")</f>
        <v>41</v>
      </c>
      <c r="AZ38" s="47">
        <f>(+SUMIFS(манзилли!$K:$K,манзилли!$D:$D,'свод (сектор вилоят)'!$B$37,манзилли!$AA:$AA,"&lt;01.01.2022",манзилли!$AB:$AB,"",манзилли!$E:$E,"1"))</f>
        <v>111345.60000000001</v>
      </c>
      <c r="BA38" s="47">
        <f>(+SUMIFS(манзилли!$M:$M,манзилли!$D:$D,'свод (сектор вилоят)'!$B$37,манзилли!$AA:$AA,"&lt;01.01.2022",манзилли!$AB:$AB,"",манзилли!$E:$E,"1"))</f>
        <v>33110</v>
      </c>
      <c r="BB38" s="47">
        <f>(+SUMIFS(манзилли!$Q:$Q,манзилли!$D:$D,'свод (сектор вилоят)'!$B$37,манзилли!$AA:$AA,"&lt;01.01.2022",манзилли!$AB:$AB,"",манзилли!$E:$E,"1"))</f>
        <v>41650</v>
      </c>
      <c r="BC38" s="47">
        <f>(+SUMIFS(манзилли!$S:$S,манзилли!$D:$D,'свод (сектор вилоят)'!$B$37,манзилли!$AA:$AA,"&lt;01.01.2022",манзилли!$AB:$AB,"",манзилли!$E:$E,"1"))</f>
        <v>3552</v>
      </c>
      <c r="BD38" s="47">
        <f>(+SUMIFS(манзилли!$U:$U,манзилли!$D:$D,'свод (сектор вилоят)'!$B$37,манзилли!$AA:$AA,"&lt;01.01.2022",манзилли!$AB:$AB,"",манзилли!$E:$E,"1"))</f>
        <v>0</v>
      </c>
      <c r="BE38" s="48">
        <f>+SUMIFS(манзилли!$Y:$Y,манзилли!$D:$D,'свод (сектор вилоят)'!$B$37,манзилли!$AA:$AA,"&lt;01.01.2022",манзилли!$AB:$AB,"",манзилли!$E:$E,"1")</f>
        <v>470</v>
      </c>
      <c r="BF38" s="46">
        <f>+COUNTIFS(манзилли!$D:$D,'свод (сектор вилоят)'!$B$37,манзилли!$AA:$AA,"&lt;01.01.2023",манзилли!$AA:$AA,"&gt;=01.01.2022",манзилли!$E:$E,"1")</f>
        <v>6</v>
      </c>
      <c r="BG38" s="47">
        <f>(+SUMIFS(манзилли!$K:$K,манзилли!$D:$D,'свод (сектор вилоят)'!$B$37,манзилли!$AA:$AA,"&lt;01.01.2023",манзилли!$AA:$AA,"&gt;=01.01.2022",манзилли!$E:$E,"1"))</f>
        <v>116896</v>
      </c>
      <c r="BH38" s="47">
        <f>(+SUMIFS(манзилли!$M:$M,манзилли!$D:$D,'свод (сектор вилоят)'!$B$37,манзилли!$AA:$AA,"&lt;01.01.2023",манзилли!$AA:$AA,"&gt;=01.01.2022",манзилли!$E:$E,"1"))</f>
        <v>33000</v>
      </c>
      <c r="BI38" s="47">
        <f>(+SUMIFS(манзилли!$Q:$Q,манзилли!$D:$D,'свод (сектор вилоят)'!$B$37,манзилли!$AA:$AA,"&lt;01.01.2023",манзилли!$AA:$AA,"&gt;=01.01.2022",манзилли!$E:$E,"1"))</f>
        <v>38500</v>
      </c>
      <c r="BJ38" s="47">
        <f>(+SUMIFS(манзилли!$S:$S,манзилли!$D:$D,'свод (сектор вилоят)'!$B$37,манзилли!$AA:$AA,"&lt;01.01.2023",манзилли!$AA:$AA,"&gt;=01.01.2022",манзилли!$E:$E,"1"))</f>
        <v>1900</v>
      </c>
      <c r="BK38" s="47">
        <f>(+SUMIFS(манзилли!$U:$U,манзилли!$D:$D,'свод (сектор вилоят)'!$B$37,манзилли!$AA:$AA,"&lt;01.01.2023",манзилли!$AA:$AA,"&gt;=01.01.2022",манзилли!$E:$E,"1"))</f>
        <v>2500</v>
      </c>
      <c r="BL38" s="48">
        <f>+SUMIFS(манзилли!$Y:$Y,манзилли!$D:$D,'свод (сектор вилоят)'!$B$37,манзилли!$AA:$AA,"&lt;01.01.2023",манзилли!$AA:$AA,"&gt;=01.01.2022",манзилли!$E:$E,"1")</f>
        <v>173</v>
      </c>
    </row>
    <row r="39" spans="1:64" s="3" customFormat="1" ht="39.75" customHeight="1">
      <c r="A39" s="51"/>
      <c r="B39" s="27" t="s">
        <v>1772</v>
      </c>
      <c r="C39" s="28">
        <f>+COUNTIFS(манзилли!$D:$D,'свод (сектор вилоят)'!$B$37,манзилли!$E:$E,"2")</f>
        <v>8</v>
      </c>
      <c r="D39" s="29">
        <f>(+SUMIFS(манзилли!$K:$K,манзилли!$D:$D,'свод (сектор вилоят)'!$B$37,манзилли!$E:$E,"2"))</f>
        <v>131155.5</v>
      </c>
      <c r="E39" s="29">
        <f>(+SUMIFS(манзилли!$M:$M,манзилли!$D:$D,'свод (сектор вилоят)'!$B$37,манзилли!$E:$E,"2"))</f>
        <v>5880</v>
      </c>
      <c r="F39" s="29">
        <f>(+SUMIFS(манзилли!$Q:$Q,манзилли!$D:$D,'свод (сектор вилоят)'!$B$37,манзилли!$E:$E,"2"))</f>
        <v>5825</v>
      </c>
      <c r="G39" s="29">
        <f>(+SUMIFS(манзилли!$S:$S,манзилли!$D:$D,'свод (сектор вилоят)'!$B$37,манзилли!$E:$E,"2"))</f>
        <v>2500</v>
      </c>
      <c r="H39" s="29">
        <f>(+SUMIFS(манзилли!$U:$U,манзилли!$D:$D,'свод (сектор вилоят)'!$B$37,манзилли!$E:$E,"2"))</f>
        <v>9085</v>
      </c>
      <c r="I39" s="30">
        <f>+SUMIFS(манзилли!$Y:$Y,манзилли!$D:$D,'свод (сектор вилоят)'!$B$37,манзилли!$E:$E,"2")</f>
        <v>295</v>
      </c>
      <c r="J39" s="28">
        <f>(+COUNTIFS(манзилли!$L:$L,"&gt;0",манзилли!$D:$D,'свод (сектор вилоят)'!$B$37,манзилли!$E:$E,"2")+COUNTIFS('Қўшимча ишга тушган'!$T:$T,"&gt;0",'Қўшимча ишга тушган'!$D:$D,'свод (сектор вилоят)'!$B$37,'Қўшимча ишга тушган'!$E:$E,"2"))</f>
        <v>5</v>
      </c>
      <c r="K39" s="30">
        <f>(+SUMIFS(манзилли!$L:$L,манзилли!$D:$D,'свод (сектор вилоят)'!$B$37,манзилли!$E:$E,"2")+SUMIFS('Қўшимча ишга тушган'!$T:$T,'Қўшимча ишга тушган'!$D:$D,'свод (сектор вилоят)'!$B$37,'Қўшимча ишга тушган'!$E:$E,"2"))</f>
        <v>4575</v>
      </c>
      <c r="L39" s="31">
        <f>(+SUMIFS(манзилли!$N:$N,манзилли!$D:$D,'свод (сектор вилоят)'!$B$37,манзилли!$E:$E,"2")+SUMIFS('Қўшимча ишга тушган'!$V:$V,'Қўшимча ишга тушган'!$D:$D,'свод (сектор вилоят)'!$B$37,'Қўшимча ишга тушган'!$E:$E,"2"))</f>
        <v>1780</v>
      </c>
      <c r="M39" s="29">
        <f>(+SUMIFS(манзилли!$R:$R,манзилли!$D:$D,'свод (сектор вилоят)'!$B$37,манзилли!$E:$E,"2")+SUMIFS('Қўшимча ишга тушган'!$Z:$Z,'Қўшимча ишга тушган'!$D:$D,'свод (сектор вилоят)'!$B$37,'Қўшимча ишга тушган'!$E:$E,"2"))</f>
        <v>2795</v>
      </c>
      <c r="N39" s="29">
        <f>(+SUMIFS(манзилли!$T:$T,манзилли!$D:$D,'свод (сектор вилоят)'!$B$37,манзилли!$E:$E,"2")+SUMIFS('Қўшимча ишга тушган'!$AB:$AB,'Қўшимча ишга тушган'!$D:$D,'свод (сектор вилоят)'!$B$37,'Қўшимча ишга тушган'!$E:$E,"2"))</f>
        <v>0</v>
      </c>
      <c r="O39" s="30">
        <f>(+SUMIFS(манзилли!$V:$V,манзилли!$D:$D,'свод (сектор вилоят)'!$B$37,манзилли!$E:$E,"2")+SUMIFS('Қўшимча ишга тушган'!$AD:$AD,'Қўшимча ишга тушган'!$D:$D,'свод (сектор вилоят)'!$B$37,'Қўшимча ишга тушган'!$E:$E,"2"))</f>
        <v>0</v>
      </c>
      <c r="P39" s="28">
        <f>+COUNTIFS(манзилли!$D:$D,'свод (сектор вилоят)'!$B$37,манзилли!$AA:$AA,"&gt;31.12.2020",манзилли!$AA:$AA,"&lt;01.01.2022",манзилли!$E:$E,"2")</f>
        <v>7</v>
      </c>
      <c r="Q39" s="29">
        <f>(+SUMIFS(манзилли!$K:$K,манзилли!$D:$D,'свод (сектор вилоят)'!$B$37,манзилли!$AA:$AA,"&gt;31.12.2020",манзилли!$AA:$AA,"&lt;01.01.2022",манзилли!$E:$E,"2"))</f>
        <v>130275.5</v>
      </c>
      <c r="R39" s="29">
        <f>(+SUMIFS(манзилли!$M:$M,манзилли!$D:$D,'свод (сектор вилоят)'!$B$37,манзилли!$AA:$AA,"&gt;31.12.2020",манзилли!$AA:$AA,"&lt;01.01.2022",манзилли!$E:$E,"2"))</f>
        <v>5600</v>
      </c>
      <c r="S39" s="29">
        <f>(+SUMIFS(манзилли!$Q:$Q,манзилли!$D:$D,'свод (сектор вилоят)'!$B$37,манзилли!$AA:$AA,"&gt;31.12.2020",манзилли!$AA:$AA,"&lt;01.01.2022",манзилли!$E:$E,"2"))</f>
        <v>5225</v>
      </c>
      <c r="T39" s="29">
        <f>(+SUMIFS(манзилли!$S:$S,манзилли!$D:$D,'свод (сектор вилоят)'!$B$37,манзилли!$AA:$AA,"&gt;31.12.2020",манзилли!$AA:$AA,"&lt;01.01.2022",манзилли!$E:$E,"2"))</f>
        <v>2500</v>
      </c>
      <c r="U39" s="29">
        <f>(+SUMIFS(манзилли!$U:$U,манзилли!$D:$D,'свод (сектор вилоят)'!$B$37,манзилли!$AA:$AA,"&gt;31.12.2020",манзилли!$AA:$AA,"&lt;01.01.2022",манзилли!$E:$E,"2"))</f>
        <v>9085</v>
      </c>
      <c r="V39" s="30">
        <f>+SUMIFS(манзилли!$Y:$Y,манзилли!$D:$D,'свод (сектор вилоят)'!$B$37,манзилли!$AA:$AA,"&gt;31.12.2020",манзилли!$AA:$AA,"&lt;01.01.2022",манзилли!$E:$E,"2")</f>
        <v>291</v>
      </c>
      <c r="W39" s="28">
        <f t="shared" ref="W39:W41" si="424">+AD39+AK39</f>
        <v>1</v>
      </c>
      <c r="X39" s="29">
        <f t="shared" si="418"/>
        <v>700</v>
      </c>
      <c r="Y39" s="29">
        <f t="shared" si="419"/>
        <v>200</v>
      </c>
      <c r="Z39" s="29">
        <f t="shared" si="420"/>
        <v>500</v>
      </c>
      <c r="AA39" s="29">
        <f t="shared" si="421"/>
        <v>0</v>
      </c>
      <c r="AB39" s="29">
        <f t="shared" si="422"/>
        <v>0</v>
      </c>
      <c r="AC39" s="30">
        <f t="shared" si="423"/>
        <v>2</v>
      </c>
      <c r="AD39" s="28">
        <f>+COUNTIFS(манзилли!$D:$D,'свод (сектор вилоят)'!$B$37,манзилли!$AB:$AB,"&gt;31.12.2020",манзилли!$AA:$AA,"&gt;31.12.2020",манзилли!$AA:$AA,"&lt;01.01.2022",манзилли!$E:$E,"2")</f>
        <v>1</v>
      </c>
      <c r="AE39" s="29">
        <f>(+SUMIFS(манзилли!$L:$L,манзилли!$D:$D,'свод (сектор вилоят)'!$B$37,манзилли!$AB:$AB,"&gt;31.12.2020",манзилли!$AA:$AA,"&gt;31.12.2020",манзилли!$AA:$AA,"&lt;01.01.2022",манзилли!$E:$E,"2"))</f>
        <v>700</v>
      </c>
      <c r="AF39" s="29">
        <f>(+SUMIFS(манзилли!$N:$N,манзилли!$D:$D,'свод (сектор вилоят)'!$B$37,манзилли!$AB:$AB,"&gt;31.12.2020",манзилли!$AA:$AA,"&gt;31.12.2020",манзилли!$AA:$AA,"&lt;01.01.2022",манзилли!$E:$E,"2"))</f>
        <v>200</v>
      </c>
      <c r="AG39" s="29">
        <f>(+SUMIFS(манзилли!$R:$R,манзилли!$D:$D,'свод (сектор вилоят)'!$B$37,манзилли!$AB:$AB,"&gt;31.12.2020",манзилли!$AA:$AA,"&gt;31.12.2020",манзилли!$AA:$AA,"&lt;01.01.2022",манзилли!$E:$E,"2"))</f>
        <v>500</v>
      </c>
      <c r="AH39" s="29">
        <f>(+SUMIFS(манзилли!$T:$T,манзилли!$D:$D,'свод (сектор вилоят)'!$B$37,манзилли!$AB:$AB,"&gt;31.12.2020",манзилли!$AA:$AA,"&gt;31.12.2020",манзилли!$AA:$AA,"&lt;01.01.2022",манзилли!$E:$E,"2"))</f>
        <v>0</v>
      </c>
      <c r="AI39" s="29">
        <f>(+SUMIFS(манзилли!$V:$V,манзилли!$D:$D,'свод (сектор вилоят)'!$B$37,манзилли!$AB:$AB,"&gt;31.12.2020",манзилли!$AA:$AA,"&gt;31.12.2020",манзилли!$AA:$AA,"&lt;01.01.2022",манзилли!$E:$E,"2"))</f>
        <v>0</v>
      </c>
      <c r="AJ39" s="30">
        <f>+SUMIFS(манзилли!$Z:$Z,манзилли!$D:$D,'свод (сектор вилоят)'!$B$37,манзилли!$AB:$AB,"&gt;31.12.2020",манзилли!$AA:$AA,"&gt;31.12.2020",манзилли!$AA:$AA,"&lt;01.01.2022",манзилли!$E:$E,"2")</f>
        <v>2</v>
      </c>
      <c r="AK39" s="28">
        <f>+COUNTIFS('Қўшимча ишга тушган'!$D:$D,'свод (сектор вилоят)'!B37,'Қўшимча ишга тушган'!$AO:$AO,"&lt;01.10.2023",манзилли!$E:$E,"2")</f>
        <v>0</v>
      </c>
      <c r="AL39" s="29">
        <f>(+SUMIFS('Қўшимча ишга тушган'!$T:$T,'Қўшимча ишга тушган'!$D:$D,'свод (сектор вилоят)'!$B$37,'Қўшимча ишга тушган'!$AO:$AO,"&lt;01.10.2023",манзилли!$E:$E,"2"))</f>
        <v>0</v>
      </c>
      <c r="AM39" s="29">
        <f>(+SUMIFS('Қўшимча ишга тушган'!$V:$V,'Қўшимча ишга тушган'!$D:$D,'свод (сектор вилоят)'!$B$37,'Қўшимча ишга тушган'!$AO:$AO,"&lt;01.10.2023",манзилли!$E:$E,"2"))</f>
        <v>0</v>
      </c>
      <c r="AN39" s="29">
        <f>(+SUMIFS('Қўшимча ишга тушган'!$Z:$Z,'Қўшимча ишга тушган'!$D:$D,'свод (сектор вилоят)'!$B$37,'Қўшимча ишга тушган'!$AO:$AO,"&lt;01.10.2023",манзилли!$E:$E,"2"))</f>
        <v>0</v>
      </c>
      <c r="AO39" s="29">
        <f>(+SUMIFS('Қўшимча ишга тушган'!$AB:$AB,'Қўшимча ишга тушган'!$D:$D,'свод (сектор вилоят)'!$B$37,'Қўшимча ишга тушган'!$AO:$AO,"&lt;01.10.2023",манзилли!$E:$E,"2"))</f>
        <v>0</v>
      </c>
      <c r="AP39" s="29">
        <f>(+SUMIFS('Қўшимча ишга тушган'!$AD:$AD,'Қўшимча ишга тушган'!$D:$D,'свод (сектор вилоят)'!$B$37,'Қўшимча ишга тушган'!$AO:$AO,"&lt;01.10.2023",манзилли!$E:$E,"2"))</f>
        <v>0</v>
      </c>
      <c r="AQ39" s="30">
        <f>+SUMIFS('Қўшимча ишга тушган'!$AM:$AM,'Қўшимча ишга тушган'!$D:$D,'свод (сектор вилоят)'!$B$37,'Қўшимча ишга тушган'!$AO:$AO,"&lt;01.10.2023",манзилли!$E:$E,"2")</f>
        <v>0</v>
      </c>
      <c r="AR39" s="28">
        <f>+COUNTIFS(манзилли!$D:$D,'свод (сектор вилоят)'!$B$37,манзилли!$AA:$AA,"&lt;01.02.2021",манзилли!$AB:$AB,"",манзилли!$E:$E,"2")</f>
        <v>0</v>
      </c>
      <c r="AS39" s="29">
        <f>(+SUMIFS(манзилли!$K:$K,манзилли!$D:$D,'свод (сектор вилоят)'!$B$37,манзилли!$AA:$AA,"&lt;01.02.2021",манзилли!$AB:$AB,"",манзилли!$E:$E,"2"))</f>
        <v>0</v>
      </c>
      <c r="AT39" s="29">
        <f>(+SUMIFS(манзилли!$M:$M,манзилли!$D:$D,'свод (сектор вилоят)'!$B$37,манзилли!$AA:$AA,"&lt;01.02.2021",манзилли!$AB:$AB,"",манзилли!$E:$E,"2"))</f>
        <v>0</v>
      </c>
      <c r="AU39" s="29">
        <f>(+SUMIFS(манзилли!$Q:$Q,манзилли!$D:$D,'свод (сектор вилоят)'!$B$37,манзилли!$AA:$AA,"&lt;01.02.2021",манзилли!$AB:$AB,"",манзилли!$E:$E,"2"))</f>
        <v>0</v>
      </c>
      <c r="AV39" s="29">
        <f>(+SUMIFS(манзилли!$S:$S,манзилли!$D:$D,'свод (сектор вилоят)'!$B$37,манзилли!$AA:$AA,"&lt;01.02.2021",манзилли!$AB:$AB,"",манзилли!$E:$E,"2"))</f>
        <v>0</v>
      </c>
      <c r="AW39" s="29">
        <f>(+SUMIFS(манзилли!$U:$U,манзилли!$D:$D,'свод (сектор вилоят)'!$B$37,манзилли!$AA:$AA,"&lt;01.02.2021",манзилли!$AB:$AB,"",манзилли!$E:$E,"2"))</f>
        <v>0</v>
      </c>
      <c r="AX39" s="30">
        <f>+SUMIFS(манзилли!$Y:$Y,манзилли!$D:$D,'свод (сектор вилоят)'!$B$37,манзилли!$AA:$AA,"&lt;01.02.2021",манзилли!$AB:$AB,"",манзилли!$E:$E,"2")</f>
        <v>0</v>
      </c>
      <c r="AY39" s="28">
        <f>+COUNTIFS(манзилли!$D:$D,'свод (сектор вилоят)'!$B$37,манзилли!$AA:$AA,"&lt;01.01.2022",манзилли!$AB:$AB,"",манзилли!$E:$E,"2")</f>
        <v>4</v>
      </c>
      <c r="AZ39" s="29">
        <f>(+SUMIFS(манзилли!$K:$K,манзилли!$D:$D,'свод (сектор вилоят)'!$B$37,манзилли!$AA:$AA,"&lt;01.01.2022",манзилли!$AB:$AB,"",манзилли!$E:$E,"2"))</f>
        <v>127075.5</v>
      </c>
      <c r="BA39" s="29">
        <f>(+SUMIFS(манзилли!$M:$M,манзилли!$D:$D,'свод (сектор вилоят)'!$B$37,манзилли!$AA:$AA,"&lt;01.01.2022",манзилли!$AB:$AB,"",манзилли!$E:$E,"2"))</f>
        <v>5100</v>
      </c>
      <c r="BB39" s="29">
        <f>(+SUMIFS(манзилли!$Q:$Q,манзилли!$D:$D,'свод (сектор вилоят)'!$B$37,манзилли!$AA:$AA,"&lt;01.01.2022",манзилли!$AB:$AB,"",манзилли!$E:$E,"2"))</f>
        <v>2525</v>
      </c>
      <c r="BC39" s="29">
        <f>(+SUMIFS(манзилли!$S:$S,манзилли!$D:$D,'свод (сектор вилоят)'!$B$37,манзилли!$AA:$AA,"&lt;01.01.2022",манзилли!$AB:$AB,"",манзилли!$E:$E,"2"))</f>
        <v>2500</v>
      </c>
      <c r="BD39" s="29">
        <f>(+SUMIFS(манзилли!$U:$U,манзилли!$D:$D,'свод (сектор вилоят)'!$B$37,манзилли!$AA:$AA,"&lt;01.01.2022",манзилли!$AB:$AB,"",манзилли!$E:$E,"2"))</f>
        <v>9085</v>
      </c>
      <c r="BE39" s="30">
        <f>+SUMIFS(манзилли!$Y:$Y,манзилли!$D:$D,'свод (сектор вилоят)'!$B$37,манзилли!$AA:$AA,"&lt;01.01.2022",манзилли!$AB:$AB,"",манзилли!$E:$E,"2")</f>
        <v>274</v>
      </c>
      <c r="BF39" s="28">
        <f>+COUNTIFS(манзилли!$D:$D,'свод (сектор вилоят)'!$B$37,манзилли!$AA:$AA,"&lt;01.01.2023",манзилли!$AA:$AA,"&gt;=01.01.2022",манзилли!$E:$E,"2")</f>
        <v>0</v>
      </c>
      <c r="BG39" s="29">
        <f>(+SUMIFS(манзилли!$K:$K,манзилли!$D:$D,'свод (сектор вилоят)'!$B$37,манзилли!$AA:$AA,"&lt;01.01.2023",манзилли!$AA:$AA,"&gt;=01.01.2022",манзилли!$E:$E,"2"))</f>
        <v>0</v>
      </c>
      <c r="BH39" s="29">
        <f>(+SUMIFS(манзилли!$M:$M,манзилли!$D:$D,'свод (сектор вилоят)'!$B$37,манзилли!$AA:$AA,"&lt;01.01.2023",манзилли!$AA:$AA,"&gt;=01.01.2022",манзилли!$E:$E,"2"))</f>
        <v>0</v>
      </c>
      <c r="BI39" s="29">
        <f>(+SUMIFS(манзилли!$Q:$Q,манзилли!$D:$D,'свод (сектор вилоят)'!$B$37,манзилли!$AA:$AA,"&lt;01.01.2023",манзилли!$AA:$AA,"&gt;=01.01.2022",манзилли!$E:$E,"2"))</f>
        <v>0</v>
      </c>
      <c r="BJ39" s="29">
        <f>(+SUMIFS(манзилли!$S:$S,манзилли!$D:$D,'свод (сектор вилоят)'!$B$37,манзилли!$AA:$AA,"&lt;01.01.2023",манзилли!$AA:$AA,"&gt;=01.01.2022",манзилли!$E:$E,"2"))</f>
        <v>0</v>
      </c>
      <c r="BK39" s="29">
        <f>(+SUMIFS(манзилли!$U:$U,манзилли!$D:$D,'свод (сектор вилоят)'!$B$37,манзилли!$AA:$AA,"&lt;01.01.2023",манзилли!$AA:$AA,"&gt;=01.01.2022",манзилли!$E:$E,"2"))</f>
        <v>0</v>
      </c>
      <c r="BL39" s="30">
        <f>+SUMIFS(манзилли!$Y:$Y,манзилли!$D:$D,'свод (сектор вилоят)'!$B$37,манзилли!$AA:$AA,"&lt;01.01.2023",манзилли!$AA:$AA,"&gt;=01.01.2022",манзилли!$E:$E,"2")</f>
        <v>0</v>
      </c>
    </row>
    <row r="40" spans="1:64" s="3" customFormat="1" ht="39.75" customHeight="1">
      <c r="A40" s="51"/>
      <c r="B40" s="27" t="s">
        <v>1773</v>
      </c>
      <c r="C40" s="28">
        <f>+COUNTIFS(манзилли!$D:$D,'свод (сектор вилоят)'!$B$37,манзилли!$E:$E,"3")</f>
        <v>11</v>
      </c>
      <c r="D40" s="29">
        <f>(+SUMIFS(манзилли!$K:$K,манзилли!$D:$D,'свод (сектор вилоят)'!$B$37,манзилли!$E:$E,"3"))</f>
        <v>19970</v>
      </c>
      <c r="E40" s="29">
        <f>(+SUMIFS(манзилли!$M:$M,манзилли!$D:$D,'свод (сектор вилоят)'!$B$37,манзилли!$E:$E,"3"))</f>
        <v>8700</v>
      </c>
      <c r="F40" s="29">
        <f>(+SUMIFS(манзилли!$Q:$Q,манзилли!$D:$D,'свод (сектор вилоят)'!$B$37,манзилли!$E:$E,"3"))</f>
        <v>7150</v>
      </c>
      <c r="G40" s="29">
        <f>(+SUMIFS(манзилли!$S:$S,манзилли!$D:$D,'свод (сектор вилоят)'!$B$37,манзилли!$E:$E,"3"))</f>
        <v>400</v>
      </c>
      <c r="H40" s="29">
        <f>(+SUMIFS(манзилли!$U:$U,манзилли!$D:$D,'свод (сектор вилоят)'!$B$37,манзилли!$E:$E,"3"))</f>
        <v>0</v>
      </c>
      <c r="I40" s="30">
        <f>+SUMIFS(манзилли!$Y:$Y,манзилли!$D:$D,'свод (сектор вилоят)'!$B$37,манзилли!$E:$E,"3")</f>
        <v>76</v>
      </c>
      <c r="J40" s="28">
        <f>(+COUNTIFS(манзилли!$L:$L,"&gt;0",манзилли!$D:$D,'свод (сектор вилоят)'!$B$37,манзилли!$E:$E,"3")+COUNTIFS('Қўшимча ишга тушган'!$T:$T,"&gt;0",'Қўшимча ишга тушган'!$D:$D,'свод (сектор вилоят)'!$B$37,'Қўшимча ишга тушган'!$E:$E,"3"))</f>
        <v>6</v>
      </c>
      <c r="K40" s="30">
        <f>(+SUMIFS(манзилли!$L:$L,манзилли!$D:$D,'свод (сектор вилоят)'!$B$37,манзилли!$E:$E,"3")+SUMIFS('Қўшимча ишга тушган'!$T:$T,'Қўшимча ишга тушган'!$D:$D,'свод (сектор вилоят)'!$B$37,'Қўшимча ишга тушган'!$E:$E,"3"))</f>
        <v>3313.8</v>
      </c>
      <c r="L40" s="31">
        <f>(+SUMIFS(манзилли!$N:$N,манзилли!$D:$D,'свод (сектор вилоят)'!$B$37,манзилли!$E:$E,"3")+SUMIFS('Қўшимча ишга тушган'!$V:$V,'Қўшимча ишга тушган'!$D:$D,'свод (сектор вилоят)'!$B$37,'Қўшимча ишга тушган'!$E:$E,"3"))</f>
        <v>900</v>
      </c>
      <c r="M40" s="29">
        <f>(+SUMIFS(манзилли!$R:$R,манзилли!$D:$D,'свод (сектор вилоят)'!$B$37,манзилли!$E:$E,"3")+SUMIFS('Қўшимча ишга тушган'!$Z:$Z,'Қўшимча ишга тушган'!$D:$D,'свод (сектор вилоят)'!$B$37,'Қўшимча ишга тушган'!$E:$E,"3"))</f>
        <v>1200</v>
      </c>
      <c r="N40" s="29">
        <f>(+SUMIFS(манзилли!$T:$T,манзилли!$D:$D,'свод (сектор вилоят)'!$B$37,манзилли!$E:$E,"3")+SUMIFS('Қўшимча ишга тушган'!$AB:$AB,'Қўшимча ишга тушган'!$D:$D,'свод (сектор вилоят)'!$B$37,'Қўшимча ишга тушган'!$E:$E,"3"))</f>
        <v>119</v>
      </c>
      <c r="O40" s="30">
        <f>(+SUMIFS(манзилли!$V:$V,манзилли!$D:$D,'свод (сектор вилоят)'!$B$37,манзилли!$E:$E,"3")+SUMIFS('Қўшимча ишга тушган'!$AD:$AD,'Қўшимча ишга тушган'!$D:$D,'свод (сектор вилоят)'!$B$37,'Қўшимча ишга тушган'!$E:$E,"3"))</f>
        <v>0</v>
      </c>
      <c r="P40" s="28">
        <f>+COUNTIFS(манзилли!$D:$D,'свод (сектор вилоят)'!$B$37,манзилли!$AA:$AA,"&gt;31.12.2020",манзилли!$AA:$AA,"&lt;01.01.2022",манзилли!$E:$E,"3")</f>
        <v>9</v>
      </c>
      <c r="Q40" s="29">
        <f>(+SUMIFS(манзилли!$K:$K,манзилли!$D:$D,'свод (сектор вилоят)'!$B$37,манзилли!$AA:$AA,"&gt;31.12.2020",манзилли!$AA:$AA,"&lt;01.01.2022",манзилли!$E:$E,"3"))</f>
        <v>10970</v>
      </c>
      <c r="R40" s="29">
        <f>(+SUMIFS(манзилли!$M:$M,манзилли!$D:$D,'свод (сектор вилоят)'!$B$37,манзилли!$AA:$AA,"&gt;31.12.2020",манзилли!$AA:$AA,"&lt;01.01.2022",манзилли!$E:$E,"3"))</f>
        <v>2700</v>
      </c>
      <c r="S40" s="29">
        <f>(+SUMIFS(манзилли!$Q:$Q,манзилли!$D:$D,'свод (сектор вилоят)'!$B$37,манзилли!$AA:$AA,"&gt;31.12.2020",манзилли!$AA:$AA,"&lt;01.01.2022",манзилли!$E:$E,"3"))</f>
        <v>4150</v>
      </c>
      <c r="T40" s="29">
        <f>(+SUMIFS(манзилли!$S:$S,манзилли!$D:$D,'свод (сектор вилоят)'!$B$37,манзилли!$AA:$AA,"&gt;31.12.2020",манзилли!$AA:$AA,"&lt;01.01.2022",манзилли!$E:$E,"3"))</f>
        <v>400</v>
      </c>
      <c r="U40" s="29">
        <f>(+SUMIFS(манзилли!$U:$U,манзилли!$D:$D,'свод (сектор вилоят)'!$B$37,манзилли!$AA:$AA,"&gt;31.12.2020",манзилли!$AA:$AA,"&lt;01.01.2022",манзилли!$E:$E,"3"))</f>
        <v>0</v>
      </c>
      <c r="V40" s="30">
        <f>+SUMIFS(манзилли!$Y:$Y,манзилли!$D:$D,'свод (сектор вилоят)'!$B$37,манзилли!$AA:$AA,"&gt;31.12.2020",манзилли!$AA:$AA,"&lt;01.01.2022",манзилли!$E:$E,"3")</f>
        <v>58</v>
      </c>
      <c r="W40" s="28">
        <f t="shared" si="424"/>
        <v>2</v>
      </c>
      <c r="X40" s="29">
        <f t="shared" si="418"/>
        <v>1770</v>
      </c>
      <c r="Y40" s="29">
        <f t="shared" si="419"/>
        <v>450</v>
      </c>
      <c r="Z40" s="29">
        <f t="shared" si="420"/>
        <v>300</v>
      </c>
      <c r="AA40" s="29">
        <f t="shared" si="421"/>
        <v>100</v>
      </c>
      <c r="AB40" s="29">
        <f t="shared" si="422"/>
        <v>0</v>
      </c>
      <c r="AC40" s="30">
        <f t="shared" si="423"/>
        <v>11</v>
      </c>
      <c r="AD40" s="28">
        <f>+COUNTIFS(манзилли!$D:$D,'свод (сектор вилоят)'!$B$37,манзилли!$AB:$AB,"&gt;31.12.2020",манзилли!$AA:$AA,"&gt;31.12.2020",манзилли!$AA:$AA,"&lt;01.01.2022",манзилли!$E:$E,"3")</f>
        <v>2</v>
      </c>
      <c r="AE40" s="29">
        <f>(+SUMIFS(манзилли!$L:$L,манзилли!$D:$D,'свод (сектор вилоят)'!$B$37,манзилли!$AB:$AB,"&gt;31.12.2020",манзилли!$AA:$AA,"&gt;31.12.2020",манзилли!$AA:$AA,"&lt;01.01.2022",манзилли!$E:$E,"3"))</f>
        <v>1770</v>
      </c>
      <c r="AF40" s="29">
        <f>(+SUMIFS(манзилли!$N:$N,манзилли!$D:$D,'свод (сектор вилоят)'!$B$37,манзилли!$AB:$AB,"&gt;31.12.2020",манзилли!$AA:$AA,"&gt;31.12.2020",манзилли!$AA:$AA,"&lt;01.01.2022",манзилли!$E:$E,"3"))</f>
        <v>450</v>
      </c>
      <c r="AG40" s="29">
        <f>(+SUMIFS(манзилли!$R:$R,манзилли!$D:$D,'свод (сектор вилоят)'!$B$37,манзилли!$AB:$AB,"&gt;31.12.2020",манзилли!$AA:$AA,"&gt;31.12.2020",манзилли!$AA:$AA,"&lt;01.01.2022",манзилли!$E:$E,"3"))</f>
        <v>300</v>
      </c>
      <c r="AH40" s="29">
        <f>(+SUMIFS(манзилли!$T:$T,манзилли!$D:$D,'свод (сектор вилоят)'!$B$37,манзилли!$AB:$AB,"&gt;31.12.2020",манзилли!$AA:$AA,"&gt;31.12.2020",манзилли!$AA:$AA,"&lt;01.01.2022",манзилли!$E:$E,"3"))</f>
        <v>100</v>
      </c>
      <c r="AI40" s="29">
        <f>(+SUMIFS(манзилли!$V:$V,манзилли!$D:$D,'свод (сектор вилоят)'!$B$37,манзилли!$AB:$AB,"&gt;31.12.2020",манзилли!$AA:$AA,"&gt;31.12.2020",манзилли!$AA:$AA,"&lt;01.01.2022",манзилли!$E:$E,"3"))</f>
        <v>0</v>
      </c>
      <c r="AJ40" s="30">
        <f>+SUMIFS(манзилли!$Z:$Z,манзилли!$D:$D,'свод (сектор вилоят)'!$B$37,манзилли!$AB:$AB,"&gt;31.12.2020",манзилли!$AA:$AA,"&gt;31.12.2020",манзилли!$AA:$AA,"&lt;01.01.2022",манзилли!$E:$E,"3")</f>
        <v>11</v>
      </c>
      <c r="AK40" s="28">
        <f>+COUNTIFS('Қўшимча ишга тушган'!$D:$D,'свод (сектор вилоят)'!B37,'Қўшимча ишга тушган'!$AO:$AO,"&lt;01.10.2023",манзилли!$E:$E,"3")</f>
        <v>0</v>
      </c>
      <c r="AL40" s="29">
        <f>(+SUMIFS('Қўшимча ишга тушган'!$T:$T,'Қўшимча ишга тушган'!$D:$D,'свод (сектор вилоят)'!$B$37,'Қўшимча ишга тушган'!$AO:$AO,"&lt;01.10.2023",манзилли!$E:$E,"3"))</f>
        <v>0</v>
      </c>
      <c r="AM40" s="29">
        <f>(+SUMIFS('Қўшимча ишга тушган'!$V:$V,'Қўшимча ишга тушган'!$D:$D,'свод (сектор вилоят)'!$B$37,'Қўшимча ишга тушган'!$AO:$AO,"&lt;01.10.2023",манзилли!$E:$E,"3"))</f>
        <v>0</v>
      </c>
      <c r="AN40" s="29">
        <f>(+SUMIFS('Қўшимча ишга тушган'!$Z:$Z,'Қўшимча ишга тушган'!$D:$D,'свод (сектор вилоят)'!$B$37,'Қўшимча ишга тушган'!$AO:$AO,"&lt;01.10.2023",манзилли!$E:$E,"3"))</f>
        <v>0</v>
      </c>
      <c r="AO40" s="29">
        <f>(+SUMIFS('Қўшимча ишга тушган'!$AB:$AB,'Қўшимча ишга тушган'!$D:$D,'свод (сектор вилоят)'!$B$37,'Қўшимча ишга тушган'!$AO:$AO,"&lt;01.10.2023",манзилли!$E:$E,"3"))</f>
        <v>0</v>
      </c>
      <c r="AP40" s="29">
        <f>(+SUMIFS('Қўшимча ишга тушган'!$AD:$AD,'Қўшимча ишга тушган'!$D:$D,'свод (сектор вилоят)'!$B$37,'Қўшимча ишга тушган'!$AO:$AO,"&lt;01.10.2023",манзилли!$E:$E,"3"))</f>
        <v>0</v>
      </c>
      <c r="AQ40" s="30">
        <f>+SUMIFS('Қўшимча ишга тушган'!$AM:$AM,'Қўшимча ишга тушган'!$D:$D,'свод (сектор вилоят)'!$B$37,'Қўшимча ишга тушган'!$AO:$AO,"&lt;01.10.2023",манзилли!$E:$E,"3")</f>
        <v>0</v>
      </c>
      <c r="AR40" s="28">
        <f>+COUNTIFS(манзилли!$D:$D,'свод (сектор вилоят)'!$B$37,манзилли!$AA:$AA,"&lt;01.02.2021",манзилли!$AB:$AB,"",манзилли!$E:$E,"3")</f>
        <v>0</v>
      </c>
      <c r="AS40" s="29">
        <f>(+SUMIFS(манзилли!$K:$K,манзилли!$D:$D,'свод (сектор вилоят)'!$B$37,манзилли!$AA:$AA,"&lt;01.02.2021",манзилли!$AB:$AB,"",манзилли!$E:$E,"3"))</f>
        <v>0</v>
      </c>
      <c r="AT40" s="29">
        <f>(+SUMIFS(манзилли!$M:$M,манзилли!$D:$D,'свод (сектор вилоят)'!$B$37,манзилли!$AA:$AA,"&lt;01.02.2021",манзилли!$AB:$AB,"",манзилли!$E:$E,"3"))</f>
        <v>0</v>
      </c>
      <c r="AU40" s="29">
        <f>(+SUMIFS(манзилли!$Q:$Q,манзилли!$D:$D,'свод (сектор вилоят)'!$B$37,манзилли!$AA:$AA,"&lt;01.02.2021",манзилли!$AB:$AB,"",манзилли!$E:$E,"3"))</f>
        <v>0</v>
      </c>
      <c r="AV40" s="29">
        <f>(+SUMIFS(манзилли!$S:$S,манзилли!$D:$D,'свод (сектор вилоят)'!$B$37,манзилли!$AA:$AA,"&lt;01.02.2021",манзилли!$AB:$AB,"",манзилли!$E:$E,"3"))</f>
        <v>0</v>
      </c>
      <c r="AW40" s="29">
        <f>(+SUMIFS(манзилли!$U:$U,манзилли!$D:$D,'свод (сектор вилоят)'!$B$37,манзилли!$AA:$AA,"&lt;01.02.2021",манзилли!$AB:$AB,"",манзилли!$E:$E,"3"))</f>
        <v>0</v>
      </c>
      <c r="AX40" s="30">
        <f>+SUMIFS(манзилли!$Y:$Y,манзилли!$D:$D,'свод (сектор вилоят)'!$B$37,манзилли!$AA:$AA,"&lt;01.02.2021",манзилли!$AB:$AB,"",манзилли!$E:$E,"3")</f>
        <v>0</v>
      </c>
      <c r="AY40" s="28">
        <f>+COUNTIFS(манзилли!$D:$D,'свод (сектор вилоят)'!$B$37,манзилли!$AA:$AA,"&lt;01.01.2022",манзилли!$AB:$AB,"",манзилли!$E:$E,"3")</f>
        <v>5</v>
      </c>
      <c r="AZ40" s="29">
        <f>(+SUMIFS(манзилли!$K:$K,манзилли!$D:$D,'свод (сектор вилоят)'!$B$37,манзилли!$AA:$AA,"&lt;01.01.2022",манзилли!$AB:$AB,"",манзилли!$E:$E,"3"))</f>
        <v>7840</v>
      </c>
      <c r="BA40" s="29">
        <f>(+SUMIFS(манзилли!$M:$M,манзилли!$D:$D,'свод (сектор вилоят)'!$B$37,манзилли!$AA:$AA,"&lt;01.01.2022",манзилли!$AB:$AB,"",манзилли!$E:$E,"3"))</f>
        <v>2000</v>
      </c>
      <c r="BB40" s="29">
        <f>(+SUMIFS(манзилли!$Q:$Q,манзилли!$D:$D,'свод (сектор вилоят)'!$B$37,манзилли!$AA:$AA,"&lt;01.01.2022",манзилли!$AB:$AB,"",манзилли!$E:$E,"3"))</f>
        <v>2750</v>
      </c>
      <c r="BC40" s="29">
        <f>(+SUMIFS(манзилли!$S:$S,манзилли!$D:$D,'свод (сектор вилоят)'!$B$37,манзилли!$AA:$AA,"&lt;01.01.2022",манзилли!$AB:$AB,"",манзилли!$E:$E,"3"))</f>
        <v>300</v>
      </c>
      <c r="BD40" s="29">
        <f>(+SUMIFS(манзилли!$U:$U,манзилли!$D:$D,'свод (сектор вилоят)'!$B$37,манзилли!$AA:$AA,"&lt;01.01.2022",манзилли!$AB:$AB,"",манзилли!$E:$E,"3"))</f>
        <v>0</v>
      </c>
      <c r="BE40" s="30">
        <f>+SUMIFS(манзилли!$Y:$Y,манзилли!$D:$D,'свод (сектор вилоят)'!$B$37,манзилли!$AA:$AA,"&lt;01.01.2022",манзилли!$AB:$AB,"",манзилли!$E:$E,"3")</f>
        <v>38</v>
      </c>
      <c r="BF40" s="28">
        <f>+COUNTIFS(манзилли!$D:$D,'свод (сектор вилоят)'!$B$37,манзилли!$AA:$AA,"&lt;01.01.2023",манзилли!$AA:$AA,"&gt;=01.01.2022",манзилли!$E:$E,"3")</f>
        <v>2</v>
      </c>
      <c r="BG40" s="29">
        <f>(+SUMIFS(манзилли!$K:$K,манзилли!$D:$D,'свод (сектор вилоят)'!$B$37,манзилли!$AA:$AA,"&lt;01.01.2023",манзилли!$AA:$AA,"&gt;=01.01.2022",манзилли!$E:$E,"3"))</f>
        <v>9000</v>
      </c>
      <c r="BH40" s="29">
        <f>(+SUMIFS(манзилли!$M:$M,манзилли!$D:$D,'свод (сектор вилоят)'!$B$37,манзилли!$AA:$AA,"&lt;01.01.2023",манзилли!$AA:$AA,"&gt;=01.01.2022",манзилли!$E:$E,"3"))</f>
        <v>6000</v>
      </c>
      <c r="BI40" s="29">
        <f>(+SUMIFS(манзилли!$Q:$Q,манзилли!$D:$D,'свод (сектор вилоят)'!$B$37,манзилли!$AA:$AA,"&lt;01.01.2023",манзилли!$AA:$AA,"&gt;=01.01.2022",манзилли!$E:$E,"3"))</f>
        <v>3000</v>
      </c>
      <c r="BJ40" s="29">
        <f>(+SUMIFS(манзилли!$S:$S,манзилли!$D:$D,'свод (сектор вилоят)'!$B$37,манзилли!$AA:$AA,"&lt;01.01.2023",манзилли!$AA:$AA,"&gt;=01.01.2022",манзилли!$E:$E,"3"))</f>
        <v>0</v>
      </c>
      <c r="BK40" s="29">
        <f>(+SUMIFS(манзилли!$U:$U,манзилли!$D:$D,'свод (сектор вилоят)'!$B$37,манзилли!$AA:$AA,"&lt;01.01.2023",манзилли!$AA:$AA,"&gt;=01.01.2022",манзилли!$E:$E,"3"))</f>
        <v>0</v>
      </c>
      <c r="BL40" s="30">
        <f>+SUMIFS(манзилли!$Y:$Y,манзилли!$D:$D,'свод (сектор вилоят)'!$B$37,манзилли!$AA:$AA,"&lt;01.01.2023",манзилли!$AA:$AA,"&gt;=01.01.2022",манзилли!$E:$E,"3")</f>
        <v>18</v>
      </c>
    </row>
    <row r="41" spans="1:64" s="3" customFormat="1" ht="39.75" customHeight="1" thickBot="1">
      <c r="A41" s="55"/>
      <c r="B41" s="36" t="s">
        <v>1774</v>
      </c>
      <c r="C41" s="37">
        <f>+COUNTIFS(манзилли!$D:$D,'свод (сектор вилоят)'!$B$37,манзилли!$E:$E,"4")</f>
        <v>15</v>
      </c>
      <c r="D41" s="38">
        <f>(+SUMIFS(манзилли!$K:$K,манзилли!$D:$D,'свод (сектор вилоят)'!$B$37,манзилли!$E:$E,"4"))</f>
        <v>710295</v>
      </c>
      <c r="E41" s="38">
        <f>(+SUMIFS(манзилли!$M:$M,манзилли!$D:$D,'свод (сектор вилоят)'!$B$37,манзилли!$E:$E,"4"))</f>
        <v>400090</v>
      </c>
      <c r="F41" s="38">
        <f>(+SUMIFS(манзилли!$Q:$Q,манзилли!$D:$D,'свод (сектор вилоят)'!$B$37,манзилли!$E:$E,"4"))</f>
        <v>34165</v>
      </c>
      <c r="G41" s="38">
        <f>(+SUMIFS(манзилли!$S:$S,манзилли!$D:$D,'свод (сектор вилоят)'!$B$37,манзилли!$E:$E,"4"))</f>
        <v>800</v>
      </c>
      <c r="H41" s="38">
        <f>(+SUMIFS(манзилли!$U:$U,манзилли!$D:$D,'свод (сектор вилоят)'!$B$37,манзилли!$E:$E,"4"))</f>
        <v>26000</v>
      </c>
      <c r="I41" s="39">
        <f>+SUMIFS(манзилли!$Y:$Y,манзилли!$D:$D,'свод (сектор вилоят)'!$B$37,манзилли!$E:$E,"4")</f>
        <v>378</v>
      </c>
      <c r="J41" s="37">
        <f>(+COUNTIFS(манзилли!$L:$L,"&gt;0",манзилли!$D:$D,'свод (сектор вилоят)'!$B$37,манзилли!$E:$E,"4")+COUNTIFS('Қўшимча ишга тушган'!$T:$T,"&gt;0",'Қўшимча ишга тушган'!$D:$D,'свод (сектор вилоят)'!$B$37,'Қўшимча ишга тушган'!$E:$E,"4"))</f>
        <v>13</v>
      </c>
      <c r="K41" s="39">
        <f>(+SUMIFS(манзилли!$L:$L,манзилли!$D:$D,'свод (сектор вилоят)'!$B$37,манзилли!$E:$E,"4")+SUMIFS('Қўшимча ишга тушган'!$T:$T,'Қўшимча ишга тушган'!$D:$D,'свод (сектор вилоят)'!$B$37,'Қўшимча ишга тушган'!$E:$E,"4"))</f>
        <v>26950.02</v>
      </c>
      <c r="L41" s="40">
        <f>(+SUMIFS(манзилли!$N:$N,манзилли!$D:$D,'свод (сектор вилоят)'!$B$37,манзилли!$E:$E,"4")+SUMIFS('Қўшимча ишга тушган'!$V:$V,'Қўшимча ишга тушган'!$D:$D,'свод (сектор вилоят)'!$B$37,'Қўшимча ишга тушган'!$E:$E,"4"))</f>
        <v>6100</v>
      </c>
      <c r="M41" s="38">
        <f>(+SUMIFS(манзилли!$R:$R,манзилли!$D:$D,'свод (сектор вилоят)'!$B$37,манзилли!$E:$E,"4")+SUMIFS('Қўшимча ишга тушган'!$Z:$Z,'Қўшимча ишга тушган'!$D:$D,'свод (сектор вилоят)'!$B$37,'Қўшимча ишга тушган'!$E:$E,"4"))</f>
        <v>11180</v>
      </c>
      <c r="N41" s="38">
        <f>(+SUMIFS(манзилли!$T:$T,манзилли!$D:$D,'свод (сектор вилоят)'!$B$37,манзилли!$E:$E,"4")+SUMIFS('Қўшимча ишга тушган'!$AB:$AB,'Қўшимча ишга тушган'!$D:$D,'свод (сектор вилоят)'!$B$37,'Қўшимча ишга тушган'!$E:$E,"4"))</f>
        <v>946.6</v>
      </c>
      <c r="O41" s="39">
        <f>(+SUMIFS(манзилли!$V:$V,манзилли!$D:$D,'свод (сектор вилоят)'!$B$37,манзилли!$E:$E,"4")+SUMIFS('Қўшимча ишга тушган'!$AD:$AD,'Қўшимча ишга тушган'!$D:$D,'свод (сектор вилоят)'!$B$37,'Қўшимча ишга тушган'!$E:$E,"4"))</f>
        <v>0</v>
      </c>
      <c r="P41" s="37">
        <f>+COUNTIFS(манзилли!$D:$D,'свод (сектор вилоят)'!$B$37,манзилли!$AA:$AA,"&gt;31.12.2020",манзилли!$AA:$AA,"&lt;01.01.2022",манзилли!$E:$E,"4")</f>
        <v>14</v>
      </c>
      <c r="Q41" s="38">
        <f>(+SUMIFS(манзилли!$K:$K,манзилли!$D:$D,'свод (сектор вилоят)'!$B$37,манзилли!$AA:$AA,"&gt;31.12.2020",манзилли!$AA:$AA,"&lt;01.01.2022",манзилли!$E:$E,"4"))</f>
        <v>709885</v>
      </c>
      <c r="R41" s="38">
        <f>(+SUMIFS(манзилли!$M:$M,манзилли!$D:$D,'свод (сектор вилоят)'!$B$37,манзилли!$AA:$AA,"&gt;31.12.2020",манзилли!$AA:$AA,"&lt;01.01.2022",манзилли!$E:$E,"4"))</f>
        <v>400040</v>
      </c>
      <c r="S41" s="38">
        <f>(+SUMIFS(манзилли!$Q:$Q,манзилли!$D:$D,'свод (сектор вилоят)'!$B$37,манзилли!$AA:$AA,"&gt;31.12.2020",манзилли!$AA:$AA,"&lt;01.01.2022",манзилли!$E:$E,"4"))</f>
        <v>33805</v>
      </c>
      <c r="T41" s="38">
        <f>(+SUMIFS(манзилли!$S:$S,манзилли!$D:$D,'свод (сектор вилоят)'!$B$37,манзилли!$AA:$AA,"&gt;31.12.2020",манзилли!$AA:$AA,"&lt;01.01.2022",манзилли!$E:$E,"4"))</f>
        <v>800</v>
      </c>
      <c r="U41" s="38">
        <f>(+SUMIFS(манзилли!$U:$U,манзилли!$D:$D,'свод (сектор вилоят)'!$B$37,манзилли!$AA:$AA,"&gt;31.12.2020",манзилли!$AA:$AA,"&lt;01.01.2022",манзилли!$E:$E,"4"))</f>
        <v>26000</v>
      </c>
      <c r="V41" s="39">
        <f>+SUMIFS(манзилли!$Y:$Y,манзилли!$D:$D,'свод (сектор вилоят)'!$B$37,манзилли!$AA:$AA,"&gt;31.12.2020",манзилли!$AA:$AA,"&lt;01.01.2022",манзилли!$E:$E,"4")</f>
        <v>375</v>
      </c>
      <c r="W41" s="37">
        <f t="shared" si="424"/>
        <v>5</v>
      </c>
      <c r="X41" s="38">
        <f t="shared" si="418"/>
        <v>7964.5</v>
      </c>
      <c r="Y41" s="38">
        <f t="shared" si="419"/>
        <v>5750</v>
      </c>
      <c r="Z41" s="38">
        <f t="shared" si="420"/>
        <v>1700</v>
      </c>
      <c r="AA41" s="38">
        <f t="shared" si="421"/>
        <v>49</v>
      </c>
      <c r="AB41" s="38">
        <f t="shared" si="422"/>
        <v>0</v>
      </c>
      <c r="AC41" s="39">
        <f t="shared" si="423"/>
        <v>37</v>
      </c>
      <c r="AD41" s="37">
        <f>+COUNTIFS(манзилли!$D:$D,'свод (сектор вилоят)'!$B$37,манзилли!$AB:$AB,"&gt;31.12.2020",манзилли!$AA:$AA,"&gt;31.12.2020",манзилли!$AA:$AA,"&lt;01.01.2022",манзилли!$E:$E,"4")</f>
        <v>5</v>
      </c>
      <c r="AE41" s="38">
        <f>(+SUMIFS(манзилли!$L:$L,манзилли!$D:$D,'свод (сектор вилоят)'!$B$37,манзилли!$AB:$AB,"&gt;31.12.2020",манзилли!$AA:$AA,"&gt;31.12.2020",манзилли!$AA:$AA,"&lt;01.01.2022",манзилли!$E:$E,"4"))</f>
        <v>7964.5</v>
      </c>
      <c r="AF41" s="38">
        <f>(+SUMIFS(манзилли!$N:$N,манзилли!$D:$D,'свод (сектор вилоят)'!$B$37,манзилли!$AB:$AB,"&gt;31.12.2020",манзилли!$AA:$AA,"&gt;31.12.2020",манзилли!$AA:$AA,"&lt;01.01.2022",манзилли!$E:$E,"4"))</f>
        <v>5750</v>
      </c>
      <c r="AG41" s="38">
        <f>(+SUMIFS(манзилли!$R:$R,манзилли!$D:$D,'свод (сектор вилоят)'!$B$37,манзилли!$AB:$AB,"&gt;31.12.2020",манзилли!$AA:$AA,"&gt;31.12.2020",манзилли!$AA:$AA,"&lt;01.01.2022",манзилли!$E:$E,"4"))</f>
        <v>1700</v>
      </c>
      <c r="AH41" s="38">
        <f>(+SUMIFS(манзилли!$T:$T,манзилли!$D:$D,'свод (сектор вилоят)'!$B$37,манзилли!$AB:$AB,"&gt;31.12.2020",манзилли!$AA:$AA,"&gt;31.12.2020",манзилли!$AA:$AA,"&lt;01.01.2022",манзилли!$E:$E,"4"))</f>
        <v>49</v>
      </c>
      <c r="AI41" s="38">
        <f>(+SUMIFS(манзилли!$V:$V,манзилли!$D:$D,'свод (сектор вилоят)'!$B$37,манзилли!$AB:$AB,"&gt;31.12.2020",манзилли!$AA:$AA,"&gt;31.12.2020",манзилли!$AA:$AA,"&lt;01.01.2022",манзилли!$E:$E,"4"))</f>
        <v>0</v>
      </c>
      <c r="AJ41" s="39">
        <f>+SUMIFS(манзилли!$Z:$Z,манзилли!$D:$D,'свод (сектор вилоят)'!$B$37,манзилли!$AB:$AB,"&gt;31.12.2020",манзилли!$AA:$AA,"&gt;31.12.2020",манзилли!$AA:$AA,"&lt;01.01.2022",манзилли!$E:$E,"4")</f>
        <v>37</v>
      </c>
      <c r="AK41" s="37">
        <f>+COUNTIFS('Қўшимча ишга тушган'!$D:$D,'свод (сектор вилоят)'!B37,'Қўшимча ишга тушган'!$AO:$AO,"&lt;01.10.2023",манзилли!$E:$E,"4")</f>
        <v>0</v>
      </c>
      <c r="AL41" s="38">
        <f>(+SUMIFS('Қўшимча ишга тушган'!$T:$T,'Қўшимча ишга тушган'!$D:$D,'свод (сектор вилоят)'!$B$37,'Қўшимча ишга тушган'!$AO:$AO,"&lt;01.10.2023",манзилли!$E:$E,"4"))</f>
        <v>0</v>
      </c>
      <c r="AM41" s="38">
        <f>(+SUMIFS('Қўшимча ишга тушган'!$V:$V,'Қўшимча ишга тушган'!$D:$D,'свод (сектор вилоят)'!$B$37,'Қўшимча ишга тушган'!$AO:$AO,"&lt;01.10.2023",манзилли!$E:$E,"4"))</f>
        <v>0</v>
      </c>
      <c r="AN41" s="38">
        <f>(+SUMIFS('Қўшимча ишга тушган'!$Z:$Z,'Қўшимча ишга тушган'!$D:$D,'свод (сектор вилоят)'!$B$37,'Қўшимча ишга тушган'!$AO:$AO,"&lt;01.10.2023",манзилли!$E:$E,"4"))</f>
        <v>0</v>
      </c>
      <c r="AO41" s="38">
        <f>(+SUMIFS('Қўшимча ишга тушган'!$AB:$AB,'Қўшимча ишга тушган'!$D:$D,'свод (сектор вилоят)'!$B$37,'Қўшимча ишга тушган'!$AO:$AO,"&lt;01.10.2023",манзилли!$E:$E,"4"))</f>
        <v>0</v>
      </c>
      <c r="AP41" s="38">
        <f>(+SUMIFS('Қўшимча ишга тушган'!$AD:$AD,'Қўшимча ишга тушган'!$D:$D,'свод (сектор вилоят)'!$B$37,'Қўшимча ишга тушган'!$AO:$AO,"&lt;01.10.2023",манзилли!$E:$E,"4"))</f>
        <v>0</v>
      </c>
      <c r="AQ41" s="39">
        <f>+SUMIFS('Қўшимча ишга тушган'!$AM:$AM,'Қўшимча ишга тушган'!$D:$D,'свод (сектор вилоят)'!$B$37,'Қўшимча ишга тушган'!$AO:$AO,"&lt;01.10.2023",манзилли!$E:$E,"4")</f>
        <v>0</v>
      </c>
      <c r="AR41" s="37">
        <f>+COUNTIFS(манзилли!$D:$D,'свод (сектор вилоят)'!$B$37,манзилли!$AA:$AA,"&lt;01.02.2021",манзилли!$AB:$AB,"",манзилли!$E:$E,"4")</f>
        <v>0</v>
      </c>
      <c r="AS41" s="38">
        <f>(+SUMIFS(манзилли!$K:$K,манзилли!$D:$D,'свод (сектор вилоят)'!$B$37,манзилли!$AA:$AA,"&lt;01.02.2021",манзилли!$AB:$AB,"",манзилли!$E:$E,"4"))</f>
        <v>0</v>
      </c>
      <c r="AT41" s="38">
        <f>(+SUMIFS(манзилли!$M:$M,манзилли!$D:$D,'свод (сектор вилоят)'!$B$37,манзилли!$AA:$AA,"&lt;01.02.2021",манзилли!$AB:$AB,"",манзилли!$E:$E,"4"))</f>
        <v>0</v>
      </c>
      <c r="AU41" s="38">
        <f>(+SUMIFS(манзилли!$Q:$Q,манзилли!$D:$D,'свод (сектор вилоят)'!$B$37,манзилли!$AA:$AA,"&lt;01.02.2021",манзилли!$AB:$AB,"",манзилли!$E:$E,"4"))</f>
        <v>0</v>
      </c>
      <c r="AV41" s="38">
        <f>(+SUMIFS(манзилли!$S:$S,манзилли!$D:$D,'свод (сектор вилоят)'!$B$37,манзилли!$AA:$AA,"&lt;01.02.2021",манзилли!$AB:$AB,"",манзилли!$E:$E,"4"))</f>
        <v>0</v>
      </c>
      <c r="AW41" s="38">
        <f>(+SUMIFS(манзилли!$U:$U,манзилли!$D:$D,'свод (сектор вилоят)'!$B$37,манзилли!$AA:$AA,"&lt;01.02.2021",манзилли!$AB:$AB,"",манзилли!$E:$E,"4"))</f>
        <v>0</v>
      </c>
      <c r="AX41" s="39">
        <f>+SUMIFS(манзилли!$Y:$Y,манзилли!$D:$D,'свод (сектор вилоят)'!$B$37,манзилли!$AA:$AA,"&lt;01.02.2021",манзилли!$AB:$AB,"",манзилли!$E:$E,"4")</f>
        <v>0</v>
      </c>
      <c r="AY41" s="37">
        <f>+COUNTIFS(манзилли!$D:$D,'свод (сектор вилоят)'!$B$37,манзилли!$AA:$AA,"&lt;01.01.2022",манзилли!$AB:$AB,"",манзилли!$E:$E,"4")</f>
        <v>8</v>
      </c>
      <c r="AZ41" s="38">
        <f>(+SUMIFS(манзилли!$K:$K,манзилли!$D:$D,'свод (сектор вилоят)'!$B$37,манзилли!$AA:$AA,"&lt;01.01.2022",манзилли!$AB:$AB,"",манзилли!$E:$E,"4"))</f>
        <v>701870</v>
      </c>
      <c r="BA41" s="38">
        <f>(+SUMIFS(манзилли!$M:$M,манзилли!$D:$D,'свод (сектор вилоят)'!$B$37,манзилли!$AA:$AA,"&lt;01.01.2022",манзилли!$AB:$AB,"",манзилли!$E:$E,"4"))</f>
        <v>395940</v>
      </c>
      <c r="BB41" s="38">
        <f>(+SUMIFS(манзилли!$Q:$Q,манзилли!$D:$D,'свод (сектор вилоят)'!$B$37,манзилли!$AA:$AA,"&lt;01.01.2022",манзилли!$AB:$AB,"",манзилли!$E:$E,"4"))</f>
        <v>30405</v>
      </c>
      <c r="BC41" s="38">
        <f>(+SUMIFS(манзилли!$S:$S,манзилли!$D:$D,'свод (сектор вилоят)'!$B$37,манзилли!$AA:$AA,"&lt;01.01.2022",манзилли!$AB:$AB,"",манзилли!$E:$E,"4"))</f>
        <v>750</v>
      </c>
      <c r="BD41" s="38">
        <f>(+SUMIFS(манзилли!$U:$U,манзилли!$D:$D,'свод (сектор вилоят)'!$B$37,манзилли!$AA:$AA,"&lt;01.01.2022",манзилли!$AB:$AB,"",манзилли!$E:$E,"4"))</f>
        <v>26000</v>
      </c>
      <c r="BE41" s="39">
        <f>+SUMIFS(манзилли!$Y:$Y,манзилли!$D:$D,'свод (сектор вилоят)'!$B$37,манзилли!$AA:$AA,"&lt;01.01.2022",манзилли!$AB:$AB,"",манзилли!$E:$E,"4")</f>
        <v>340</v>
      </c>
      <c r="BF41" s="37">
        <f>+COUNTIFS(манзилли!$D:$D,'свод (сектор вилоят)'!$B$37,манзилли!$AA:$AA,"&lt;01.01.2023",манзилли!$AA:$AA,"&gt;=01.01.2022",манзилли!$E:$E,"4")</f>
        <v>0</v>
      </c>
      <c r="BG41" s="38">
        <f>(+SUMIFS(манзилли!$K:$K,манзилли!$D:$D,'свод (сектор вилоят)'!$B$37,манзилли!$AA:$AA,"&lt;01.01.2023",манзилли!$AA:$AA,"&gt;=01.01.2022",манзилли!$E:$E,"4"))</f>
        <v>0</v>
      </c>
      <c r="BH41" s="38">
        <f>(+SUMIFS(манзилли!$M:$M,манзилли!$D:$D,'свод (сектор вилоят)'!$B$37,манзилли!$AA:$AA,"&lt;01.01.2023",манзилли!$AA:$AA,"&gt;=01.01.2022",манзилли!$E:$E,"4"))</f>
        <v>0</v>
      </c>
      <c r="BI41" s="38">
        <f>(+SUMIFS(манзилли!$Q:$Q,манзилли!$D:$D,'свод (сектор вилоят)'!$B$37,манзилли!$AA:$AA,"&lt;01.01.2023",манзилли!$AA:$AA,"&gt;=01.01.2022",манзилли!$E:$E,"4"))</f>
        <v>0</v>
      </c>
      <c r="BJ41" s="38">
        <f>(+SUMIFS(манзилли!$S:$S,манзилли!$D:$D,'свод (сектор вилоят)'!$B$37,манзилли!$AA:$AA,"&lt;01.01.2023",манзилли!$AA:$AA,"&gt;=01.01.2022",манзилли!$E:$E,"4"))</f>
        <v>0</v>
      </c>
      <c r="BK41" s="38">
        <f>(+SUMIFS(манзилли!$U:$U,манзилли!$D:$D,'свод (сектор вилоят)'!$B$37,манзилли!$AA:$AA,"&lt;01.01.2023",манзилли!$AA:$AA,"&gt;=01.01.2022",манзилли!$E:$E,"4"))</f>
        <v>0</v>
      </c>
      <c r="BL41" s="39">
        <f>+SUMIFS(манзилли!$Y:$Y,манзилли!$D:$D,'свод (сектор вилоят)'!$B$37,манзилли!$AA:$AA,"&lt;01.01.2023",манзилли!$AA:$AA,"&gt;=01.01.2022",манзилли!$E:$E,"4")</f>
        <v>0</v>
      </c>
    </row>
    <row r="42" spans="1:64" s="3" customFormat="1" ht="39.75" customHeight="1" thickBot="1">
      <c r="A42" s="53">
        <v>8</v>
      </c>
      <c r="B42" s="54" t="s">
        <v>281</v>
      </c>
      <c r="C42" s="41">
        <f>+SUM(C43:C46)</f>
        <v>46</v>
      </c>
      <c r="D42" s="41">
        <f t="shared" ref="D42" si="425">+SUM(D43:D46)</f>
        <v>787695.2</v>
      </c>
      <c r="E42" s="41">
        <f t="shared" ref="E42" si="426">+SUM(E43:E46)</f>
        <v>313292.3</v>
      </c>
      <c r="F42" s="41">
        <f t="shared" ref="F42" si="427">+SUM(F43:F46)</f>
        <v>36323.300000000003</v>
      </c>
      <c r="G42" s="41">
        <f t="shared" ref="G42" si="428">+SUM(G43:G46)</f>
        <v>17532</v>
      </c>
      <c r="H42" s="41">
        <f t="shared" ref="H42" si="429">+SUM(H43:H46)</f>
        <v>25000</v>
      </c>
      <c r="I42" s="41">
        <f t="shared" ref="I42" si="430">+SUM(I43:I46)</f>
        <v>1314</v>
      </c>
      <c r="J42" s="41">
        <f t="shared" ref="J42" si="431">+SUM(J43:J46)</f>
        <v>38</v>
      </c>
      <c r="K42" s="41">
        <f t="shared" ref="K42" si="432">+SUM(K43:K46)</f>
        <v>122984.5</v>
      </c>
      <c r="L42" s="41">
        <f t="shared" ref="L42" si="433">+SUM(L43:L46)</f>
        <v>12547.8</v>
      </c>
      <c r="M42" s="41">
        <f t="shared" ref="M42" si="434">+SUM(M43:M46)</f>
        <v>23563.3</v>
      </c>
      <c r="N42" s="41">
        <f t="shared" ref="N42" si="435">+SUM(N43:N46)</f>
        <v>8517</v>
      </c>
      <c r="O42" s="41">
        <f t="shared" ref="O42" si="436">+SUM(O43:O46)</f>
        <v>0</v>
      </c>
      <c r="P42" s="41">
        <f t="shared" ref="P42" si="437">+SUM(P43:P46)</f>
        <v>17</v>
      </c>
      <c r="Q42" s="41">
        <f t="shared" ref="Q42" si="438">+SUM(Q43:Q46)</f>
        <v>764608.2</v>
      </c>
      <c r="R42" s="41">
        <f t="shared" ref="R42" si="439">+SUM(R43:R46)</f>
        <v>306532.3</v>
      </c>
      <c r="S42" s="41">
        <f t="shared" ref="S42" si="440">+SUM(S43:S46)</f>
        <v>21953.3</v>
      </c>
      <c r="T42" s="41">
        <f t="shared" ref="T42" si="441">+SUM(T43:T46)</f>
        <v>17342</v>
      </c>
      <c r="U42" s="41">
        <f t="shared" ref="U42" si="442">+SUM(U43:U46)</f>
        <v>25000</v>
      </c>
      <c r="V42" s="41">
        <f t="shared" ref="V42" si="443">+SUM(V43:V46)</f>
        <v>1171</v>
      </c>
      <c r="W42" s="41">
        <f t="shared" ref="W42" si="444">+SUM(W43:W46)</f>
        <v>1</v>
      </c>
      <c r="X42" s="41">
        <f t="shared" ref="X42" si="445">+SUM(X43:X46)</f>
        <v>4500</v>
      </c>
      <c r="Y42" s="41">
        <f t="shared" ref="Y42" si="446">+SUM(Y43:Y46)</f>
        <v>1500</v>
      </c>
      <c r="Z42" s="41">
        <f t="shared" ref="Z42" si="447">+SUM(Z43:Z46)</f>
        <v>3000</v>
      </c>
      <c r="AA42" s="41">
        <f t="shared" ref="AA42" si="448">+SUM(AA43:AA46)</f>
        <v>0</v>
      </c>
      <c r="AB42" s="41">
        <f t="shared" ref="AB42" si="449">+SUM(AB43:AB46)</f>
        <v>0</v>
      </c>
      <c r="AC42" s="41">
        <f t="shared" ref="AC42" si="450">+SUM(AC43:AC46)</f>
        <v>10</v>
      </c>
      <c r="AD42" s="41">
        <f t="shared" ref="AD42" si="451">+SUM(AD43:AD46)</f>
        <v>1</v>
      </c>
      <c r="AE42" s="41">
        <f t="shared" ref="AE42" si="452">+SUM(AE43:AE46)</f>
        <v>4500</v>
      </c>
      <c r="AF42" s="41">
        <f t="shared" ref="AF42" si="453">+SUM(AF43:AF46)</f>
        <v>1500</v>
      </c>
      <c r="AG42" s="41">
        <f t="shared" ref="AG42" si="454">+SUM(AG43:AG46)</f>
        <v>3000</v>
      </c>
      <c r="AH42" s="41">
        <f t="shared" ref="AH42" si="455">+SUM(AH43:AH46)</f>
        <v>0</v>
      </c>
      <c r="AI42" s="41">
        <f t="shared" ref="AI42" si="456">+SUM(AI43:AI46)</f>
        <v>0</v>
      </c>
      <c r="AJ42" s="41">
        <f t="shared" ref="AJ42" si="457">+SUM(AJ43:AJ46)</f>
        <v>10</v>
      </c>
      <c r="AK42" s="41">
        <f t="shared" ref="AK42" si="458">+SUM(AK43:AK46)</f>
        <v>0</v>
      </c>
      <c r="AL42" s="41">
        <f t="shared" ref="AL42" si="459">+SUM(AL43:AL46)</f>
        <v>0</v>
      </c>
      <c r="AM42" s="41">
        <f t="shared" ref="AM42" si="460">+SUM(AM43:AM46)</f>
        <v>0</v>
      </c>
      <c r="AN42" s="41">
        <f t="shared" ref="AN42" si="461">+SUM(AN43:AN46)</f>
        <v>0</v>
      </c>
      <c r="AO42" s="41">
        <f t="shared" ref="AO42" si="462">+SUM(AO43:AO46)</f>
        <v>0</v>
      </c>
      <c r="AP42" s="41">
        <f t="shared" ref="AP42" si="463">+SUM(AP43:AP46)</f>
        <v>0</v>
      </c>
      <c r="AQ42" s="41">
        <f t="shared" ref="AQ42" si="464">+SUM(AQ43:AQ46)</f>
        <v>0</v>
      </c>
      <c r="AR42" s="41">
        <f t="shared" ref="AR42" si="465">+SUM(AR43:AR46)</f>
        <v>0</v>
      </c>
      <c r="AS42" s="41">
        <f t="shared" ref="AS42" si="466">+SUM(AS43:AS46)</f>
        <v>0</v>
      </c>
      <c r="AT42" s="41">
        <f t="shared" ref="AT42" si="467">+SUM(AT43:AT46)</f>
        <v>0</v>
      </c>
      <c r="AU42" s="41">
        <f t="shared" ref="AU42" si="468">+SUM(AU43:AU46)</f>
        <v>0</v>
      </c>
      <c r="AV42" s="41">
        <f t="shared" ref="AV42" si="469">+SUM(AV43:AV46)</f>
        <v>0</v>
      </c>
      <c r="AW42" s="41">
        <f t="shared" ref="AW42" si="470">+SUM(AW43:AW46)</f>
        <v>0</v>
      </c>
      <c r="AX42" s="41">
        <f t="shared" ref="AX42" si="471">+SUM(AX43:AX46)</f>
        <v>0</v>
      </c>
      <c r="AY42" s="41">
        <f t="shared" ref="AY42" si="472">+SUM(AY43:AY46)</f>
        <v>14</v>
      </c>
      <c r="AZ42" s="41">
        <f t="shared" ref="AZ42" si="473">+SUM(AZ43:AZ46)</f>
        <v>753027.10000000009</v>
      </c>
      <c r="BA42" s="41">
        <f t="shared" ref="BA42" si="474">+SUM(BA43:BA46)</f>
        <v>302684.5</v>
      </c>
      <c r="BB42" s="41">
        <f t="shared" ref="BB42" si="475">+SUM(BB43:BB46)</f>
        <v>14220</v>
      </c>
      <c r="BC42" s="41">
        <f t="shared" ref="BC42" si="476">+SUM(BC43:BC46)</f>
        <v>17342</v>
      </c>
      <c r="BD42" s="41">
        <f t="shared" ref="BD42" si="477">+SUM(BD43:BD46)</f>
        <v>25000</v>
      </c>
      <c r="BE42" s="41">
        <f t="shared" ref="BE42" si="478">+SUM(BE43:BE46)</f>
        <v>1135</v>
      </c>
      <c r="BF42" s="41">
        <f t="shared" ref="BF42" si="479">+SUM(BF43:BF46)</f>
        <v>0</v>
      </c>
      <c r="BG42" s="41">
        <f t="shared" ref="BG42" si="480">+SUM(BG43:BG46)</f>
        <v>0</v>
      </c>
      <c r="BH42" s="41">
        <f t="shared" ref="BH42" si="481">+SUM(BH43:BH46)</f>
        <v>0</v>
      </c>
      <c r="BI42" s="41">
        <f t="shared" ref="BI42" si="482">+SUM(BI43:BI46)</f>
        <v>0</v>
      </c>
      <c r="BJ42" s="41">
        <f t="shared" ref="BJ42" si="483">+SUM(BJ43:BJ46)</f>
        <v>0</v>
      </c>
      <c r="BK42" s="41">
        <f t="shared" ref="BK42" si="484">+SUM(BK43:BK46)</f>
        <v>0</v>
      </c>
      <c r="BL42" s="43">
        <f t="shared" ref="BL42" si="485">+SUM(BL43:BL46)</f>
        <v>0</v>
      </c>
    </row>
    <row r="43" spans="1:64" s="3" customFormat="1" ht="39.75" customHeight="1">
      <c r="A43" s="52"/>
      <c r="B43" s="50" t="s">
        <v>1771</v>
      </c>
      <c r="C43" s="46">
        <f>+COUNTIFS(манзилли!$D:$D,'свод (сектор вилоят)'!$B$42,манзилли!$E:$E,"1")</f>
        <v>8</v>
      </c>
      <c r="D43" s="47">
        <f>(+SUMIFS(манзилли!$K:$K,манзилли!$D:$D,'свод (сектор вилоят)'!$B$42,манзилли!$E:$E,"1"))</f>
        <v>370917</v>
      </c>
      <c r="E43" s="47">
        <f>(+SUMIFS(манзилли!$M:$M,манзилли!$D:$D,'свод (сектор вилоят)'!$B$42,манзилли!$E:$E,"1"))</f>
        <v>150360</v>
      </c>
      <c r="F43" s="47">
        <f>(+SUMIFS(манзилли!$Q:$Q,манзилли!$D:$D,'свод (сектор вилоят)'!$B$42,манзилли!$E:$E,"1"))</f>
        <v>12600</v>
      </c>
      <c r="G43" s="47">
        <f>(+SUMIFS(манзилли!$S:$S,манзилли!$D:$D,'свод (сектор вилоят)'!$B$42,манзилли!$E:$E,"1"))</f>
        <v>190</v>
      </c>
      <c r="H43" s="47">
        <f>(+SUMIFS(манзилли!$U:$U,манзилли!$D:$D,'свод (сектор вилоят)'!$B$42,манзилли!$E:$E,"1"))</f>
        <v>20000</v>
      </c>
      <c r="I43" s="48">
        <f>+SUMIFS(манзилли!$Y:$Y,манзилли!$D:$D,'свод (сектор вилоят)'!$B$42,манзилли!$E:$E,"1")</f>
        <v>845</v>
      </c>
      <c r="J43" s="46">
        <f>(+COUNTIFS(манзилли!$L:$L,"&gt;0",манзилли!$D:$D,'свод (сектор вилоят)'!$B$42,манзилли!$E:$E,"1")+COUNTIFS('Қўшимча ишга тушган'!$T:$T,"&gt;0",'Қўшимча ишга тушган'!$D:$D,'свод (сектор вилоят)'!$B$42,'Қўшимча ишга тушган'!$E:$E,"1"))</f>
        <v>6</v>
      </c>
      <c r="K43" s="48">
        <f>(+SUMIFS(манзилли!$L:$L,манзилли!$D:$D,'свод (сектор вилоят)'!$B$42,манзилли!$E:$E,"1")+SUMIFS('Қўшимча ишга тушган'!$T:$T,'Қўшимча ишга тушган'!$D:$D,'свод (сектор вилоят)'!$B$42,'Қўшимча ишга тушган'!$E:$E,"1"))</f>
        <v>7938</v>
      </c>
      <c r="L43" s="49">
        <f>(+SUMIFS(манзилли!$N:$N,манзилли!$D:$D,'свод (сектор вилоят)'!$B$42,манзилли!$E:$E,"1")+SUMIFS('Қўшимча ишга тушган'!$V:$V,'Қўшимча ишга тушган'!$D:$D,'свод (сектор вилоят)'!$B$42,'Қўшимча ишга тушган'!$E:$E,"1"))</f>
        <v>1600</v>
      </c>
      <c r="M43" s="47">
        <f>(+SUMIFS(манзилли!$R:$R,манзилли!$D:$D,'свод (сектор вилоят)'!$B$42,манзилли!$E:$E,"1")+SUMIFS('Қўшимча ишга тушган'!$Z:$Z,'Қўшимча ишга тушган'!$D:$D,'свод (сектор вилоят)'!$B$42,'Қўшимча ишга тушган'!$E:$E,"1"))</f>
        <v>4400</v>
      </c>
      <c r="N43" s="47">
        <f>(+SUMIFS(манзилли!$T:$T,манзилли!$D:$D,'свод (сектор вилоят)'!$B$42,манзилли!$E:$E,"1")+SUMIFS('Қўшимча ишга тушган'!$AB:$AB,'Қўшимча ишга тушган'!$D:$D,'свод (сектор вилоят)'!$B$42,'Қўшимча ишга тушган'!$E:$E,"1"))</f>
        <v>190</v>
      </c>
      <c r="O43" s="48">
        <f>(+SUMIFS(манзилли!$V:$V,манзилли!$D:$D,'свод (сектор вилоят)'!$B$42,манзилли!$E:$E,"1")+SUMIFS('Қўшимча ишга тушган'!$AD:$AD,'Қўшимча ишга тушган'!$D:$D,'свод (сектор вилоят)'!$B$42,'Қўшимча ишга тушган'!$E:$E,"1"))</f>
        <v>0</v>
      </c>
      <c r="P43" s="46">
        <f>+COUNTIFS(манзилли!$D:$D,'свод (сектор вилоят)'!$B$42,манзилли!$AA:$AA,"&gt;31.12.2020",манзилли!$AA:$AA,"&lt;01.01.2022",манзилли!$E:$E,"1")</f>
        <v>3</v>
      </c>
      <c r="Q43" s="47">
        <f>(+SUMIFS(манзилли!$K:$K,манзилли!$D:$D,'свод (сектор вилоят)'!$B$42,манзилли!$AA:$AA,"&gt;31.12.2020",манзилли!$AA:$AA,"&lt;01.01.2022",манзилли!$E:$E,"1"))</f>
        <v>365500</v>
      </c>
      <c r="R43" s="47">
        <f>(+SUMIFS(манзилли!$M:$M,манзилли!$D:$D,'свод (сектор вилоят)'!$B$42,манзилли!$AA:$AA,"&gt;31.12.2020",манзилли!$AA:$AA,"&lt;01.01.2022",манзилли!$E:$E,"1"))</f>
        <v>149300</v>
      </c>
      <c r="S43" s="47">
        <f>(+SUMIFS(манзилли!$Q:$Q,манзилли!$D:$D,'свод (сектор вилоят)'!$B$42,манзилли!$AA:$AA,"&gt;31.12.2020",манзилли!$AA:$AA,"&lt;01.01.2022",манзилли!$E:$E,"1"))</f>
        <v>10200</v>
      </c>
      <c r="T43" s="47">
        <f>(+SUMIFS(манзилли!$S:$S,манзилли!$D:$D,'свод (сектор вилоят)'!$B$42,манзилли!$AA:$AA,"&gt;31.12.2020",манзилли!$AA:$AA,"&lt;01.01.2022",манзилли!$E:$E,"1"))</f>
        <v>0</v>
      </c>
      <c r="U43" s="47">
        <f>(+SUMIFS(манзилли!$U:$U,манзилли!$D:$D,'свод (сектор вилоят)'!$B$42,манзилли!$AA:$AA,"&gt;31.12.2020",манзилли!$AA:$AA,"&lt;01.01.2022",манзилли!$E:$E,"1"))</f>
        <v>20000</v>
      </c>
      <c r="V43" s="48">
        <f>+SUMIFS(манзилли!$Y:$Y,манзилли!$D:$D,'свод (сектор вилоят)'!$B$42,манзилли!$AA:$AA,"&gt;31.12.2020",манзилли!$AA:$AA,"&lt;01.01.2022",манзилли!$E:$E,"1")</f>
        <v>820</v>
      </c>
      <c r="W43" s="46">
        <f>+AD43+AK43</f>
        <v>0</v>
      </c>
      <c r="X43" s="47">
        <f t="shared" ref="X43:X46" si="486">+AE43+AL43</f>
        <v>0</v>
      </c>
      <c r="Y43" s="47">
        <f t="shared" ref="Y43:Y46" si="487">+AF43+AM43</f>
        <v>0</v>
      </c>
      <c r="Z43" s="47">
        <f t="shared" ref="Z43:Z46" si="488">+AG43+AN43</f>
        <v>0</v>
      </c>
      <c r="AA43" s="47">
        <f t="shared" ref="AA43:AA46" si="489">+AH43+AO43</f>
        <v>0</v>
      </c>
      <c r="AB43" s="47">
        <f t="shared" ref="AB43:AB46" si="490">+AI43+AP43</f>
        <v>0</v>
      </c>
      <c r="AC43" s="48">
        <f t="shared" ref="AC43:AC46" si="491">+AJ43+AQ43</f>
        <v>0</v>
      </c>
      <c r="AD43" s="46">
        <f>+COUNTIFS(манзилли!$D:$D,'свод (сектор вилоят)'!$B$42,манзилли!$AB:$AB,"&gt;31.12.2020",манзилли!$AA:$AA,"&gt;31.12.2020",манзилли!$AA:$AA,"&lt;01.01.2022",манзилли!$E:$E,"1")</f>
        <v>0</v>
      </c>
      <c r="AE43" s="47">
        <f>(+SUMIFS(манзилли!$L:$L,манзилли!$D:$D,'свод (сектор вилоят)'!$B$42,манзилли!$AB:$AB,"&gt;31.12.2020",манзилли!$AA:$AA,"&gt;31.12.2020",манзилли!$AA:$AA,"&lt;01.01.2022",манзилли!$E:$E,"1"))</f>
        <v>0</v>
      </c>
      <c r="AF43" s="47">
        <f>(+SUMIFS(манзилли!$N:$N,манзилли!$D:$D,'свод (сектор вилоят)'!$B$42,манзилли!$AB:$AB,"&gt;31.12.2020",манзилли!$AA:$AA,"&gt;31.12.2020",манзилли!$AA:$AA,"&lt;01.01.2022",манзилли!$E:$E,"1"))</f>
        <v>0</v>
      </c>
      <c r="AG43" s="47">
        <f>(+SUMIFS(манзилли!$R:$R,манзилли!$D:$D,'свод (сектор вилоят)'!$B$42,манзилли!$AB:$AB,"&gt;31.12.2020",манзилли!$AA:$AA,"&gt;31.12.2020",манзилли!$AA:$AA,"&lt;01.01.2022",манзилли!$E:$E,"1"))</f>
        <v>0</v>
      </c>
      <c r="AH43" s="47">
        <f>(+SUMIFS(манзилли!$T:$T,манзилли!$D:$D,'свод (сектор вилоят)'!$B$42,манзилли!$AB:$AB,"&gt;31.12.2020",манзилли!$AA:$AA,"&gt;31.12.2020",манзилли!$AA:$AA,"&lt;01.01.2022",манзилли!$E:$E,"1"))</f>
        <v>0</v>
      </c>
      <c r="AI43" s="47">
        <f>(+SUMIFS(манзилли!$V:$V,манзилли!$D:$D,'свод (сектор вилоят)'!$B$42,манзилли!$AB:$AB,"&gt;31.12.2020",манзилли!$AA:$AA,"&gt;31.12.2020",манзилли!$AA:$AA,"&lt;01.01.2022",манзилли!$E:$E,"1"))</f>
        <v>0</v>
      </c>
      <c r="AJ43" s="48">
        <f>+SUMIFS(манзилли!$Z:$Z,манзилли!$D:$D,'свод (сектор вилоят)'!$B$42,манзилли!$AB:$AB,"&gt;31.12.2020",манзилли!$AA:$AA,"&gt;31.12.2020",манзилли!$AA:$AA,"&lt;01.01.2022",манзилли!$E:$E,"1")</f>
        <v>0</v>
      </c>
      <c r="AK43" s="46">
        <f>+COUNTIFS('Қўшимча ишга тушган'!$D:$D,'свод (сектор вилоят)'!B42,'Қўшимча ишга тушган'!$AO:$AO,"&lt;01.10.2023",манзилли!$E:$E,"1")</f>
        <v>0</v>
      </c>
      <c r="AL43" s="47">
        <f>(+SUMIFS('Қўшимча ишга тушган'!$T:$T,'Қўшимча ишга тушган'!$D:$D,'свод (сектор вилоят)'!$B$42,'Қўшимча ишга тушган'!$AO:$AO,"&lt;01.10.2023",манзилли!$E:$E,"1"))</f>
        <v>0</v>
      </c>
      <c r="AM43" s="47">
        <f>(+SUMIFS('Қўшимча ишга тушган'!$V:$V,'Қўшимча ишга тушган'!$D:$D,'свод (сектор вилоят)'!$B$42,'Қўшимча ишга тушган'!$AO:$AO,"&lt;01.10.2023",манзилли!$E:$E,"1"))</f>
        <v>0</v>
      </c>
      <c r="AN43" s="47">
        <f>(+SUMIFS('Қўшимча ишга тушган'!$Z:$Z,'Қўшимча ишга тушган'!$D:$D,'свод (сектор вилоят)'!$B$42,'Қўшимча ишга тушган'!$AO:$AO,"&lt;01.10.2023",манзилли!$E:$E,"1"))</f>
        <v>0</v>
      </c>
      <c r="AO43" s="47">
        <f>(+SUMIFS('Қўшимча ишга тушган'!$AB:$AB,'Қўшимча ишга тушган'!$D:$D,'свод (сектор вилоят)'!$B$42,'Қўшимча ишга тушган'!$AO:$AO,"&lt;01.10.2023",манзилли!$E:$E,"1"))</f>
        <v>0</v>
      </c>
      <c r="AP43" s="47">
        <f>(+SUMIFS('Қўшимча ишга тушган'!$AD:$AD,'Қўшимча ишга тушган'!$D:$D,'свод (сектор вилоят)'!$B$42,'Қўшимча ишга тушган'!$AO:$AO,"&lt;01.10.2023",манзилли!$E:$E,"1"))</f>
        <v>0</v>
      </c>
      <c r="AQ43" s="48">
        <f>+SUMIFS('Қўшимча ишга тушган'!$AM:$AM,'Қўшимча ишга тушган'!$D:$D,'свод (сектор вилоят)'!$B$42,'Қўшимча ишга тушган'!$AO:$AO,"&lt;01.10.2023",манзилли!$E:$E,"1")</f>
        <v>0</v>
      </c>
      <c r="AR43" s="46">
        <f>+COUNTIFS(манзилли!$D:$D,'свод (сектор вилоят)'!$B$42,манзилли!$AA:$AA,"&lt;01.02.2021",манзилли!$AB:$AB,"",манзилли!$E:$E,"1")</f>
        <v>0</v>
      </c>
      <c r="AS43" s="47">
        <f>(+SUMIFS(манзилли!$K:$K,манзилли!$D:$D,'свод (сектор вилоят)'!$B$42,манзилли!$AA:$AA,"&lt;01.02.2021",манзилли!$AB:$AB,"",манзилли!$E:$E,"1"))</f>
        <v>0</v>
      </c>
      <c r="AT43" s="47">
        <f>(+SUMIFS(манзилли!$M:$M,манзилли!$D:$D,'свод (сектор вилоят)'!$B$42,манзилли!$AA:$AA,"&lt;01.02.2021",манзилли!$AB:$AB,"",манзилли!$E:$E,"1"))</f>
        <v>0</v>
      </c>
      <c r="AU43" s="47">
        <f>(+SUMIFS(манзилли!$Q:$Q,манзилли!$D:$D,'свод (сектор вилоят)'!$B$42,манзилли!$AA:$AA,"&lt;01.02.2021",манзилли!$AB:$AB,"",манзилли!$E:$E,"1"))</f>
        <v>0</v>
      </c>
      <c r="AV43" s="47">
        <f>(+SUMIFS(манзилли!$S:$S,манзилли!$D:$D,'свод (сектор вилоят)'!$B$42,манзилли!$AA:$AA,"&lt;01.02.2021",манзилли!$AB:$AB,"",манзилли!$E:$E,"1"))</f>
        <v>0</v>
      </c>
      <c r="AW43" s="47">
        <f>(+SUMIFS(манзилли!$U:$U,манзилли!$D:$D,'свод (сектор вилоят)'!$B$42,манзилли!$AA:$AA,"&lt;01.02.2021",манзилли!$AB:$AB,"",манзилли!$E:$E,"1"))</f>
        <v>0</v>
      </c>
      <c r="AX43" s="48">
        <f>+SUMIFS(манзилли!$Y:$Y,манзилли!$D:$D,'свод (сектор вилоят)'!$B$42,манзилли!$AA:$AA,"&lt;01.02.2021",манзилли!$AB:$AB,"",манзилли!$E:$E,"1")</f>
        <v>0</v>
      </c>
      <c r="AY43" s="46">
        <f>+COUNTIFS(манзилли!$D:$D,'свод (сектор вилоят)'!$B$42,манзилли!$AA:$AA,"&lt;01.01.2022",манзилли!$AB:$AB,"",манзилли!$E:$E,"1")</f>
        <v>3</v>
      </c>
      <c r="AZ43" s="47">
        <f>(+SUMIFS(манзилли!$K:$K,манзилли!$D:$D,'свод (сектор вилоят)'!$B$42,манзилли!$AA:$AA,"&lt;01.01.2022",манзилли!$AB:$AB,"",манзилли!$E:$E,"1"))</f>
        <v>365500</v>
      </c>
      <c r="BA43" s="47">
        <f>(+SUMIFS(манзилли!$M:$M,манзилли!$D:$D,'свод (сектор вилоят)'!$B$42,манзилли!$AA:$AA,"&lt;01.01.2022",манзилли!$AB:$AB,"",манзилли!$E:$E,"1"))</f>
        <v>149300</v>
      </c>
      <c r="BB43" s="47">
        <f>(+SUMIFS(манзилли!$Q:$Q,манзилли!$D:$D,'свод (сектор вилоят)'!$B$42,манзилли!$AA:$AA,"&lt;01.01.2022",манзилли!$AB:$AB,"",манзилли!$E:$E,"1"))</f>
        <v>10200</v>
      </c>
      <c r="BC43" s="47">
        <f>(+SUMIFS(манзилли!$S:$S,манзилли!$D:$D,'свод (сектор вилоят)'!$B$42,манзилли!$AA:$AA,"&lt;01.01.2022",манзилли!$AB:$AB,"",манзилли!$E:$E,"1"))</f>
        <v>0</v>
      </c>
      <c r="BD43" s="47">
        <f>(+SUMIFS(манзилли!$U:$U,манзилли!$D:$D,'свод (сектор вилоят)'!$B$42,манзилли!$AA:$AA,"&lt;01.01.2022",манзилли!$AB:$AB,"",манзилли!$E:$E,"1"))</f>
        <v>20000</v>
      </c>
      <c r="BE43" s="48">
        <f>+SUMIFS(манзилли!$Y:$Y,манзилли!$D:$D,'свод (сектор вилоят)'!$B$42,манзилли!$AA:$AA,"&lt;01.01.2022",манзилли!$AB:$AB,"",манзилли!$E:$E,"1")</f>
        <v>820</v>
      </c>
      <c r="BF43" s="46">
        <f>+COUNTIFS(манзилли!$D:$D,'свод (сектор вилоят)'!$B$42,манзилли!$AA:$AA,"&lt;01.01.2023",манзилли!$AA:$AA,"&gt;=01.01.2022",манзилли!$E:$E,"1")</f>
        <v>0</v>
      </c>
      <c r="BG43" s="47">
        <f>(+SUMIFS(манзилли!$K:$K,манзилли!$D:$D,'свод (сектор вилоят)'!$B$42,манзилли!$AA:$AA,"&lt;01.01.2023",манзилли!$AA:$AA,"&gt;=01.01.2022",манзилли!$E:$E,"1"))</f>
        <v>0</v>
      </c>
      <c r="BH43" s="47">
        <f>(+SUMIFS(манзилли!$M:$M,манзилли!$D:$D,'свод (сектор вилоят)'!$B$42,манзилли!$AA:$AA,"&lt;01.01.2023",манзилли!$AA:$AA,"&gt;=01.01.2022",манзилли!$E:$E,"1"))</f>
        <v>0</v>
      </c>
      <c r="BI43" s="47">
        <f>(+SUMIFS(манзилли!$Q:$Q,манзилли!$D:$D,'свод (сектор вилоят)'!$B$42,манзилли!$AA:$AA,"&lt;01.01.2023",манзилли!$AA:$AA,"&gt;=01.01.2022",манзилли!$E:$E,"1"))</f>
        <v>0</v>
      </c>
      <c r="BJ43" s="47">
        <f>(+SUMIFS(манзилли!$S:$S,манзилли!$D:$D,'свод (сектор вилоят)'!$B$42,манзилли!$AA:$AA,"&lt;01.01.2023",манзилли!$AA:$AA,"&gt;=01.01.2022",манзилли!$E:$E,"1"))</f>
        <v>0</v>
      </c>
      <c r="BK43" s="47">
        <f>(+SUMIFS(манзилли!$U:$U,манзилли!$D:$D,'свод (сектор вилоят)'!$B$42,манзилли!$AA:$AA,"&lt;01.01.2023",манзилли!$AA:$AA,"&gt;=01.01.2022",манзилли!$E:$E,"1"))</f>
        <v>0</v>
      </c>
      <c r="BL43" s="48">
        <f>+SUMIFS(манзилли!$Y:$Y,манзилли!$D:$D,'свод (сектор вилоят)'!$B$42,манзилли!$AA:$AA,"&lt;01.01.2023",манзилли!$AA:$AA,"&gt;=01.01.2022",манзилли!$E:$E,"1")</f>
        <v>0</v>
      </c>
    </row>
    <row r="44" spans="1:64" s="3" customFormat="1" ht="39.75" customHeight="1">
      <c r="A44" s="51"/>
      <c r="B44" s="27" t="s">
        <v>1772</v>
      </c>
      <c r="C44" s="28">
        <f>+COUNTIFS(манзилли!$D:$D,'свод (сектор вилоят)'!$B$42,манзилли!$E:$E,"2")</f>
        <v>11</v>
      </c>
      <c r="D44" s="29">
        <f>(+SUMIFS(манзилли!$K:$K,манзилли!$D:$D,'свод (сектор вилоят)'!$B$42,манзилли!$E:$E,"2"))</f>
        <v>12940</v>
      </c>
      <c r="E44" s="29">
        <f>(+SUMIFS(манзилли!$M:$M,манзилли!$D:$D,'свод (сектор вилоят)'!$B$42,манзилли!$E:$E,"2"))</f>
        <v>4850</v>
      </c>
      <c r="F44" s="29">
        <f>(+SUMIFS(манзилли!$Q:$Q,манзилли!$D:$D,'свод (сектор вилоят)'!$B$42,манзилли!$E:$E,"2"))</f>
        <v>8090</v>
      </c>
      <c r="G44" s="29">
        <f>(+SUMIFS(манзилли!$S:$S,манзилли!$D:$D,'свод (сектор вилоят)'!$B$42,манзилли!$E:$E,"2"))</f>
        <v>0</v>
      </c>
      <c r="H44" s="29">
        <f>(+SUMIFS(манзилли!$U:$U,манзилли!$D:$D,'свод (сектор вилоят)'!$B$42,манзилли!$E:$E,"2"))</f>
        <v>0</v>
      </c>
      <c r="I44" s="30">
        <f>+SUMIFS(манзилли!$Y:$Y,манзилли!$D:$D,'свод (сектор вилоят)'!$B$42,манзилли!$E:$E,"2")</f>
        <v>59</v>
      </c>
      <c r="J44" s="28">
        <f>(+COUNTIFS(манзилли!$L:$L,"&gt;0",манзилли!$D:$D,'свод (сектор вилоят)'!$B$42,манзилли!$E:$E,"2")+COUNTIFS('Қўшимча ишга тушган'!$T:$T,"&gt;0",'Қўшимча ишга тушган'!$D:$D,'свод (сектор вилоят)'!$B$42,'Қўшимча ишга тушган'!$E:$E,"2"))</f>
        <v>11</v>
      </c>
      <c r="K44" s="30">
        <f>(+SUMIFS(манзилли!$L:$L,манзилли!$D:$D,'свод (сектор вилоят)'!$B$42,манзилли!$E:$E,"2")+SUMIFS('Қўшимча ишга тушган'!$T:$T,'Қўшимча ишга тушган'!$D:$D,'свод (сектор вилоят)'!$B$42,'Қўшимча ишга тушган'!$E:$E,"2"))</f>
        <v>10750</v>
      </c>
      <c r="L44" s="31">
        <f>(+SUMIFS(манзилли!$N:$N,манзилли!$D:$D,'свод (сектор вилоят)'!$B$42,манзилли!$E:$E,"2")+SUMIFS('Қўшимча ишга тушган'!$V:$V,'Қўшимча ишга тушган'!$D:$D,'свод (сектор вилоят)'!$B$42,'Қўшимча ишга тушган'!$E:$E,"2"))</f>
        <v>4450</v>
      </c>
      <c r="M44" s="29">
        <f>(+SUMIFS(манзилли!$R:$R,манзилли!$D:$D,'свод (сектор вилоят)'!$B$42,манзилли!$E:$E,"2")+SUMIFS('Қўшимча ишга тушган'!$Z:$Z,'Қўшимча ишга тушган'!$D:$D,'свод (сектор вилоят)'!$B$42,'Қўшимча ишга тушган'!$E:$E,"2"))</f>
        <v>6300</v>
      </c>
      <c r="N44" s="29">
        <f>(+SUMIFS(манзилли!$T:$T,манзилли!$D:$D,'свод (сектор вилоят)'!$B$42,манзилли!$E:$E,"2")+SUMIFS('Қўшимча ишга тушган'!$AB:$AB,'Қўшимча ишга тушган'!$D:$D,'свод (сектор вилоят)'!$B$42,'Қўшимча ишга тушган'!$E:$E,"2"))</f>
        <v>0</v>
      </c>
      <c r="O44" s="30">
        <f>(+SUMIFS(манзилли!$V:$V,манзилли!$D:$D,'свод (сектор вилоят)'!$B$42,манзилли!$E:$E,"2")+SUMIFS('Қўшимча ишга тушган'!$AD:$AD,'Қўшимча ишга тушган'!$D:$D,'свод (сектор вилоят)'!$B$42,'Қўшимча ишга тушган'!$E:$E,"2"))</f>
        <v>0</v>
      </c>
      <c r="P44" s="28">
        <f>+COUNTIFS(манзилли!$D:$D,'свод (сектор вилоят)'!$B$42,манзилли!$AA:$AA,"&gt;31.12.2020",манзилли!$AA:$AA,"&lt;01.01.2022",манзилли!$E:$E,"2")</f>
        <v>2</v>
      </c>
      <c r="Q44" s="29">
        <f>(+SUMIFS(манзилли!$K:$K,манзилли!$D:$D,'свод (сектор вилоят)'!$B$42,манзилли!$AA:$AA,"&gt;31.12.2020",манзилли!$AA:$AA,"&lt;01.01.2022",манзилли!$E:$E,"2"))</f>
        <v>5590</v>
      </c>
      <c r="R44" s="29">
        <f>(+SUMIFS(манзилли!$M:$M,манзилли!$D:$D,'свод (сектор вилоят)'!$B$42,манзилли!$AA:$AA,"&gt;31.12.2020",манзилли!$AA:$AA,"&lt;01.01.2022",манзилли!$E:$E,"2"))</f>
        <v>2100</v>
      </c>
      <c r="S44" s="29">
        <f>(+SUMIFS(манзилли!$Q:$Q,манзилли!$D:$D,'свод (сектор вилоят)'!$B$42,манзилли!$AA:$AA,"&gt;31.12.2020",манзилли!$AA:$AA,"&lt;01.01.2022",манзилли!$E:$E,"2"))</f>
        <v>3490</v>
      </c>
      <c r="T44" s="29">
        <f>(+SUMIFS(манзилли!$S:$S,манзилли!$D:$D,'свод (сектор вилоят)'!$B$42,манзилли!$AA:$AA,"&gt;31.12.2020",манзилли!$AA:$AA,"&lt;01.01.2022",манзилли!$E:$E,"2"))</f>
        <v>0</v>
      </c>
      <c r="U44" s="29">
        <f>(+SUMIFS(манзилли!$U:$U,манзилли!$D:$D,'свод (сектор вилоят)'!$B$42,манзилли!$AA:$AA,"&gt;31.12.2020",манзилли!$AA:$AA,"&lt;01.01.2022",манзилли!$E:$E,"2"))</f>
        <v>0</v>
      </c>
      <c r="V44" s="30">
        <f>+SUMIFS(манзилли!$Y:$Y,манзилли!$D:$D,'свод (сектор вилоят)'!$B$42,манзилли!$AA:$AA,"&gt;31.12.2020",манзилли!$AA:$AA,"&lt;01.01.2022",манзилли!$E:$E,"2")</f>
        <v>23</v>
      </c>
      <c r="W44" s="28">
        <f t="shared" ref="W44:W46" si="492">+AD44+AK44</f>
        <v>0</v>
      </c>
      <c r="X44" s="29">
        <f t="shared" si="486"/>
        <v>0</v>
      </c>
      <c r="Y44" s="29">
        <f t="shared" si="487"/>
        <v>0</v>
      </c>
      <c r="Z44" s="29">
        <f t="shared" si="488"/>
        <v>0</v>
      </c>
      <c r="AA44" s="29">
        <f t="shared" si="489"/>
        <v>0</v>
      </c>
      <c r="AB44" s="29">
        <f t="shared" si="490"/>
        <v>0</v>
      </c>
      <c r="AC44" s="30">
        <f t="shared" si="491"/>
        <v>0</v>
      </c>
      <c r="AD44" s="28">
        <f>+COUNTIFS(манзилли!$D:$D,'свод (сектор вилоят)'!$B$42,манзилли!$AB:$AB,"&gt;31.12.2020",манзилли!$AA:$AA,"&gt;31.12.2020",манзилли!$AA:$AA,"&lt;01.01.2022",манзилли!$E:$E,"2")</f>
        <v>0</v>
      </c>
      <c r="AE44" s="29">
        <f>(+SUMIFS(манзилли!$L:$L,манзилли!$D:$D,'свод (сектор вилоят)'!$B$42,манзилли!$AB:$AB,"&gt;31.12.2020",манзилли!$AA:$AA,"&gt;31.12.2020",манзилли!$AA:$AA,"&lt;01.01.2022",манзилли!$E:$E,"2"))</f>
        <v>0</v>
      </c>
      <c r="AF44" s="29">
        <f>(+SUMIFS(манзилли!$N:$N,манзилли!$D:$D,'свод (сектор вилоят)'!$B$42,манзилли!$AB:$AB,"&gt;31.12.2020",манзилли!$AA:$AA,"&gt;31.12.2020",манзилли!$AA:$AA,"&lt;01.01.2022",манзилли!$E:$E,"2"))</f>
        <v>0</v>
      </c>
      <c r="AG44" s="29">
        <f>(+SUMIFS(манзилли!$R:$R,манзилли!$D:$D,'свод (сектор вилоят)'!$B$42,манзилли!$AB:$AB,"&gt;31.12.2020",манзилли!$AA:$AA,"&gt;31.12.2020",манзилли!$AA:$AA,"&lt;01.01.2022",манзилли!$E:$E,"2"))</f>
        <v>0</v>
      </c>
      <c r="AH44" s="29">
        <f>(+SUMIFS(манзилли!$T:$T,манзилли!$D:$D,'свод (сектор вилоят)'!$B$42,манзилли!$AB:$AB,"&gt;31.12.2020",манзилли!$AA:$AA,"&gt;31.12.2020",манзилли!$AA:$AA,"&lt;01.01.2022",манзилли!$E:$E,"2"))</f>
        <v>0</v>
      </c>
      <c r="AI44" s="29">
        <f>(+SUMIFS(манзилли!$V:$V,манзилли!$D:$D,'свод (сектор вилоят)'!$B$42,манзилли!$AB:$AB,"&gt;31.12.2020",манзилли!$AA:$AA,"&gt;31.12.2020",манзилли!$AA:$AA,"&lt;01.01.2022",манзилли!$E:$E,"2"))</f>
        <v>0</v>
      </c>
      <c r="AJ44" s="30">
        <f>+SUMIFS(манзилли!$Z:$Z,манзилли!$D:$D,'свод (сектор вилоят)'!$B$42,манзилли!$AB:$AB,"&gt;31.12.2020",манзилли!$AA:$AA,"&gt;31.12.2020",манзилли!$AA:$AA,"&lt;01.01.2022",манзилли!$E:$E,"2")</f>
        <v>0</v>
      </c>
      <c r="AK44" s="28">
        <f>+COUNTIFS('Қўшимча ишга тушган'!$D:$D,'свод (сектор вилоят)'!B42,'Қўшимча ишга тушган'!$AO:$AO,"&lt;01.10.2023",манзилли!$E:$E,"2")</f>
        <v>0</v>
      </c>
      <c r="AL44" s="29">
        <f>(+SUMIFS('Қўшимча ишга тушган'!$T:$T,'Қўшимча ишга тушган'!$D:$D,'свод (сектор вилоят)'!$B$42,'Қўшимча ишга тушган'!$AO:$AO,"&lt;01.10.2023",манзилли!$E:$E,"2"))</f>
        <v>0</v>
      </c>
      <c r="AM44" s="29">
        <f>(+SUMIFS('Қўшимча ишга тушган'!$V:$V,'Қўшимча ишга тушган'!$D:$D,'свод (сектор вилоят)'!$B$42,'Қўшимча ишга тушган'!$AO:$AO,"&lt;01.10.2023",манзилли!$E:$E,"2"))</f>
        <v>0</v>
      </c>
      <c r="AN44" s="29">
        <f>(+SUMIFS('Қўшимча ишга тушган'!$Z:$Z,'Қўшимча ишга тушган'!$D:$D,'свод (сектор вилоят)'!$B$42,'Қўшимча ишга тушган'!$AO:$AO,"&lt;01.10.2023",манзилли!$E:$E,"2"))</f>
        <v>0</v>
      </c>
      <c r="AO44" s="29">
        <f>(+SUMIFS('Қўшимча ишга тушган'!$AB:$AB,'Қўшимча ишга тушган'!$D:$D,'свод (сектор вилоят)'!$B$42,'Қўшимча ишга тушган'!$AO:$AO,"&lt;01.10.2023",манзилли!$E:$E,"2"))</f>
        <v>0</v>
      </c>
      <c r="AP44" s="29">
        <f>(+SUMIFS('Қўшимча ишга тушган'!$AD:$AD,'Қўшимча ишга тушган'!$D:$D,'свод (сектор вилоят)'!$B$42,'Қўшимча ишга тушган'!$AO:$AO,"&lt;01.10.2023",манзилли!$E:$E,"2"))</f>
        <v>0</v>
      </c>
      <c r="AQ44" s="30">
        <f>+SUMIFS('Қўшимча ишга тушган'!$AM:$AM,'Қўшимча ишга тушган'!$D:$D,'свод (сектор вилоят)'!$B$42,'Қўшимча ишга тушган'!$AO:$AO,"&lt;01.10.2023",манзилли!$E:$E,"2")</f>
        <v>0</v>
      </c>
      <c r="AR44" s="28">
        <f>+COUNTIFS(манзилли!$D:$D,'свод (сектор вилоят)'!$B$42,манзилли!$AA:$AA,"&lt;01.02.2021",манзилли!$AB:$AB,"",манзилли!$E:$E,"2")</f>
        <v>0</v>
      </c>
      <c r="AS44" s="29">
        <f>(+SUMIFS(манзилли!$K:$K,манзилли!$D:$D,'свод (сектор вилоят)'!$B$42,манзилли!$AA:$AA,"&lt;01.02.2021",манзилли!$AB:$AB,"",манзилли!$E:$E,"2"))</f>
        <v>0</v>
      </c>
      <c r="AT44" s="29">
        <f>(+SUMIFS(манзилли!$M:$M,манзилли!$D:$D,'свод (сектор вилоят)'!$B$42,манзилли!$AA:$AA,"&lt;01.02.2021",манзилли!$AB:$AB,"",манзилли!$E:$E,"2"))</f>
        <v>0</v>
      </c>
      <c r="AU44" s="29">
        <f>(+SUMIFS(манзилли!$Q:$Q,манзилли!$D:$D,'свод (сектор вилоят)'!$B$42,манзилли!$AA:$AA,"&lt;01.02.2021",манзилли!$AB:$AB,"",манзилли!$E:$E,"2"))</f>
        <v>0</v>
      </c>
      <c r="AV44" s="29">
        <f>(+SUMIFS(манзилли!$S:$S,манзилли!$D:$D,'свод (сектор вилоят)'!$B$42,манзилли!$AA:$AA,"&lt;01.02.2021",манзилли!$AB:$AB,"",манзилли!$E:$E,"2"))</f>
        <v>0</v>
      </c>
      <c r="AW44" s="29">
        <f>(+SUMIFS(манзилли!$U:$U,манзилли!$D:$D,'свод (сектор вилоят)'!$B$42,манзилли!$AA:$AA,"&lt;01.02.2021",манзилли!$AB:$AB,"",манзилли!$E:$E,"2"))</f>
        <v>0</v>
      </c>
      <c r="AX44" s="30">
        <f>+SUMIFS(манзилли!$Y:$Y,манзилли!$D:$D,'свод (сектор вилоят)'!$B$42,манзилли!$AA:$AA,"&lt;01.02.2021",манзилли!$AB:$AB,"",манзилли!$E:$E,"2")</f>
        <v>0</v>
      </c>
      <c r="AY44" s="28">
        <f>+COUNTIFS(манзилли!$D:$D,'свод (сектор вилоят)'!$B$42,манзилли!$AA:$AA,"&lt;01.01.2022",манзилли!$AB:$AB,"",манзилли!$E:$E,"2")</f>
        <v>1</v>
      </c>
      <c r="AZ44" s="29">
        <f>(+SUMIFS(манзилли!$K:$K,манзилли!$D:$D,'свод (сектор вилоят)'!$B$42,манзилли!$AA:$AA,"&lt;01.01.2022",манзилли!$AB:$AB,"",манзилли!$E:$E,"2"))</f>
        <v>1500</v>
      </c>
      <c r="BA44" s="29">
        <f>(+SUMIFS(манзилли!$M:$M,манзилли!$D:$D,'свод (сектор вилоят)'!$B$42,манзилли!$AA:$AA,"&lt;01.01.2022",манзилли!$AB:$AB,"",манзилли!$E:$E,"2"))</f>
        <v>500</v>
      </c>
      <c r="BB44" s="29">
        <f>(+SUMIFS(манзилли!$Q:$Q,манзилли!$D:$D,'свод (сектор вилоят)'!$B$42,манзилли!$AA:$AA,"&lt;01.01.2022",манзилли!$AB:$AB,"",манзилли!$E:$E,"2"))</f>
        <v>1000</v>
      </c>
      <c r="BC44" s="29">
        <f>(+SUMIFS(манзилли!$S:$S,манзилли!$D:$D,'свод (сектор вилоят)'!$B$42,манзилли!$AA:$AA,"&lt;01.01.2022",манзилли!$AB:$AB,"",манзилли!$E:$E,"2"))</f>
        <v>0</v>
      </c>
      <c r="BD44" s="29">
        <f>(+SUMIFS(манзилли!$U:$U,манзилли!$D:$D,'свод (сектор вилоят)'!$B$42,манзилли!$AA:$AA,"&lt;01.01.2022",манзилли!$AB:$AB,"",манзилли!$E:$E,"2"))</f>
        <v>0</v>
      </c>
      <c r="BE44" s="30">
        <f>+SUMIFS(манзилли!$Y:$Y,манзилли!$D:$D,'свод (сектор вилоят)'!$B$42,манзилли!$AA:$AA,"&lt;01.01.2022",манзилли!$AB:$AB,"",манзилли!$E:$E,"2")</f>
        <v>18</v>
      </c>
      <c r="BF44" s="28">
        <f>+COUNTIFS(манзилли!$D:$D,'свод (сектор вилоят)'!$B$42,манзилли!$AA:$AA,"&lt;01.01.2023",манзилли!$AA:$AA,"&gt;=01.01.2022",манзилли!$E:$E,"2")</f>
        <v>0</v>
      </c>
      <c r="BG44" s="29">
        <f>(+SUMIFS(манзилли!$K:$K,манзилли!$D:$D,'свод (сектор вилоят)'!$B$42,манзилли!$AA:$AA,"&lt;01.01.2023",манзилли!$AA:$AA,"&gt;=01.01.2022",манзилли!$E:$E,"2"))</f>
        <v>0</v>
      </c>
      <c r="BH44" s="29">
        <f>(+SUMIFS(манзилли!$M:$M,манзилли!$D:$D,'свод (сектор вилоят)'!$B$42,манзилли!$AA:$AA,"&lt;01.01.2023",манзилли!$AA:$AA,"&gt;=01.01.2022",манзилли!$E:$E,"2"))</f>
        <v>0</v>
      </c>
      <c r="BI44" s="29">
        <f>(+SUMIFS(манзилли!$Q:$Q,манзилли!$D:$D,'свод (сектор вилоят)'!$B$42,манзилли!$AA:$AA,"&lt;01.01.2023",манзилли!$AA:$AA,"&gt;=01.01.2022",манзилли!$E:$E,"2"))</f>
        <v>0</v>
      </c>
      <c r="BJ44" s="29">
        <f>(+SUMIFS(манзилли!$S:$S,манзилли!$D:$D,'свод (сектор вилоят)'!$B$42,манзилли!$AA:$AA,"&lt;01.01.2023",манзилли!$AA:$AA,"&gt;=01.01.2022",манзилли!$E:$E,"2"))</f>
        <v>0</v>
      </c>
      <c r="BK44" s="29">
        <f>(+SUMIFS(манзилли!$U:$U,манзилли!$D:$D,'свод (сектор вилоят)'!$B$42,манзилли!$AA:$AA,"&lt;01.01.2023",манзилли!$AA:$AA,"&gt;=01.01.2022",манзилли!$E:$E,"2"))</f>
        <v>0</v>
      </c>
      <c r="BL44" s="30">
        <f>+SUMIFS(манзилли!$Y:$Y,манзилли!$D:$D,'свод (сектор вилоят)'!$B$42,манзилли!$AA:$AA,"&lt;01.01.2023",манзилли!$AA:$AA,"&gt;=01.01.2022",манзилли!$E:$E,"2")</f>
        <v>0</v>
      </c>
    </row>
    <row r="45" spans="1:64" s="3" customFormat="1" ht="39.75" customHeight="1">
      <c r="A45" s="51"/>
      <c r="B45" s="27" t="s">
        <v>1773</v>
      </c>
      <c r="C45" s="28">
        <f>+COUNTIFS(манзилли!$D:$D,'свод (сектор вилоят)'!$B$42,манзилли!$E:$E,"3")</f>
        <v>25</v>
      </c>
      <c r="D45" s="29">
        <f>(+SUMIFS(манзилли!$K:$K,манзилли!$D:$D,'свод (сектор вилоят)'!$B$42,манзилли!$E:$E,"3"))</f>
        <v>311438.2</v>
      </c>
      <c r="E45" s="29">
        <f>(+SUMIFS(манзилли!$M:$M,манзилли!$D:$D,'свод (сектор вилоят)'!$B$42,манзилли!$E:$E,"3"))</f>
        <v>137982.29999999999</v>
      </c>
      <c r="F45" s="29">
        <f>(+SUMIFS(манзилли!$Q:$Q,манзилли!$D:$D,'свод (сектор вилоят)'!$B$42,манзилли!$E:$E,"3"))</f>
        <v>15433.3</v>
      </c>
      <c r="G45" s="29">
        <f>(+SUMIFS(манзилли!$S:$S,манзилли!$D:$D,'свод (сектор вилоят)'!$B$42,манзилли!$E:$E,"3"))</f>
        <v>10342</v>
      </c>
      <c r="H45" s="29">
        <f>(+SUMIFS(манзилли!$U:$U,манзилли!$D:$D,'свод (сектор вилоят)'!$B$42,манзилли!$E:$E,"3"))</f>
        <v>5000</v>
      </c>
      <c r="I45" s="30">
        <f>+SUMIFS(манзилли!$Y:$Y,манзилли!$D:$D,'свод (сектор вилоят)'!$B$42,манзилли!$E:$E,"3")</f>
        <v>297</v>
      </c>
      <c r="J45" s="28">
        <f>(+COUNTIFS(манзилли!$L:$L,"&gt;0",манзилли!$D:$D,'свод (сектор вилоят)'!$B$42,манзилли!$E:$E,"3")+COUNTIFS('Қўшимча ишга тушган'!$T:$T,"&gt;0",'Қўшимча ишга тушган'!$D:$D,'свод (сектор вилоят)'!$B$42,'Қўшимча ишга тушган'!$E:$E,"3"))</f>
        <v>20</v>
      </c>
      <c r="K45" s="30">
        <f>(+SUMIFS(манзилли!$L:$L,манзилли!$D:$D,'свод (сектор вилоят)'!$B$42,манзилли!$E:$E,"3")+SUMIFS('Қўшимча ишга тушган'!$T:$T,'Қўшимча ишга тушган'!$D:$D,'свод (сектор вилоят)'!$B$42,'Қўшимча ишга тушган'!$E:$E,"3"))</f>
        <v>103996.5</v>
      </c>
      <c r="L45" s="31">
        <f>(+SUMIFS(манзилли!$N:$N,манзилли!$D:$D,'свод (сектор вилоят)'!$B$42,манзилли!$E:$E,"3")+SUMIFS('Қўшимча ишга тушган'!$V:$V,'Қўшимча ишга тушган'!$D:$D,'свод (сектор вилоят)'!$B$42,'Қўшимча ишга тушган'!$E:$E,"3"))</f>
        <v>6397.8</v>
      </c>
      <c r="M45" s="29">
        <f>(+SUMIFS(манзилли!$R:$R,манзилли!$D:$D,'свод (сектор вилоят)'!$B$42,манзилли!$E:$E,"3")+SUMIFS('Қўшимча ишга тушган'!$Z:$Z,'Қўшимча ишга тушган'!$D:$D,'свод (сектор вилоят)'!$B$42,'Қўшимча ишга тушган'!$E:$E,"3"))</f>
        <v>12663.3</v>
      </c>
      <c r="N45" s="29">
        <f>(+SUMIFS(манзилли!$T:$T,манзилли!$D:$D,'свод (сектор вилоят)'!$B$42,манзилли!$E:$E,"3")+SUMIFS('Қўшимча ишга тушган'!$AB:$AB,'Қўшимча ишга тушган'!$D:$D,'свод (сектор вилоят)'!$B$42,'Қўшимча ишга тушган'!$E:$E,"3"))</f>
        <v>8327</v>
      </c>
      <c r="O45" s="30">
        <f>(+SUMIFS(манзилли!$V:$V,манзилли!$D:$D,'свод (сектор вилоят)'!$B$42,манзилли!$E:$E,"3")+SUMIFS('Қўшимча ишга тушган'!$AD:$AD,'Қўшимча ишга тушган'!$D:$D,'свод (сектор вилоят)'!$B$42,'Қўшимча ишга тушган'!$E:$E,"3"))</f>
        <v>0</v>
      </c>
      <c r="P45" s="28">
        <f>+COUNTIFS(манзилли!$D:$D,'свод (сектор вилоят)'!$B$42,манзилли!$AA:$AA,"&gt;31.12.2020",манзилли!$AA:$AA,"&lt;01.01.2022",манзилли!$E:$E,"3")</f>
        <v>11</v>
      </c>
      <c r="Q45" s="29">
        <f>(+SUMIFS(манзилли!$K:$K,манзилли!$D:$D,'свод (сектор вилоят)'!$B$42,манзилли!$AA:$AA,"&gt;31.12.2020",манзилли!$AA:$AA,"&lt;01.01.2022",манзилли!$E:$E,"3"))</f>
        <v>301418.2</v>
      </c>
      <c r="R45" s="29">
        <f>(+SUMIFS(манзилли!$M:$M,манзилли!$D:$D,'свод (сектор вилоят)'!$B$42,манзилли!$AA:$AA,"&gt;31.12.2020",манзилли!$AA:$AA,"&lt;01.01.2022",манзилли!$E:$E,"3"))</f>
        <v>135132.29999999999</v>
      </c>
      <c r="S45" s="29">
        <f>(+SUMIFS(манзилли!$Q:$Q,манзилли!$D:$D,'свод (сектор вилоят)'!$B$42,манзилли!$AA:$AA,"&gt;31.12.2020",манзилли!$AA:$AA,"&lt;01.01.2022",манзилли!$E:$E,"3"))</f>
        <v>8263.2999999999993</v>
      </c>
      <c r="T45" s="29">
        <f>(+SUMIFS(манзилли!$S:$S,манзилли!$D:$D,'свод (сектор вилоят)'!$B$42,манзилли!$AA:$AA,"&gt;31.12.2020",манзилли!$AA:$AA,"&lt;01.01.2022",манзилли!$E:$E,"3"))</f>
        <v>10342</v>
      </c>
      <c r="U45" s="29">
        <f>(+SUMIFS(манзилли!$U:$U,манзилли!$D:$D,'свод (сектор вилоят)'!$B$42,манзилли!$AA:$AA,"&gt;31.12.2020",манзилли!$AA:$AA,"&lt;01.01.2022",манзилли!$E:$E,"3"))</f>
        <v>5000</v>
      </c>
      <c r="V45" s="30">
        <f>+SUMIFS(манзилли!$Y:$Y,манзилли!$D:$D,'свод (сектор вилоят)'!$B$42,манзилли!$AA:$AA,"&gt;31.12.2020",манзилли!$AA:$AA,"&lt;01.01.2022",манзилли!$E:$E,"3")</f>
        <v>218</v>
      </c>
      <c r="W45" s="28">
        <f t="shared" si="492"/>
        <v>1</v>
      </c>
      <c r="X45" s="29">
        <f t="shared" si="486"/>
        <v>4500</v>
      </c>
      <c r="Y45" s="29">
        <f t="shared" si="487"/>
        <v>1500</v>
      </c>
      <c r="Z45" s="29">
        <f t="shared" si="488"/>
        <v>3000</v>
      </c>
      <c r="AA45" s="29">
        <f t="shared" si="489"/>
        <v>0</v>
      </c>
      <c r="AB45" s="29">
        <f t="shared" si="490"/>
        <v>0</v>
      </c>
      <c r="AC45" s="30">
        <f t="shared" si="491"/>
        <v>10</v>
      </c>
      <c r="AD45" s="28">
        <f>+COUNTIFS(манзилли!$D:$D,'свод (сектор вилоят)'!$B$42,манзилли!$AB:$AB,"&gt;31.12.2020",манзилли!$AA:$AA,"&gt;31.12.2020",манзилли!$AA:$AA,"&lt;01.01.2022",манзилли!$E:$E,"3")</f>
        <v>1</v>
      </c>
      <c r="AE45" s="29">
        <f>(+SUMIFS(манзилли!$L:$L,манзилли!$D:$D,'свод (сектор вилоят)'!$B$42,манзилли!$AB:$AB,"&gt;31.12.2020",манзилли!$AA:$AA,"&gt;31.12.2020",манзилли!$AA:$AA,"&lt;01.01.2022",манзилли!$E:$E,"3"))</f>
        <v>4500</v>
      </c>
      <c r="AF45" s="29">
        <f>(+SUMIFS(манзилли!$N:$N,манзилли!$D:$D,'свод (сектор вилоят)'!$B$42,манзилли!$AB:$AB,"&gt;31.12.2020",манзилли!$AA:$AA,"&gt;31.12.2020",манзилли!$AA:$AA,"&lt;01.01.2022",манзилли!$E:$E,"3"))</f>
        <v>1500</v>
      </c>
      <c r="AG45" s="29">
        <f>(+SUMIFS(манзилли!$R:$R,манзилли!$D:$D,'свод (сектор вилоят)'!$B$42,манзилли!$AB:$AB,"&gt;31.12.2020",манзилли!$AA:$AA,"&gt;31.12.2020",манзилли!$AA:$AA,"&lt;01.01.2022",манзилли!$E:$E,"3"))</f>
        <v>3000</v>
      </c>
      <c r="AH45" s="29">
        <f>(+SUMIFS(манзилли!$T:$T,манзилли!$D:$D,'свод (сектор вилоят)'!$B$42,манзилли!$AB:$AB,"&gt;31.12.2020",манзилли!$AA:$AA,"&gt;31.12.2020",манзилли!$AA:$AA,"&lt;01.01.2022",манзилли!$E:$E,"3"))</f>
        <v>0</v>
      </c>
      <c r="AI45" s="29">
        <f>(+SUMIFS(манзилли!$V:$V,манзилли!$D:$D,'свод (сектор вилоят)'!$B$42,манзилли!$AB:$AB,"&gt;31.12.2020",манзилли!$AA:$AA,"&gt;31.12.2020",манзилли!$AA:$AA,"&lt;01.01.2022",манзилли!$E:$E,"3"))</f>
        <v>0</v>
      </c>
      <c r="AJ45" s="30">
        <f>+SUMIFS(манзилли!$Z:$Z,манзилли!$D:$D,'свод (сектор вилоят)'!$B$42,манзилли!$AB:$AB,"&gt;31.12.2020",манзилли!$AA:$AA,"&gt;31.12.2020",манзилли!$AA:$AA,"&lt;01.01.2022",манзилли!$E:$E,"3")</f>
        <v>10</v>
      </c>
      <c r="AK45" s="28">
        <f>+COUNTIFS('Қўшимча ишга тушган'!$D:$D,'свод (сектор вилоят)'!B42,'Қўшимча ишга тушган'!$AO:$AO,"&lt;01.10.2023",манзилли!$E:$E,"3")</f>
        <v>0</v>
      </c>
      <c r="AL45" s="29">
        <f>(+SUMIFS('Қўшимча ишга тушган'!$T:$T,'Қўшимча ишга тушган'!$D:$D,'свод (сектор вилоят)'!$B$42,'Қўшимча ишга тушган'!$AO:$AO,"&lt;01.10.2023",манзилли!$E:$E,"3"))</f>
        <v>0</v>
      </c>
      <c r="AM45" s="29">
        <f>(+SUMIFS('Қўшимча ишга тушган'!$V:$V,'Қўшимча ишга тушган'!$D:$D,'свод (сектор вилоят)'!$B$42,'Қўшимча ишга тушган'!$AO:$AO,"&lt;01.10.2023",манзилли!$E:$E,"3"))</f>
        <v>0</v>
      </c>
      <c r="AN45" s="29">
        <f>(+SUMIFS('Қўшимча ишга тушган'!$Z:$Z,'Қўшимча ишга тушган'!$D:$D,'свод (сектор вилоят)'!$B$42,'Қўшимча ишга тушган'!$AO:$AO,"&lt;01.10.2023",манзилли!$E:$E,"3"))</f>
        <v>0</v>
      </c>
      <c r="AO45" s="29">
        <f>(+SUMIFS('Қўшимча ишга тушган'!$AB:$AB,'Қўшимча ишга тушган'!$D:$D,'свод (сектор вилоят)'!$B$42,'Қўшимча ишга тушган'!$AO:$AO,"&lt;01.10.2023",манзилли!$E:$E,"3"))</f>
        <v>0</v>
      </c>
      <c r="AP45" s="29">
        <f>(+SUMIFS('Қўшимча ишга тушган'!$AD:$AD,'Қўшимча ишга тушган'!$D:$D,'свод (сектор вилоят)'!$B$42,'Қўшимча ишга тушган'!$AO:$AO,"&lt;01.10.2023",манзилли!$E:$E,"3"))</f>
        <v>0</v>
      </c>
      <c r="AQ45" s="30">
        <f>+SUMIFS('Қўшимча ишга тушган'!$AM:$AM,'Қўшимча ишга тушган'!$D:$D,'свод (сектор вилоят)'!$B$42,'Қўшимча ишга тушган'!$AO:$AO,"&lt;01.10.2023",манзилли!$E:$E,"3")</f>
        <v>0</v>
      </c>
      <c r="AR45" s="28">
        <f>+COUNTIFS(манзилли!$D:$D,'свод (сектор вилоят)'!$B$42,манзилли!$AA:$AA,"&lt;01.02.2021",манзилли!$AB:$AB,"",манзилли!$E:$E,"3")</f>
        <v>0</v>
      </c>
      <c r="AS45" s="29">
        <f>(+SUMIFS(манзилли!$K:$K,манзилли!$D:$D,'свод (сектор вилоят)'!$B$42,манзилли!$AA:$AA,"&lt;01.02.2021",манзилли!$AB:$AB,"",манзилли!$E:$E,"3"))</f>
        <v>0</v>
      </c>
      <c r="AT45" s="29">
        <f>(+SUMIFS(манзилли!$M:$M,манзилли!$D:$D,'свод (сектор вилоят)'!$B$42,манзилли!$AA:$AA,"&lt;01.02.2021",манзилли!$AB:$AB,"",манзилли!$E:$E,"3"))</f>
        <v>0</v>
      </c>
      <c r="AU45" s="29">
        <f>(+SUMIFS(манзилли!$Q:$Q,манзилли!$D:$D,'свод (сектор вилоят)'!$B$42,манзилли!$AA:$AA,"&lt;01.02.2021",манзилли!$AB:$AB,"",манзилли!$E:$E,"3"))</f>
        <v>0</v>
      </c>
      <c r="AV45" s="29">
        <f>(+SUMIFS(манзилли!$S:$S,манзилли!$D:$D,'свод (сектор вилоят)'!$B$42,манзилли!$AA:$AA,"&lt;01.02.2021",манзилли!$AB:$AB,"",манзилли!$E:$E,"3"))</f>
        <v>0</v>
      </c>
      <c r="AW45" s="29">
        <f>(+SUMIFS(манзилли!$U:$U,манзилли!$D:$D,'свод (сектор вилоят)'!$B$42,манзилли!$AA:$AA,"&lt;01.02.2021",манзилли!$AB:$AB,"",манзилли!$E:$E,"3"))</f>
        <v>0</v>
      </c>
      <c r="AX45" s="30">
        <f>+SUMIFS(манзилли!$Y:$Y,манзилли!$D:$D,'свод (сектор вилоят)'!$B$42,манзилли!$AA:$AA,"&lt;01.02.2021",манзилли!$AB:$AB,"",манзилли!$E:$E,"3")</f>
        <v>0</v>
      </c>
      <c r="AY45" s="28">
        <f>+COUNTIFS(манзилли!$D:$D,'свод (сектор вилоят)'!$B$42,манзилли!$AA:$AA,"&lt;01.01.2022",манзилли!$AB:$AB,"",манзилли!$E:$E,"3")</f>
        <v>9</v>
      </c>
      <c r="AZ45" s="29">
        <f>(+SUMIFS(манзилли!$K:$K,манзилли!$D:$D,'свод (сектор вилоят)'!$B$42,манзилли!$AA:$AA,"&lt;01.01.2022",манзилли!$AB:$AB,"",манзилли!$E:$E,"3"))</f>
        <v>293927.10000000003</v>
      </c>
      <c r="BA45" s="29">
        <f>(+SUMIFS(манзилли!$M:$M,манзилли!$D:$D,'свод (сектор вилоят)'!$B$42,манзилли!$AA:$AA,"&lt;01.01.2022",манзилли!$AB:$AB,"",манзилли!$E:$E,"3"))</f>
        <v>132884.5</v>
      </c>
      <c r="BB45" s="29">
        <f>(+SUMIFS(манзилли!$Q:$Q,манзилли!$D:$D,'свод (сектор вилоят)'!$B$42,манзилли!$AA:$AA,"&lt;01.01.2022",манзилли!$AB:$AB,"",манзилли!$E:$E,"3"))</f>
        <v>3020</v>
      </c>
      <c r="BC45" s="29">
        <f>(+SUMIFS(манзилли!$S:$S,манзилли!$D:$D,'свод (сектор вилоят)'!$B$42,манзилли!$AA:$AA,"&lt;01.01.2022",манзилли!$AB:$AB,"",манзилли!$E:$E,"3"))</f>
        <v>10342</v>
      </c>
      <c r="BD45" s="29">
        <f>(+SUMIFS(манзилли!$U:$U,манзилли!$D:$D,'свод (сектор вилоят)'!$B$42,манзилли!$AA:$AA,"&lt;01.01.2022",манзилли!$AB:$AB,"",манзилли!$E:$E,"3"))</f>
        <v>5000</v>
      </c>
      <c r="BE45" s="30">
        <f>+SUMIFS(манзилли!$Y:$Y,манзилли!$D:$D,'свод (сектор вилоят)'!$B$42,манзилли!$AA:$AA,"&lt;01.01.2022",манзилли!$AB:$AB,"",манзилли!$E:$E,"3")</f>
        <v>187</v>
      </c>
      <c r="BF45" s="28">
        <f>+COUNTIFS(манзилли!$D:$D,'свод (сектор вилоят)'!$B$42,манзилли!$AA:$AA,"&lt;01.01.2023",манзилли!$AA:$AA,"&gt;=01.01.2022",манзилли!$E:$E,"3")</f>
        <v>0</v>
      </c>
      <c r="BG45" s="29">
        <f>(+SUMIFS(манзилли!$K:$K,манзилли!$D:$D,'свод (сектор вилоят)'!$B$42,манзилли!$AA:$AA,"&lt;01.01.2023",манзилли!$AA:$AA,"&gt;=01.01.2022",манзилли!$E:$E,"3"))</f>
        <v>0</v>
      </c>
      <c r="BH45" s="29">
        <f>(+SUMIFS(манзилли!$M:$M,манзилли!$D:$D,'свод (сектор вилоят)'!$B$42,манзилли!$AA:$AA,"&lt;01.01.2023",манзилли!$AA:$AA,"&gt;=01.01.2022",манзилли!$E:$E,"3"))</f>
        <v>0</v>
      </c>
      <c r="BI45" s="29">
        <f>(+SUMIFS(манзилли!$Q:$Q,манзилли!$D:$D,'свод (сектор вилоят)'!$B$42,манзилли!$AA:$AA,"&lt;01.01.2023",манзилли!$AA:$AA,"&gt;=01.01.2022",манзилли!$E:$E,"3"))</f>
        <v>0</v>
      </c>
      <c r="BJ45" s="29">
        <f>(+SUMIFS(манзилли!$S:$S,манзилли!$D:$D,'свод (сектор вилоят)'!$B$42,манзилли!$AA:$AA,"&lt;01.01.2023",манзилли!$AA:$AA,"&gt;=01.01.2022",манзилли!$E:$E,"3"))</f>
        <v>0</v>
      </c>
      <c r="BK45" s="29">
        <f>(+SUMIFS(манзилли!$U:$U,манзилли!$D:$D,'свод (сектор вилоят)'!$B$42,манзилли!$AA:$AA,"&lt;01.01.2023",манзилли!$AA:$AA,"&gt;=01.01.2022",манзилли!$E:$E,"3"))</f>
        <v>0</v>
      </c>
      <c r="BL45" s="30">
        <f>+SUMIFS(манзилли!$Y:$Y,манзилли!$D:$D,'свод (сектор вилоят)'!$B$42,манзилли!$AA:$AA,"&lt;01.01.2023",манзилли!$AA:$AA,"&gt;=01.01.2022",манзилли!$E:$E,"3")</f>
        <v>0</v>
      </c>
    </row>
    <row r="46" spans="1:64" s="3" customFormat="1" ht="39.75" customHeight="1" thickBot="1">
      <c r="A46" s="55"/>
      <c r="B46" s="36" t="s">
        <v>1774</v>
      </c>
      <c r="C46" s="37">
        <f>+COUNTIFS(манзилли!$D:$D,'свод (сектор вилоят)'!$B$42,манзилли!$E:$E,"4")</f>
        <v>2</v>
      </c>
      <c r="D46" s="38">
        <f>(+SUMIFS(манзилли!$K:$K,манзилли!$D:$D,'свод (сектор вилоят)'!$B$42,манзилли!$E:$E,"4"))</f>
        <v>92400</v>
      </c>
      <c r="E46" s="38">
        <f>(+SUMIFS(манзилли!$M:$M,манзилли!$D:$D,'свод (сектор вилоят)'!$B$42,манзилли!$E:$E,"4"))</f>
        <v>20100</v>
      </c>
      <c r="F46" s="38">
        <f>(+SUMIFS(манзилли!$Q:$Q,манзилли!$D:$D,'свод (сектор вилоят)'!$B$42,манзилли!$E:$E,"4"))</f>
        <v>200</v>
      </c>
      <c r="G46" s="38">
        <f>(+SUMIFS(манзилли!$S:$S,манзилли!$D:$D,'свод (сектор вилоят)'!$B$42,манзилли!$E:$E,"4"))</f>
        <v>7000</v>
      </c>
      <c r="H46" s="38">
        <f>(+SUMIFS(манзилли!$U:$U,манзилли!$D:$D,'свод (сектор вилоят)'!$B$42,манзилли!$E:$E,"4"))</f>
        <v>0</v>
      </c>
      <c r="I46" s="39">
        <f>+SUMIFS(манзилли!$Y:$Y,манзилли!$D:$D,'свод (сектор вилоят)'!$B$42,манзилли!$E:$E,"4")</f>
        <v>113</v>
      </c>
      <c r="J46" s="37">
        <f>(+COUNTIFS(манзилли!$L:$L,"&gt;0",манзилли!$D:$D,'свод (сектор вилоят)'!$B$42,манзилли!$E:$E,"4")+COUNTIFS('Қўшимча ишга тушган'!$T:$T,"&gt;0",'Қўшимча ишга тушган'!$D:$D,'свод (сектор вилоят)'!$B$42,'Қўшимча ишга тушган'!$E:$E,"4"))</f>
        <v>1</v>
      </c>
      <c r="K46" s="39">
        <f>(+SUMIFS(манзилли!$L:$L,манзилли!$D:$D,'свод (сектор вилоят)'!$B$42,манзилли!$E:$E,"4")+SUMIFS('Қўшимча ишга тушган'!$T:$T,'Қўшимча ишга тушган'!$D:$D,'свод (сектор вилоят)'!$B$42,'Қўшимча ишга тушган'!$E:$E,"4"))</f>
        <v>300</v>
      </c>
      <c r="L46" s="40">
        <f>(+SUMIFS(манзилли!$N:$N,манзилли!$D:$D,'свод (сектор вилоят)'!$B$42,манзилли!$E:$E,"4")+SUMIFS('Қўшимча ишга тушган'!$V:$V,'Қўшимча ишга тушган'!$D:$D,'свод (сектор вилоят)'!$B$42,'Қўшимча ишга тушган'!$E:$E,"4"))</f>
        <v>100</v>
      </c>
      <c r="M46" s="38">
        <f>(+SUMIFS(манзилли!$R:$R,манзилли!$D:$D,'свод (сектор вилоят)'!$B$42,манзилли!$E:$E,"4")+SUMIFS('Қўшимча ишга тушган'!$Z:$Z,'Қўшимча ишга тушган'!$D:$D,'свод (сектор вилоят)'!$B$42,'Қўшимча ишга тушган'!$E:$E,"4"))</f>
        <v>200</v>
      </c>
      <c r="N46" s="38">
        <f>(+SUMIFS(манзилли!$T:$T,манзилли!$D:$D,'свод (сектор вилоят)'!$B$42,манзилли!$E:$E,"4")+SUMIFS('Қўшимча ишга тушган'!$AB:$AB,'Қўшимча ишга тушган'!$D:$D,'свод (сектор вилоят)'!$B$42,'Қўшимча ишга тушган'!$E:$E,"4"))</f>
        <v>0</v>
      </c>
      <c r="O46" s="39">
        <f>(+SUMIFS(манзилли!$V:$V,манзилли!$D:$D,'свод (сектор вилоят)'!$B$42,манзилли!$E:$E,"4")+SUMIFS('Қўшимча ишга тушган'!$AD:$AD,'Қўшимча ишга тушган'!$D:$D,'свод (сектор вилоят)'!$B$42,'Қўшимча ишга тушган'!$E:$E,"4"))</f>
        <v>0</v>
      </c>
      <c r="P46" s="37">
        <f>+COUNTIFS(манзилли!$D:$D,'свод (сектор вилоят)'!$B$42,манзилли!$AA:$AA,"&gt;31.12.2020",манзилли!$AA:$AA,"&lt;01.01.2022",манзилли!$E:$E,"4")</f>
        <v>1</v>
      </c>
      <c r="Q46" s="38">
        <f>(+SUMIFS(манзилли!$K:$K,манзилли!$D:$D,'свод (сектор вилоят)'!$B$42,манзилли!$AA:$AA,"&gt;31.12.2020",манзилли!$AA:$AA,"&lt;01.01.2022",манзилли!$E:$E,"4"))</f>
        <v>92100</v>
      </c>
      <c r="R46" s="38">
        <f>(+SUMIFS(манзилли!$M:$M,манзилли!$D:$D,'свод (сектор вилоят)'!$B$42,манзилли!$AA:$AA,"&gt;31.12.2020",манзилли!$AA:$AA,"&lt;01.01.2022",манзилли!$E:$E,"4"))</f>
        <v>20000</v>
      </c>
      <c r="S46" s="38">
        <f>(+SUMIFS(манзилли!$Q:$Q,манзилли!$D:$D,'свод (сектор вилоят)'!$B$42,манзилли!$AA:$AA,"&gt;31.12.2020",манзилли!$AA:$AA,"&lt;01.01.2022",манзилли!$E:$E,"4"))</f>
        <v>0</v>
      </c>
      <c r="T46" s="38">
        <f>(+SUMIFS(манзилли!$S:$S,манзилли!$D:$D,'свод (сектор вилоят)'!$B$42,манзилли!$AA:$AA,"&gt;31.12.2020",манзилли!$AA:$AA,"&lt;01.01.2022",манзилли!$E:$E,"4"))</f>
        <v>7000</v>
      </c>
      <c r="U46" s="38">
        <f>(+SUMIFS(манзилли!$U:$U,манзилли!$D:$D,'свод (сектор вилоят)'!$B$42,манзилли!$AA:$AA,"&gt;31.12.2020",манзилли!$AA:$AA,"&lt;01.01.2022",манзилли!$E:$E,"4"))</f>
        <v>0</v>
      </c>
      <c r="V46" s="39">
        <f>+SUMIFS(манзилли!$Y:$Y,манзилли!$D:$D,'свод (сектор вилоят)'!$B$42,манзилли!$AA:$AA,"&gt;31.12.2020",манзилли!$AA:$AA,"&lt;01.01.2022",манзилли!$E:$E,"4")</f>
        <v>110</v>
      </c>
      <c r="W46" s="37">
        <f t="shared" si="492"/>
        <v>0</v>
      </c>
      <c r="X46" s="38">
        <f t="shared" si="486"/>
        <v>0</v>
      </c>
      <c r="Y46" s="38">
        <f t="shared" si="487"/>
        <v>0</v>
      </c>
      <c r="Z46" s="38">
        <f t="shared" si="488"/>
        <v>0</v>
      </c>
      <c r="AA46" s="38">
        <f t="shared" si="489"/>
        <v>0</v>
      </c>
      <c r="AB46" s="38">
        <f t="shared" si="490"/>
        <v>0</v>
      </c>
      <c r="AC46" s="39">
        <f t="shared" si="491"/>
        <v>0</v>
      </c>
      <c r="AD46" s="37">
        <f>+COUNTIFS(манзилли!$D:$D,'свод (сектор вилоят)'!$B$42,манзилли!$AB:$AB,"&gt;31.12.2020",манзилли!$AA:$AA,"&gt;31.12.2020",манзилли!$AA:$AA,"&lt;01.01.2022",манзилли!$E:$E,"4")</f>
        <v>0</v>
      </c>
      <c r="AE46" s="38">
        <f>(+SUMIFS(манзилли!$L:$L,манзилли!$D:$D,'свод (сектор вилоят)'!$B$42,манзилли!$AB:$AB,"&gt;31.12.2020",манзилли!$AA:$AA,"&gt;31.12.2020",манзилли!$AA:$AA,"&lt;01.01.2022",манзилли!$E:$E,"4"))</f>
        <v>0</v>
      </c>
      <c r="AF46" s="38">
        <f>(+SUMIFS(манзилли!$N:$N,манзилли!$D:$D,'свод (сектор вилоят)'!$B$42,манзилли!$AB:$AB,"&gt;31.12.2020",манзилли!$AA:$AA,"&gt;31.12.2020",манзилли!$AA:$AA,"&lt;01.01.2022",манзилли!$E:$E,"4"))</f>
        <v>0</v>
      </c>
      <c r="AG46" s="38">
        <f>(+SUMIFS(манзилли!$R:$R,манзилли!$D:$D,'свод (сектор вилоят)'!$B$42,манзилли!$AB:$AB,"&gt;31.12.2020",манзилли!$AA:$AA,"&gt;31.12.2020",манзилли!$AA:$AA,"&lt;01.01.2022",манзилли!$E:$E,"4"))</f>
        <v>0</v>
      </c>
      <c r="AH46" s="38">
        <f>(+SUMIFS(манзилли!$T:$T,манзилли!$D:$D,'свод (сектор вилоят)'!$B$42,манзилли!$AB:$AB,"&gt;31.12.2020",манзилли!$AA:$AA,"&gt;31.12.2020",манзилли!$AA:$AA,"&lt;01.01.2022",манзилли!$E:$E,"4"))</f>
        <v>0</v>
      </c>
      <c r="AI46" s="38">
        <f>(+SUMIFS(манзилли!$V:$V,манзилли!$D:$D,'свод (сектор вилоят)'!$B$42,манзилли!$AB:$AB,"&gt;31.12.2020",манзилли!$AA:$AA,"&gt;31.12.2020",манзилли!$AA:$AA,"&lt;01.01.2022",манзилли!$E:$E,"4"))</f>
        <v>0</v>
      </c>
      <c r="AJ46" s="39">
        <f>+SUMIFS(манзилли!$Z:$Z,манзилли!$D:$D,'свод (сектор вилоят)'!$B$42,манзилли!$AB:$AB,"&gt;31.12.2020",манзилли!$AA:$AA,"&gt;31.12.2020",манзилли!$AA:$AA,"&lt;01.01.2022",манзилли!$E:$E,"4")</f>
        <v>0</v>
      </c>
      <c r="AK46" s="37">
        <f>+COUNTIFS('Қўшимча ишга тушган'!$D:$D,'свод (сектор вилоят)'!B42,'Қўшимча ишга тушган'!$AO:$AO,"&lt;01.10.2023",манзилли!$E:$E,"4")</f>
        <v>0</v>
      </c>
      <c r="AL46" s="38">
        <f>(+SUMIFS('Қўшимча ишга тушган'!$T:$T,'Қўшимча ишга тушган'!$D:$D,'свод (сектор вилоят)'!$B$42,'Қўшимча ишга тушган'!$AO:$AO,"&lt;01.10.2023",манзилли!$E:$E,"4"))</f>
        <v>0</v>
      </c>
      <c r="AM46" s="38">
        <f>(+SUMIFS('Қўшимча ишга тушган'!$V:$V,'Қўшимча ишга тушган'!$D:$D,'свод (сектор вилоят)'!$B$42,'Қўшимча ишга тушган'!$AO:$AO,"&lt;01.10.2023",манзилли!$E:$E,"4"))</f>
        <v>0</v>
      </c>
      <c r="AN46" s="38">
        <f>(+SUMIFS('Қўшимча ишга тушган'!$Z:$Z,'Қўшимча ишга тушган'!$D:$D,'свод (сектор вилоят)'!$B$42,'Қўшимча ишга тушган'!$AO:$AO,"&lt;01.10.2023",манзилли!$E:$E,"4"))</f>
        <v>0</v>
      </c>
      <c r="AO46" s="38">
        <f>(+SUMIFS('Қўшимча ишга тушган'!$AB:$AB,'Қўшимча ишга тушган'!$D:$D,'свод (сектор вилоят)'!$B$42,'Қўшимча ишга тушган'!$AO:$AO,"&lt;01.10.2023",манзилли!$E:$E,"4"))</f>
        <v>0</v>
      </c>
      <c r="AP46" s="38">
        <f>(+SUMIFS('Қўшимча ишга тушган'!$AD:$AD,'Қўшимча ишга тушган'!$D:$D,'свод (сектор вилоят)'!$B$42,'Қўшимча ишга тушган'!$AO:$AO,"&lt;01.10.2023",манзилли!$E:$E,"4"))</f>
        <v>0</v>
      </c>
      <c r="AQ46" s="39">
        <f>+SUMIFS('Қўшимча ишга тушган'!$AM:$AM,'Қўшимча ишга тушган'!$D:$D,'свод (сектор вилоят)'!$B$42,'Қўшимча ишга тушган'!$AO:$AO,"&lt;01.10.2023",манзилли!$E:$E,"4")</f>
        <v>0</v>
      </c>
      <c r="AR46" s="37">
        <f>+COUNTIFS(манзилли!$D:$D,'свод (сектор вилоят)'!$B$42,манзилли!$AA:$AA,"&lt;01.02.2021",манзилли!$AB:$AB,"",манзилли!$E:$E,"4")</f>
        <v>0</v>
      </c>
      <c r="AS46" s="38">
        <f>(+SUMIFS(манзилли!$K:$K,манзилли!$D:$D,'свод (сектор вилоят)'!$B$42,манзилли!$AA:$AA,"&lt;01.02.2021",манзилли!$AB:$AB,"",манзилли!$E:$E,"4"))</f>
        <v>0</v>
      </c>
      <c r="AT46" s="38">
        <f>(+SUMIFS(манзилли!$M:$M,манзилли!$D:$D,'свод (сектор вилоят)'!$B$42,манзилли!$AA:$AA,"&lt;01.02.2021",манзилли!$AB:$AB,"",манзилли!$E:$E,"4"))</f>
        <v>0</v>
      </c>
      <c r="AU46" s="38">
        <f>(+SUMIFS(манзилли!$Q:$Q,манзилли!$D:$D,'свод (сектор вилоят)'!$B$42,манзилли!$AA:$AA,"&lt;01.02.2021",манзилли!$AB:$AB,"",манзилли!$E:$E,"4"))</f>
        <v>0</v>
      </c>
      <c r="AV46" s="38">
        <f>(+SUMIFS(манзилли!$S:$S,манзилли!$D:$D,'свод (сектор вилоят)'!$B$42,манзилли!$AA:$AA,"&lt;01.02.2021",манзилли!$AB:$AB,"",манзилли!$E:$E,"4"))</f>
        <v>0</v>
      </c>
      <c r="AW46" s="38">
        <f>(+SUMIFS(манзилли!$U:$U,манзилли!$D:$D,'свод (сектор вилоят)'!$B$42,манзилли!$AA:$AA,"&lt;01.02.2021",манзилли!$AB:$AB,"",манзилли!$E:$E,"4"))</f>
        <v>0</v>
      </c>
      <c r="AX46" s="39">
        <f>+SUMIFS(манзилли!$Y:$Y,манзилли!$D:$D,'свод (сектор вилоят)'!$B$42,манзилли!$AA:$AA,"&lt;01.02.2021",манзилли!$AB:$AB,"",манзилли!$E:$E,"4")</f>
        <v>0</v>
      </c>
      <c r="AY46" s="37">
        <f>+COUNTIFS(манзилли!$D:$D,'свод (сектор вилоят)'!$B$42,манзилли!$AA:$AA,"&lt;01.01.2022",манзилли!$AB:$AB,"",манзилли!$E:$E,"4")</f>
        <v>1</v>
      </c>
      <c r="AZ46" s="38">
        <f>(+SUMIFS(манзилли!$K:$K,манзилли!$D:$D,'свод (сектор вилоят)'!$B$42,манзилли!$AA:$AA,"&lt;01.01.2022",манзилли!$AB:$AB,"",манзилли!$E:$E,"4"))</f>
        <v>92100</v>
      </c>
      <c r="BA46" s="38">
        <f>(+SUMIFS(манзилли!$M:$M,манзилли!$D:$D,'свод (сектор вилоят)'!$B$42,манзилли!$AA:$AA,"&lt;01.01.2022",манзилли!$AB:$AB,"",манзилли!$E:$E,"4"))</f>
        <v>20000</v>
      </c>
      <c r="BB46" s="38">
        <f>(+SUMIFS(манзилли!$Q:$Q,манзилли!$D:$D,'свод (сектор вилоят)'!$B$42,манзилли!$AA:$AA,"&lt;01.01.2022",манзилли!$AB:$AB,"",манзилли!$E:$E,"4"))</f>
        <v>0</v>
      </c>
      <c r="BC46" s="38">
        <f>(+SUMIFS(манзилли!$S:$S,манзилли!$D:$D,'свод (сектор вилоят)'!$B$42,манзилли!$AA:$AA,"&lt;01.01.2022",манзилли!$AB:$AB,"",манзилли!$E:$E,"4"))</f>
        <v>7000</v>
      </c>
      <c r="BD46" s="38">
        <f>(+SUMIFS(манзилли!$U:$U,манзилли!$D:$D,'свод (сектор вилоят)'!$B$42,манзилли!$AA:$AA,"&lt;01.01.2022",манзилли!$AB:$AB,"",манзилли!$E:$E,"4"))</f>
        <v>0</v>
      </c>
      <c r="BE46" s="39">
        <f>+SUMIFS(манзилли!$Y:$Y,манзилли!$D:$D,'свод (сектор вилоят)'!$B$42,манзилли!$AA:$AA,"&lt;01.01.2022",манзилли!$AB:$AB,"",манзилли!$E:$E,"4")</f>
        <v>110</v>
      </c>
      <c r="BF46" s="37">
        <f>+COUNTIFS(манзилли!$D:$D,'свод (сектор вилоят)'!$B$42,манзилли!$AA:$AA,"&lt;01.01.2023",манзилли!$AA:$AA,"&gt;=01.01.2022",манзилли!$E:$E,"4")</f>
        <v>0</v>
      </c>
      <c r="BG46" s="38">
        <f>(+SUMIFS(манзилли!$K:$K,манзилли!$D:$D,'свод (сектор вилоят)'!$B$42,манзилли!$AA:$AA,"&lt;01.01.2023",манзилли!$AA:$AA,"&gt;=01.01.2022",манзилли!$E:$E,"4"))</f>
        <v>0</v>
      </c>
      <c r="BH46" s="38">
        <f>(+SUMIFS(манзилли!$M:$M,манзилли!$D:$D,'свод (сектор вилоят)'!$B$42,манзилли!$AA:$AA,"&lt;01.01.2023",манзилли!$AA:$AA,"&gt;=01.01.2022",манзилли!$E:$E,"4"))</f>
        <v>0</v>
      </c>
      <c r="BI46" s="38">
        <f>(+SUMIFS(манзилли!$Q:$Q,манзилли!$D:$D,'свод (сектор вилоят)'!$B$42,манзилли!$AA:$AA,"&lt;01.01.2023",манзилли!$AA:$AA,"&gt;=01.01.2022",манзилли!$E:$E,"4"))</f>
        <v>0</v>
      </c>
      <c r="BJ46" s="38">
        <f>(+SUMIFS(манзилли!$S:$S,манзилли!$D:$D,'свод (сектор вилоят)'!$B$42,манзилли!$AA:$AA,"&lt;01.01.2023",манзилли!$AA:$AA,"&gt;=01.01.2022",манзилли!$E:$E,"4"))</f>
        <v>0</v>
      </c>
      <c r="BK46" s="38">
        <f>(+SUMIFS(манзилли!$U:$U,манзилли!$D:$D,'свод (сектор вилоят)'!$B$42,манзилли!$AA:$AA,"&lt;01.01.2023",манзилли!$AA:$AA,"&gt;=01.01.2022",манзилли!$E:$E,"4"))</f>
        <v>0</v>
      </c>
      <c r="BL46" s="39">
        <f>+SUMIFS(манзилли!$Y:$Y,манзилли!$D:$D,'свод (сектор вилоят)'!$B$42,манзилли!$AA:$AA,"&lt;01.01.2023",манзилли!$AA:$AA,"&gt;=01.01.2022",манзилли!$E:$E,"4")</f>
        <v>0</v>
      </c>
    </row>
    <row r="47" spans="1:64" s="3" customFormat="1" ht="39.75" customHeight="1" thickBot="1">
      <c r="A47" s="53">
        <v>9</v>
      </c>
      <c r="B47" s="54" t="s">
        <v>286</v>
      </c>
      <c r="C47" s="41">
        <f>+SUM(C48:C51)</f>
        <v>91</v>
      </c>
      <c r="D47" s="41">
        <f t="shared" ref="D47" si="493">+SUM(D48:D51)</f>
        <v>299126</v>
      </c>
      <c r="E47" s="41">
        <f t="shared" ref="E47" si="494">+SUM(E48:E51)</f>
        <v>113890</v>
      </c>
      <c r="F47" s="41">
        <f t="shared" ref="F47" si="495">+SUM(F48:F51)</f>
        <v>82030</v>
      </c>
      <c r="G47" s="41">
        <f t="shared" ref="G47" si="496">+SUM(G48:G51)</f>
        <v>10020</v>
      </c>
      <c r="H47" s="41">
        <f t="shared" ref="H47" si="497">+SUM(H48:H51)</f>
        <v>0</v>
      </c>
      <c r="I47" s="41">
        <f t="shared" ref="I47" si="498">+SUM(I48:I51)</f>
        <v>765</v>
      </c>
      <c r="J47" s="41">
        <f t="shared" ref="J47" si="499">+SUM(J48:J51)</f>
        <v>45</v>
      </c>
      <c r="K47" s="41">
        <f t="shared" ref="K47" si="500">+SUM(K48:K51)</f>
        <v>51819.7</v>
      </c>
      <c r="L47" s="41">
        <f t="shared" ref="L47" si="501">+SUM(L48:L51)</f>
        <v>7390</v>
      </c>
      <c r="M47" s="41">
        <f t="shared" ref="M47" si="502">+SUM(M48:M51)</f>
        <v>18286</v>
      </c>
      <c r="N47" s="41">
        <f t="shared" ref="N47" si="503">+SUM(N48:N51)</f>
        <v>2561.5</v>
      </c>
      <c r="O47" s="41">
        <f t="shared" ref="O47" si="504">+SUM(O48:O51)</f>
        <v>0</v>
      </c>
      <c r="P47" s="41">
        <f t="shared" ref="P47" si="505">+SUM(P48:P51)</f>
        <v>59</v>
      </c>
      <c r="Q47" s="41">
        <f t="shared" ref="Q47" si="506">+SUM(Q48:Q51)</f>
        <v>136861</v>
      </c>
      <c r="R47" s="41">
        <f t="shared" ref="R47" si="507">+SUM(R48:R51)</f>
        <v>56160</v>
      </c>
      <c r="S47" s="41">
        <f t="shared" ref="S47" si="508">+SUM(S48:S51)</f>
        <v>42900</v>
      </c>
      <c r="T47" s="41">
        <f t="shared" ref="T47" si="509">+SUM(T48:T51)</f>
        <v>3670</v>
      </c>
      <c r="U47" s="41">
        <f t="shared" ref="U47" si="510">+SUM(U48:U51)</f>
        <v>0</v>
      </c>
      <c r="V47" s="41">
        <f t="shared" ref="V47" si="511">+SUM(V48:V51)</f>
        <v>467</v>
      </c>
      <c r="W47" s="41">
        <f t="shared" ref="W47" si="512">+SUM(W48:W51)</f>
        <v>0</v>
      </c>
      <c r="X47" s="41">
        <f t="shared" ref="X47" si="513">+SUM(X48:X51)</f>
        <v>0</v>
      </c>
      <c r="Y47" s="41">
        <f t="shared" ref="Y47" si="514">+SUM(Y48:Y51)</f>
        <v>0</v>
      </c>
      <c r="Z47" s="41">
        <f t="shared" ref="Z47" si="515">+SUM(Z48:Z51)</f>
        <v>0</v>
      </c>
      <c r="AA47" s="41">
        <f t="shared" ref="AA47" si="516">+SUM(AA48:AA51)</f>
        <v>0</v>
      </c>
      <c r="AB47" s="41">
        <f t="shared" ref="AB47" si="517">+SUM(AB48:AB51)</f>
        <v>0</v>
      </c>
      <c r="AC47" s="41">
        <f t="shared" ref="AC47" si="518">+SUM(AC48:AC51)</f>
        <v>0</v>
      </c>
      <c r="AD47" s="41">
        <f t="shared" ref="AD47" si="519">+SUM(AD48:AD51)</f>
        <v>0</v>
      </c>
      <c r="AE47" s="41">
        <f t="shared" ref="AE47" si="520">+SUM(AE48:AE51)</f>
        <v>0</v>
      </c>
      <c r="AF47" s="41">
        <f t="shared" ref="AF47" si="521">+SUM(AF48:AF51)</f>
        <v>0</v>
      </c>
      <c r="AG47" s="41">
        <f t="shared" ref="AG47" si="522">+SUM(AG48:AG51)</f>
        <v>0</v>
      </c>
      <c r="AH47" s="41">
        <f t="shared" ref="AH47" si="523">+SUM(AH48:AH51)</f>
        <v>0</v>
      </c>
      <c r="AI47" s="41">
        <f t="shared" ref="AI47" si="524">+SUM(AI48:AI51)</f>
        <v>0</v>
      </c>
      <c r="AJ47" s="41">
        <f t="shared" ref="AJ47" si="525">+SUM(AJ48:AJ51)</f>
        <v>0</v>
      </c>
      <c r="AK47" s="41">
        <f t="shared" ref="AK47" si="526">+SUM(AK48:AK51)</f>
        <v>0</v>
      </c>
      <c r="AL47" s="41">
        <f t="shared" ref="AL47" si="527">+SUM(AL48:AL51)</f>
        <v>0</v>
      </c>
      <c r="AM47" s="41">
        <f t="shared" ref="AM47" si="528">+SUM(AM48:AM51)</f>
        <v>0</v>
      </c>
      <c r="AN47" s="41">
        <f t="shared" ref="AN47" si="529">+SUM(AN48:AN51)</f>
        <v>0</v>
      </c>
      <c r="AO47" s="41">
        <f t="shared" ref="AO47" si="530">+SUM(AO48:AO51)</f>
        <v>0</v>
      </c>
      <c r="AP47" s="41">
        <f t="shared" ref="AP47" si="531">+SUM(AP48:AP51)</f>
        <v>0</v>
      </c>
      <c r="AQ47" s="41">
        <f t="shared" ref="AQ47" si="532">+SUM(AQ48:AQ51)</f>
        <v>0</v>
      </c>
      <c r="AR47" s="41">
        <f t="shared" ref="AR47" si="533">+SUM(AR48:AR51)</f>
        <v>0</v>
      </c>
      <c r="AS47" s="41">
        <f t="shared" ref="AS47" si="534">+SUM(AS48:AS51)</f>
        <v>0</v>
      </c>
      <c r="AT47" s="41">
        <f t="shared" ref="AT47" si="535">+SUM(AT48:AT51)</f>
        <v>0</v>
      </c>
      <c r="AU47" s="41">
        <f t="shared" ref="AU47" si="536">+SUM(AU48:AU51)</f>
        <v>0</v>
      </c>
      <c r="AV47" s="41">
        <f t="shared" ref="AV47" si="537">+SUM(AV48:AV51)</f>
        <v>0</v>
      </c>
      <c r="AW47" s="41">
        <f t="shared" ref="AW47" si="538">+SUM(AW48:AW51)</f>
        <v>0</v>
      </c>
      <c r="AX47" s="41">
        <f t="shared" ref="AX47" si="539">+SUM(AX48:AX51)</f>
        <v>0</v>
      </c>
      <c r="AY47" s="41">
        <f t="shared" ref="AY47" si="540">+SUM(AY48:AY51)</f>
        <v>52</v>
      </c>
      <c r="AZ47" s="41">
        <f t="shared" ref="AZ47" si="541">+SUM(AZ48:AZ51)</f>
        <v>129061</v>
      </c>
      <c r="BA47" s="41">
        <f t="shared" ref="BA47" si="542">+SUM(BA48:BA51)</f>
        <v>53960</v>
      </c>
      <c r="BB47" s="41">
        <f t="shared" ref="BB47" si="543">+SUM(BB48:BB51)</f>
        <v>37300</v>
      </c>
      <c r="BC47" s="41">
        <f t="shared" ref="BC47" si="544">+SUM(BC48:BC51)</f>
        <v>3670</v>
      </c>
      <c r="BD47" s="41">
        <f t="shared" ref="BD47" si="545">+SUM(BD48:BD51)</f>
        <v>0</v>
      </c>
      <c r="BE47" s="41">
        <f t="shared" ref="BE47" si="546">+SUM(BE48:BE51)</f>
        <v>436</v>
      </c>
      <c r="BF47" s="41">
        <f t="shared" ref="BF47" si="547">+SUM(BF48:BF51)</f>
        <v>15</v>
      </c>
      <c r="BG47" s="41">
        <f t="shared" ref="BG47" si="548">+SUM(BG48:BG51)</f>
        <v>149215</v>
      </c>
      <c r="BH47" s="41">
        <f t="shared" ref="BH47" si="549">+SUM(BH48:BH51)</f>
        <v>52560</v>
      </c>
      <c r="BI47" s="41">
        <f t="shared" ref="BI47" si="550">+SUM(BI48:BI51)</f>
        <v>31250</v>
      </c>
      <c r="BJ47" s="41">
        <f t="shared" ref="BJ47" si="551">+SUM(BJ48:BJ51)</f>
        <v>6350</v>
      </c>
      <c r="BK47" s="41">
        <f t="shared" ref="BK47" si="552">+SUM(BK48:BK51)</f>
        <v>0</v>
      </c>
      <c r="BL47" s="43">
        <f t="shared" ref="BL47" si="553">+SUM(BL48:BL51)</f>
        <v>221</v>
      </c>
    </row>
    <row r="48" spans="1:64" s="3" customFormat="1" ht="39.75" customHeight="1">
      <c r="A48" s="52"/>
      <c r="B48" s="50" t="s">
        <v>1771</v>
      </c>
      <c r="C48" s="46">
        <f>+COUNTIFS(манзилли!$D:$D,'свод (сектор вилоят)'!$B$47,манзилли!$E:$E,"1")</f>
        <v>33</v>
      </c>
      <c r="D48" s="47">
        <f>(+SUMIFS(манзилли!$K:$K,манзилли!$D:$D,'свод (сектор вилоят)'!$B$47,манзилли!$E:$E,"1"))</f>
        <v>118968</v>
      </c>
      <c r="E48" s="47">
        <f>(+SUMIFS(манзилли!$M:$M,манзилли!$D:$D,'свод (сектор вилоят)'!$B$47,манзилли!$E:$E,"1"))</f>
        <v>39300</v>
      </c>
      <c r="F48" s="47">
        <f>(+SUMIFS(манзилли!$Q:$Q,манзилли!$D:$D,'свод (сектор вилоят)'!$B$47,манзилли!$E:$E,"1"))</f>
        <v>53300</v>
      </c>
      <c r="G48" s="47">
        <f>(+SUMIFS(манзилли!$S:$S,манзилли!$D:$D,'свод (сектор вилоят)'!$B$47,манзилли!$E:$E,"1"))</f>
        <v>2560</v>
      </c>
      <c r="H48" s="47">
        <f>(+SUMIFS(манзилли!$U:$U,манзилли!$D:$D,'свод (сектор вилоят)'!$B$47,манзилли!$E:$E,"1"))</f>
        <v>0</v>
      </c>
      <c r="I48" s="48">
        <f>+SUMIFS(манзилли!$Y:$Y,манзилли!$D:$D,'свод (сектор вилоят)'!$B$47,манзилли!$E:$E,"1")</f>
        <v>266</v>
      </c>
      <c r="J48" s="46">
        <f>(+COUNTIFS(манзилли!$L:$L,"&gt;0",манзилли!$D:$D,'свод (сектор вилоят)'!$B$47,манзилли!$E:$E,"1")+COUNTIFS('Қўшимча ишга тушган'!$T:$T,"&gt;0",'Қўшимча ишга тушган'!$D:$D,'свод (сектор вилоят)'!$B$47,'Қўшимча ишга тушган'!$E:$E,"1"))</f>
        <v>17</v>
      </c>
      <c r="K48" s="48">
        <f>(+SUMIFS(манзилли!$L:$L,манзилли!$D:$D,'свод (сектор вилоят)'!$B$47,манзилли!$E:$E,"1")+SUMIFS('Қўшимча ишга тушган'!$T:$T,'Қўшимча ишга тушган'!$D:$D,'свод (сектор вилоят)'!$B$47,'Қўшимча ишга тушган'!$E:$E,"1"))</f>
        <v>26401.8</v>
      </c>
      <c r="L48" s="49">
        <f>(+SUMIFS(манзилли!$N:$N,манзилли!$D:$D,'свод (сектор вилоят)'!$B$47,манзилли!$E:$E,"1")+SUMIFS('Қўшимча ишга тушган'!$V:$V,'Қўшимча ишга тушган'!$D:$D,'свод (сектор вилоят)'!$B$47,'Қўшимча ишга тушган'!$E:$E,"1"))</f>
        <v>3620</v>
      </c>
      <c r="M48" s="47">
        <f>(+SUMIFS(манзилли!$R:$R,манзилли!$D:$D,'свод (сектор вилоят)'!$B$47,манзилли!$E:$E,"1")+SUMIFS('Қўшимча ишга тушган'!$Z:$Z,'Қўшимча ишга тушган'!$D:$D,'свод (сектор вилоят)'!$B$47,'Қўшимча ишга тушган'!$E:$E,"1"))</f>
        <v>8159</v>
      </c>
      <c r="N48" s="47">
        <f>(+SUMIFS(манзилли!$T:$T,манзилли!$D:$D,'свод (сектор вилоят)'!$B$47,манзилли!$E:$E,"1")+SUMIFS('Қўшимча ишга тушган'!$AB:$AB,'Қўшимча ишга тушган'!$D:$D,'свод (сектор вилоят)'!$B$47,'Қўшимча ишга тушган'!$E:$E,"1"))</f>
        <v>1432</v>
      </c>
      <c r="O48" s="48">
        <f>(+SUMIFS(манзилли!$V:$V,манзилли!$D:$D,'свод (сектор вилоят)'!$B$47,манзилли!$E:$E,"1")+SUMIFS('Қўшимча ишга тушган'!$AD:$AD,'Қўшимча ишга тушган'!$D:$D,'свод (сектор вилоят)'!$B$47,'Қўшимча ишга тушган'!$E:$E,"1"))</f>
        <v>0</v>
      </c>
      <c r="P48" s="46">
        <f>+COUNTIFS(манзилли!$D:$D,'свод (сектор вилоят)'!$B$47,манзилли!$AA:$AA,"&gt;31.12.2020",манзилли!$AA:$AA,"&lt;01.01.2022",манзилли!$E:$E,"1")</f>
        <v>21</v>
      </c>
      <c r="Q48" s="47">
        <f>(+SUMIFS(манзилли!$K:$K,манзилли!$D:$D,'свод (сектор вилоят)'!$B$47,манзилли!$AA:$AA,"&gt;31.12.2020",манзилли!$AA:$AA,"&lt;01.01.2022",манзилли!$E:$E,"1"))</f>
        <v>60288</v>
      </c>
      <c r="R48" s="47">
        <f>(+SUMIFS(манзилли!$M:$M,манзилли!$D:$D,'свод (сектор вилоят)'!$B$47,манзилли!$AA:$AA,"&gt;31.12.2020",манзилли!$AA:$AA,"&lt;01.01.2022",манзилли!$E:$E,"1"))</f>
        <v>11300</v>
      </c>
      <c r="S48" s="47">
        <f>(+SUMIFS(манзилли!$Q:$Q,манзилли!$D:$D,'свод (сектор вилоят)'!$B$47,манзилли!$AA:$AA,"&gt;31.12.2020",манзилли!$AA:$AA,"&lt;01.01.2022",манзилли!$E:$E,"1"))</f>
        <v>23650</v>
      </c>
      <c r="T48" s="47">
        <f>(+SUMIFS(манзилли!$S:$S,манзилли!$D:$D,'свод (сектор вилоят)'!$B$47,манзилли!$AA:$AA,"&gt;31.12.2020",манзилли!$AA:$AA,"&lt;01.01.2022",манзилли!$E:$E,"1"))</f>
        <v>2460</v>
      </c>
      <c r="U48" s="47">
        <f>(+SUMIFS(манзилли!$U:$U,манзилли!$D:$D,'свод (сектор вилоят)'!$B$47,манзилли!$AA:$AA,"&gt;31.12.2020",манзилли!$AA:$AA,"&lt;01.01.2022",манзилли!$E:$E,"1"))</f>
        <v>0</v>
      </c>
      <c r="V48" s="48">
        <f>+SUMIFS(манзилли!$Y:$Y,манзилли!$D:$D,'свод (сектор вилоят)'!$B$47,манзилли!$AA:$AA,"&gt;31.12.2020",манзилли!$AA:$AA,"&lt;01.01.2022",манзилли!$E:$E,"1")</f>
        <v>144</v>
      </c>
      <c r="W48" s="46">
        <f>+AD48+AK48</f>
        <v>0</v>
      </c>
      <c r="X48" s="47">
        <f t="shared" ref="X48:X51" si="554">+AE48+AL48</f>
        <v>0</v>
      </c>
      <c r="Y48" s="47">
        <f t="shared" ref="Y48:Y51" si="555">+AF48+AM48</f>
        <v>0</v>
      </c>
      <c r="Z48" s="47">
        <f t="shared" ref="Z48:Z51" si="556">+AG48+AN48</f>
        <v>0</v>
      </c>
      <c r="AA48" s="47">
        <f t="shared" ref="AA48:AA51" si="557">+AH48+AO48</f>
        <v>0</v>
      </c>
      <c r="AB48" s="47">
        <f t="shared" ref="AB48:AB51" si="558">+AI48+AP48</f>
        <v>0</v>
      </c>
      <c r="AC48" s="48">
        <f t="shared" ref="AC48:AC51" si="559">+AJ48+AQ48</f>
        <v>0</v>
      </c>
      <c r="AD48" s="46">
        <f>+COUNTIFS(манзилли!$D:$D,'свод (сектор вилоят)'!$B$47,манзилли!$AB:$AB,"&gt;31.12.2020",манзилли!$AA:$AA,"&gt;31.12.2020",манзилли!$AA:$AA,"&lt;01.01.2022",манзилли!$E:$E,"1")</f>
        <v>0</v>
      </c>
      <c r="AE48" s="47">
        <f>(+SUMIFS(манзилли!$L:$L,манзилли!$D:$D,'свод (сектор вилоят)'!$B$47,манзилли!$AB:$AB,"&gt;31.12.2020",манзилли!$AA:$AA,"&gt;31.12.2020",манзилли!$AA:$AA,"&lt;01.01.2022",манзилли!$E:$E,"1"))</f>
        <v>0</v>
      </c>
      <c r="AF48" s="47">
        <f>(+SUMIFS(манзилли!$N:$N,манзилли!$D:$D,'свод (сектор вилоят)'!$B$47,манзилли!$AB:$AB,"&gt;31.12.2020",манзилли!$AA:$AA,"&gt;31.12.2020",манзилли!$AA:$AA,"&lt;01.01.2022",манзилли!$E:$E,"1"))</f>
        <v>0</v>
      </c>
      <c r="AG48" s="47">
        <f>(+SUMIFS(манзилли!$R:$R,манзилли!$D:$D,'свод (сектор вилоят)'!$B$47,манзилли!$AB:$AB,"&gt;31.12.2020",манзилли!$AA:$AA,"&gt;31.12.2020",манзилли!$AA:$AA,"&lt;01.01.2022",манзилли!$E:$E,"1"))</f>
        <v>0</v>
      </c>
      <c r="AH48" s="47">
        <f>(+SUMIFS(манзилли!$T:$T,манзилли!$D:$D,'свод (сектор вилоят)'!$B$47,манзилли!$AB:$AB,"&gt;31.12.2020",манзилли!$AA:$AA,"&gt;31.12.2020",манзилли!$AA:$AA,"&lt;01.01.2022",манзилли!$E:$E,"1"))</f>
        <v>0</v>
      </c>
      <c r="AI48" s="47">
        <f>(+SUMIFS(манзилли!$V:$V,манзилли!$D:$D,'свод (сектор вилоят)'!$B$47,манзилли!$AB:$AB,"&gt;31.12.2020",манзилли!$AA:$AA,"&gt;31.12.2020",манзилли!$AA:$AA,"&lt;01.01.2022",манзилли!$E:$E,"1"))</f>
        <v>0</v>
      </c>
      <c r="AJ48" s="48">
        <f>+SUMIFS(манзилли!$Z:$Z,манзилли!$D:$D,'свод (сектор вилоят)'!$B$47,манзилли!$AB:$AB,"&gt;31.12.2020",манзилли!$AA:$AA,"&gt;31.12.2020",манзилли!$AA:$AA,"&lt;01.01.2022",манзилли!$E:$E,"1")</f>
        <v>0</v>
      </c>
      <c r="AK48" s="46">
        <f>+COUNTIFS('Қўшимча ишга тушган'!$D:$D,'свод (сектор вилоят)'!B47,'Қўшимча ишга тушган'!$AO:$AO,"&lt;01.10.2023",манзилли!$E:$E,"1")</f>
        <v>0</v>
      </c>
      <c r="AL48" s="47">
        <f>(+SUMIFS('Қўшимча ишга тушган'!$T:$T,'Қўшимча ишга тушган'!$D:$D,'свод (сектор вилоят)'!$B$47,'Қўшимча ишга тушган'!$AO:$AO,"&lt;01.10.2023",манзилли!$E:$E,"1"))</f>
        <v>0</v>
      </c>
      <c r="AM48" s="47">
        <f>(+SUMIFS('Қўшимча ишга тушган'!$V:$V,'Қўшимча ишга тушган'!$D:$D,'свод (сектор вилоят)'!$B$47,'Қўшимча ишга тушган'!$AO:$AO,"&lt;01.10.2023",манзилли!$E:$E,"1"))</f>
        <v>0</v>
      </c>
      <c r="AN48" s="47">
        <f>(+SUMIFS('Қўшимча ишга тушган'!$Z:$Z,'Қўшимча ишга тушган'!$D:$D,'свод (сектор вилоят)'!$B$47,'Қўшимча ишга тушган'!$AO:$AO,"&lt;01.10.2023",манзилли!$E:$E,"1"))</f>
        <v>0</v>
      </c>
      <c r="AO48" s="47">
        <f>(+SUMIFS('Қўшимча ишга тушган'!$AB:$AB,'Қўшимча ишга тушган'!$D:$D,'свод (сектор вилоят)'!$B$47,'Қўшимча ишга тушган'!$AO:$AO,"&lt;01.10.2023",манзилли!$E:$E,"1"))</f>
        <v>0</v>
      </c>
      <c r="AP48" s="47">
        <f>(+SUMIFS('Қўшимча ишга тушган'!$AD:$AD,'Қўшимча ишга тушган'!$D:$D,'свод (сектор вилоят)'!$B$47,'Қўшимча ишга тушган'!$AO:$AO,"&lt;01.10.2023",манзилли!$E:$E,"1"))</f>
        <v>0</v>
      </c>
      <c r="AQ48" s="48">
        <f>+SUMIFS('Қўшимча ишга тушган'!$AM:$AM,'Қўшимча ишга тушган'!$D:$D,'свод (сектор вилоят)'!$B$47,'Қўшимча ишга тушган'!$AO:$AO,"&lt;01.10.2023",манзилли!$E:$E,"1")</f>
        <v>0</v>
      </c>
      <c r="AR48" s="46">
        <f>+COUNTIFS(манзилли!$D:$D,'свод (сектор вилоят)'!$B$47,манзилли!$AA:$AA,"&lt;01.02.2021",манзилли!$AB:$AB,"",манзилли!$E:$E,"1")</f>
        <v>0</v>
      </c>
      <c r="AS48" s="47">
        <f>(+SUMIFS(манзилли!$K:$K,манзилли!$D:$D,'свод (сектор вилоят)'!$B$47,манзилли!$AA:$AA,"&lt;01.02.2021",манзилли!$AB:$AB,"",манзилли!$E:$E,"1"))</f>
        <v>0</v>
      </c>
      <c r="AT48" s="47">
        <f>(+SUMIFS(манзилли!$M:$M,манзилли!$D:$D,'свод (сектор вилоят)'!$B$47,манзилли!$AA:$AA,"&lt;01.02.2021",манзилли!$AB:$AB,"",манзилли!$E:$E,"1"))</f>
        <v>0</v>
      </c>
      <c r="AU48" s="47">
        <f>(+SUMIFS(манзилли!$Q:$Q,манзилли!$D:$D,'свод (сектор вилоят)'!$B$47,манзилли!$AA:$AA,"&lt;01.02.2021",манзилли!$AB:$AB,"",манзилли!$E:$E,"1"))</f>
        <v>0</v>
      </c>
      <c r="AV48" s="47">
        <f>(+SUMIFS(манзилли!$S:$S,манзилли!$D:$D,'свод (сектор вилоят)'!$B$47,манзилли!$AA:$AA,"&lt;01.02.2021",манзилли!$AB:$AB,"",манзилли!$E:$E,"1"))</f>
        <v>0</v>
      </c>
      <c r="AW48" s="47">
        <f>(+SUMIFS(манзилли!$U:$U,манзилли!$D:$D,'свод (сектор вилоят)'!$B$47,манзилли!$AA:$AA,"&lt;01.02.2021",манзилли!$AB:$AB,"",манзилли!$E:$E,"1"))</f>
        <v>0</v>
      </c>
      <c r="AX48" s="48">
        <f>+SUMIFS(манзилли!$Y:$Y,манзилли!$D:$D,'свод (сектор вилоят)'!$B$47,манзилли!$AA:$AA,"&lt;01.02.2021",манзилли!$AB:$AB,"",манзилли!$E:$E,"1")</f>
        <v>0</v>
      </c>
      <c r="AY48" s="46">
        <f>+COUNTIFS(манзилли!$D:$D,'свод (сектор вилоят)'!$B$47,манзилли!$AA:$AA,"&lt;01.01.2022",манзилли!$AB:$AB,"",манзилли!$E:$E,"1")</f>
        <v>16</v>
      </c>
      <c r="AZ48" s="47">
        <f>(+SUMIFS(манзилли!$K:$K,манзилли!$D:$D,'свод (сектор вилоят)'!$B$47,манзилли!$AA:$AA,"&lt;01.01.2022",манзилли!$AB:$AB,"",манзилли!$E:$E,"1"))</f>
        <v>53588</v>
      </c>
      <c r="BA48" s="47">
        <f>(+SUMIFS(манзилли!$M:$M,манзилли!$D:$D,'свод (сектор вилоят)'!$B$47,манзилли!$AA:$AA,"&lt;01.01.2022",манзилли!$AB:$AB,"",манзилли!$E:$E,"1"))</f>
        <v>9500</v>
      </c>
      <c r="BB48" s="47">
        <f>(+SUMIFS(манзилли!$Q:$Q,манзилли!$D:$D,'свод (сектор вилоят)'!$B$47,манзилли!$AA:$AA,"&lt;01.01.2022",манзилли!$AB:$AB,"",манзилли!$E:$E,"1"))</f>
        <v>18750</v>
      </c>
      <c r="BC48" s="47">
        <f>(+SUMIFS(манзилли!$S:$S,манзилли!$D:$D,'свод (сектор вилоят)'!$B$47,манзилли!$AA:$AA,"&lt;01.01.2022",манзилли!$AB:$AB,"",манзилли!$E:$E,"1"))</f>
        <v>2460</v>
      </c>
      <c r="BD48" s="47">
        <f>(+SUMIFS(манзилли!$U:$U,манзилли!$D:$D,'свод (сектор вилоят)'!$B$47,манзилли!$AA:$AA,"&lt;01.01.2022",манзилли!$AB:$AB,"",манзилли!$E:$E,"1"))</f>
        <v>0</v>
      </c>
      <c r="BE48" s="48">
        <f>+SUMIFS(манзилли!$Y:$Y,манзилли!$D:$D,'свод (сектор вилоят)'!$B$47,манзилли!$AA:$AA,"&lt;01.01.2022",манзилли!$AB:$AB,"",манзилли!$E:$E,"1")</f>
        <v>120</v>
      </c>
      <c r="BF48" s="46">
        <f>+COUNTIFS(манзилли!$D:$D,'свод (сектор вилоят)'!$B$47,манзилли!$AA:$AA,"&lt;01.01.2023",манзилли!$AA:$AA,"&gt;=01.01.2022",манзилли!$E:$E,"1")</f>
        <v>6</v>
      </c>
      <c r="BG48" s="47">
        <f>(+SUMIFS(манзилли!$K:$K,манзилли!$D:$D,'свод (сектор вилоят)'!$B$47,манзилли!$AA:$AA,"&lt;01.01.2023",манзилли!$AA:$AA,"&gt;=01.01.2022",манзилли!$E:$E,"1"))</f>
        <v>54380</v>
      </c>
      <c r="BH48" s="47">
        <f>(+SUMIFS(манзилли!$M:$M,манзилли!$D:$D,'свод (сектор вилоят)'!$B$47,манзилли!$AA:$AA,"&lt;01.01.2023",манзилли!$AA:$AA,"&gt;=01.01.2022",манзилли!$E:$E,"1"))</f>
        <v>26150</v>
      </c>
      <c r="BI48" s="47">
        <f>(+SUMIFS(манзилли!$Q:$Q,манзилли!$D:$D,'свод (сектор вилоят)'!$B$47,манзилли!$AA:$AA,"&lt;01.01.2023",манзилли!$AA:$AA,"&gt;=01.01.2022",манзилли!$E:$E,"1"))</f>
        <v>27200</v>
      </c>
      <c r="BJ48" s="47">
        <f>(+SUMIFS(манзилли!$S:$S,манзилли!$D:$D,'свод (сектор вилоят)'!$B$47,манзилли!$AA:$AA,"&lt;01.01.2023",манзилли!$AA:$AA,"&gt;=01.01.2022",манзилли!$E:$E,"1"))</f>
        <v>100</v>
      </c>
      <c r="BK48" s="47">
        <f>(+SUMIFS(манзилли!$U:$U,манзилли!$D:$D,'свод (сектор вилоят)'!$B$47,манзилли!$AA:$AA,"&lt;01.01.2023",манзилли!$AA:$AA,"&gt;=01.01.2022",манзилли!$E:$E,"1"))</f>
        <v>0</v>
      </c>
      <c r="BL48" s="48">
        <f>+SUMIFS(манзилли!$Y:$Y,манзилли!$D:$D,'свод (сектор вилоят)'!$B$47,манзилли!$AA:$AA,"&lt;01.01.2023",манзилли!$AA:$AA,"&gt;=01.01.2022",манзилли!$E:$E,"1")</f>
        <v>101</v>
      </c>
    </row>
    <row r="49" spans="1:64" s="3" customFormat="1" ht="39.75" customHeight="1">
      <c r="A49" s="51"/>
      <c r="B49" s="27" t="s">
        <v>1772</v>
      </c>
      <c r="C49" s="28">
        <f>+COUNTIFS(манзилли!$D:$D,'свод (сектор вилоят)'!$B$47,манзилли!$E:$E,"2")</f>
        <v>11</v>
      </c>
      <c r="D49" s="29">
        <f>(+SUMIFS(манзилли!$K:$K,манзилли!$D:$D,'свод (сектор вилоят)'!$B$47,манзилли!$E:$E,"2"))</f>
        <v>11800</v>
      </c>
      <c r="E49" s="29">
        <f>(+SUMIFS(манзилли!$M:$M,манзилли!$D:$D,'свод (сектор вилоят)'!$B$47,манзилли!$E:$E,"2"))</f>
        <v>3550</v>
      </c>
      <c r="F49" s="29">
        <f>(+SUMIFS(манзилли!$Q:$Q,манзилли!$D:$D,'свод (сектор вилоят)'!$B$47,манзилли!$E:$E,"2"))</f>
        <v>8250</v>
      </c>
      <c r="G49" s="29">
        <f>(+SUMIFS(манзилли!$S:$S,манзилли!$D:$D,'свод (сектор вилоят)'!$B$47,манзилли!$E:$E,"2"))</f>
        <v>0</v>
      </c>
      <c r="H49" s="29">
        <f>(+SUMIFS(манзилли!$U:$U,манзилли!$D:$D,'свод (сектор вилоят)'!$B$47,манзилли!$E:$E,"2"))</f>
        <v>0</v>
      </c>
      <c r="I49" s="30">
        <f>+SUMIFS(манзилли!$Y:$Y,манзилли!$D:$D,'свод (сектор вилоят)'!$B$47,манзилли!$E:$E,"2")</f>
        <v>70</v>
      </c>
      <c r="J49" s="28">
        <f>(+COUNTIFS(манзилли!$L:$L,"&gt;0",манзилли!$D:$D,'свод (сектор вилоят)'!$B$47,манзилли!$E:$E,"2")+COUNTIFS('Қўшимча ишга тушган'!$T:$T,"&gt;0",'Қўшимча ишга тушган'!$D:$D,'свод (сектор вилоят)'!$B$47,'Қўшимча ишга тушган'!$E:$E,"2"))</f>
        <v>8</v>
      </c>
      <c r="K49" s="30">
        <f>(+SUMIFS(манзилли!$L:$L,манзилли!$D:$D,'свод (сектор вилоят)'!$B$47,манзилли!$E:$E,"2")+SUMIFS('Қўшимча ишга тушган'!$T:$T,'Қўшимча ишга тушган'!$D:$D,'свод (сектор вилоят)'!$B$47,'Қўшимча ишга тушган'!$E:$E,"2"))</f>
        <v>4795.8999999999996</v>
      </c>
      <c r="L49" s="31">
        <f>(+SUMIFS(манзилли!$N:$N,манзилли!$D:$D,'свод (сектор вилоят)'!$B$47,манзилли!$E:$E,"2")+SUMIFS('Қўшимча ишга тушган'!$V:$V,'Қўшимча ишга тушган'!$D:$D,'свод (сектор вилоят)'!$B$47,'Қўшимча ишга тушган'!$E:$E,"2"))</f>
        <v>1200</v>
      </c>
      <c r="M49" s="29">
        <f>(+SUMIFS(манзилли!$R:$R,манзилли!$D:$D,'свод (сектор вилоят)'!$B$47,манзилли!$E:$E,"2")+SUMIFS('Қўшимча ишга тушган'!$Z:$Z,'Қўшимча ишга тушган'!$D:$D,'свод (сектор вилоят)'!$B$47,'Қўшимча ишга тушган'!$E:$E,"2"))</f>
        <v>3142</v>
      </c>
      <c r="N49" s="29">
        <f>(+SUMIFS(манзилли!$T:$T,манзилли!$D:$D,'свод (сектор вилоят)'!$B$47,манзилли!$E:$E,"2")+SUMIFS('Қўшимча ишга тушган'!$AB:$AB,'Қўшимча ишга тушган'!$D:$D,'свод (сектор вилоят)'!$B$47,'Қўшимча ишга тушган'!$E:$E,"2"))</f>
        <v>44.5</v>
      </c>
      <c r="O49" s="30">
        <f>(+SUMIFS(манзилли!$V:$V,манзилли!$D:$D,'свод (сектор вилоят)'!$B$47,манзилли!$E:$E,"2")+SUMIFS('Қўшимча ишга тушган'!$AD:$AD,'Қўшимча ишга тушган'!$D:$D,'свод (сектор вилоят)'!$B$47,'Қўшимча ишга тушган'!$E:$E,"2"))</f>
        <v>0</v>
      </c>
      <c r="P49" s="28">
        <f>+COUNTIFS(манзилли!$D:$D,'свод (сектор вилоят)'!$B$47,манзилли!$AA:$AA,"&gt;31.12.2020",манзилли!$AA:$AA,"&lt;01.01.2022",манзилли!$E:$E,"2")</f>
        <v>8</v>
      </c>
      <c r="Q49" s="29">
        <f>(+SUMIFS(манзилли!$K:$K,манзилли!$D:$D,'свод (сектор вилоят)'!$B$47,манзилли!$AA:$AA,"&gt;31.12.2020",манзилли!$AA:$AA,"&lt;01.01.2022",манзилли!$E:$E,"2"))</f>
        <v>8000</v>
      </c>
      <c r="R49" s="29">
        <f>(+SUMIFS(манзилли!$M:$M,манзилли!$D:$D,'свод (сектор вилоят)'!$B$47,манзилли!$AA:$AA,"&gt;31.12.2020",манзилли!$AA:$AA,"&lt;01.01.2022",манзилли!$E:$E,"2"))</f>
        <v>2650</v>
      </c>
      <c r="S49" s="29">
        <f>(+SUMIFS(манзилли!$Q:$Q,манзилли!$D:$D,'свод (сектор вилоят)'!$B$47,манзилли!$AA:$AA,"&gt;31.12.2020",манзилли!$AA:$AA,"&lt;01.01.2022",манзилли!$E:$E,"2"))</f>
        <v>5350</v>
      </c>
      <c r="T49" s="29">
        <f>(+SUMIFS(манзилли!$S:$S,манзилли!$D:$D,'свод (сектор вилоят)'!$B$47,манзилли!$AA:$AA,"&gt;31.12.2020",манзилли!$AA:$AA,"&lt;01.01.2022",манзилли!$E:$E,"2"))</f>
        <v>0</v>
      </c>
      <c r="U49" s="29">
        <f>(+SUMIFS(манзилли!$U:$U,манзилли!$D:$D,'свод (сектор вилоят)'!$B$47,манзилли!$AA:$AA,"&gt;31.12.2020",манзилли!$AA:$AA,"&lt;01.01.2022",манзилли!$E:$E,"2"))</f>
        <v>0</v>
      </c>
      <c r="V49" s="30">
        <f>+SUMIFS(манзилли!$Y:$Y,манзилли!$D:$D,'свод (сектор вилоят)'!$B$47,манзилли!$AA:$AA,"&gt;31.12.2020",манзилли!$AA:$AA,"&lt;01.01.2022",манзилли!$E:$E,"2")</f>
        <v>53</v>
      </c>
      <c r="W49" s="28">
        <f t="shared" ref="W49:W51" si="560">+AD49+AK49</f>
        <v>0</v>
      </c>
      <c r="X49" s="29">
        <f t="shared" si="554"/>
        <v>0</v>
      </c>
      <c r="Y49" s="29">
        <f t="shared" si="555"/>
        <v>0</v>
      </c>
      <c r="Z49" s="29">
        <f t="shared" si="556"/>
        <v>0</v>
      </c>
      <c r="AA49" s="29">
        <f t="shared" si="557"/>
        <v>0</v>
      </c>
      <c r="AB49" s="29">
        <f t="shared" si="558"/>
        <v>0</v>
      </c>
      <c r="AC49" s="30">
        <f t="shared" si="559"/>
        <v>0</v>
      </c>
      <c r="AD49" s="28">
        <f>+COUNTIFS(манзилли!$D:$D,'свод (сектор вилоят)'!$B$47,манзилли!$AB:$AB,"&gt;31.12.2020",манзилли!$AA:$AA,"&gt;31.12.2020",манзилли!$AA:$AA,"&lt;01.01.2022",манзилли!$E:$E,"2")</f>
        <v>0</v>
      </c>
      <c r="AE49" s="29">
        <f>(+SUMIFS(манзилли!$L:$L,манзилли!$D:$D,'свод (сектор вилоят)'!$B$47,манзилли!$AB:$AB,"&gt;31.12.2020",манзилли!$AA:$AA,"&gt;31.12.2020",манзилли!$AA:$AA,"&lt;01.01.2022",манзилли!$E:$E,"2"))</f>
        <v>0</v>
      </c>
      <c r="AF49" s="29">
        <f>(+SUMIFS(манзилли!$N:$N,манзилли!$D:$D,'свод (сектор вилоят)'!$B$47,манзилли!$AB:$AB,"&gt;31.12.2020",манзилли!$AA:$AA,"&gt;31.12.2020",манзилли!$AA:$AA,"&lt;01.01.2022",манзилли!$E:$E,"2"))</f>
        <v>0</v>
      </c>
      <c r="AG49" s="29">
        <f>(+SUMIFS(манзилли!$R:$R,манзилли!$D:$D,'свод (сектор вилоят)'!$B$47,манзилли!$AB:$AB,"&gt;31.12.2020",манзилли!$AA:$AA,"&gt;31.12.2020",манзилли!$AA:$AA,"&lt;01.01.2022",манзилли!$E:$E,"2"))</f>
        <v>0</v>
      </c>
      <c r="AH49" s="29">
        <f>(+SUMIFS(манзилли!$T:$T,манзилли!$D:$D,'свод (сектор вилоят)'!$B$47,манзилли!$AB:$AB,"&gt;31.12.2020",манзилли!$AA:$AA,"&gt;31.12.2020",манзилли!$AA:$AA,"&lt;01.01.2022",манзилли!$E:$E,"2"))</f>
        <v>0</v>
      </c>
      <c r="AI49" s="29">
        <f>(+SUMIFS(манзилли!$V:$V,манзилли!$D:$D,'свод (сектор вилоят)'!$B$47,манзилли!$AB:$AB,"&gt;31.12.2020",манзилли!$AA:$AA,"&gt;31.12.2020",манзилли!$AA:$AA,"&lt;01.01.2022",манзилли!$E:$E,"2"))</f>
        <v>0</v>
      </c>
      <c r="AJ49" s="30">
        <f>+SUMIFS(манзилли!$Z:$Z,манзилли!$D:$D,'свод (сектор вилоят)'!$B$47,манзилли!$AB:$AB,"&gt;31.12.2020",манзилли!$AA:$AA,"&gt;31.12.2020",манзилли!$AA:$AA,"&lt;01.01.2022",манзилли!$E:$E,"2")</f>
        <v>0</v>
      </c>
      <c r="AK49" s="28">
        <f>+COUNTIFS('Қўшимча ишга тушган'!$D:$D,'свод (сектор вилоят)'!B47,'Қўшимча ишга тушган'!$AO:$AO,"&lt;01.10.2023",манзилли!$E:$E,"2")</f>
        <v>0</v>
      </c>
      <c r="AL49" s="29">
        <f>(+SUMIFS('Қўшимча ишга тушган'!$T:$T,'Қўшимча ишга тушган'!$D:$D,'свод (сектор вилоят)'!$B$47,'Қўшимча ишга тушган'!$AO:$AO,"&lt;01.10.2023",манзилли!$E:$E,"2"))</f>
        <v>0</v>
      </c>
      <c r="AM49" s="29">
        <f>(+SUMIFS('Қўшимча ишга тушган'!$V:$V,'Қўшимча ишга тушган'!$D:$D,'свод (сектор вилоят)'!$B$47,'Қўшимча ишга тушган'!$AO:$AO,"&lt;01.10.2023",манзилли!$E:$E,"2"))</f>
        <v>0</v>
      </c>
      <c r="AN49" s="29">
        <f>(+SUMIFS('Қўшимча ишга тушган'!$Z:$Z,'Қўшимча ишга тушган'!$D:$D,'свод (сектор вилоят)'!$B$47,'Қўшимча ишга тушган'!$AO:$AO,"&lt;01.10.2023",манзилли!$E:$E,"2"))</f>
        <v>0</v>
      </c>
      <c r="AO49" s="29">
        <f>(+SUMIFS('Қўшимча ишга тушган'!$AB:$AB,'Қўшимча ишга тушган'!$D:$D,'свод (сектор вилоят)'!$B$47,'Қўшимча ишга тушган'!$AO:$AO,"&lt;01.10.2023",манзилли!$E:$E,"2"))</f>
        <v>0</v>
      </c>
      <c r="AP49" s="29">
        <f>(+SUMIFS('Қўшимча ишга тушган'!$AD:$AD,'Қўшимча ишга тушган'!$D:$D,'свод (сектор вилоят)'!$B$47,'Қўшимча ишга тушган'!$AO:$AO,"&lt;01.10.2023",манзилли!$E:$E,"2"))</f>
        <v>0</v>
      </c>
      <c r="AQ49" s="30">
        <f>+SUMIFS('Қўшимча ишга тушган'!$AM:$AM,'Қўшимча ишга тушган'!$D:$D,'свод (сектор вилоят)'!$B$47,'Қўшимча ишга тушган'!$AO:$AO,"&lt;01.10.2023",манзилли!$E:$E,"2")</f>
        <v>0</v>
      </c>
      <c r="AR49" s="28">
        <f>+COUNTIFS(манзилли!$D:$D,'свод (сектор вилоят)'!$B$47,манзилли!$AA:$AA,"&lt;01.02.2021",манзилли!$AB:$AB,"",манзилли!$E:$E,"2")</f>
        <v>0</v>
      </c>
      <c r="AS49" s="29">
        <f>(+SUMIFS(манзилли!$K:$K,манзилли!$D:$D,'свод (сектор вилоят)'!$B$47,манзилли!$AA:$AA,"&lt;01.02.2021",манзилли!$AB:$AB,"",манзилли!$E:$E,"2"))</f>
        <v>0</v>
      </c>
      <c r="AT49" s="29">
        <f>(+SUMIFS(манзилли!$M:$M,манзилли!$D:$D,'свод (сектор вилоят)'!$B$47,манзилли!$AA:$AA,"&lt;01.02.2021",манзилли!$AB:$AB,"",манзилли!$E:$E,"2"))</f>
        <v>0</v>
      </c>
      <c r="AU49" s="29">
        <f>(+SUMIFS(манзилли!$Q:$Q,манзилли!$D:$D,'свод (сектор вилоят)'!$B$47,манзилли!$AA:$AA,"&lt;01.02.2021",манзилли!$AB:$AB,"",манзилли!$E:$E,"2"))</f>
        <v>0</v>
      </c>
      <c r="AV49" s="29">
        <f>(+SUMIFS(манзилли!$S:$S,манзилли!$D:$D,'свод (сектор вилоят)'!$B$47,манзилли!$AA:$AA,"&lt;01.02.2021",манзилли!$AB:$AB,"",манзилли!$E:$E,"2"))</f>
        <v>0</v>
      </c>
      <c r="AW49" s="29">
        <f>(+SUMIFS(манзилли!$U:$U,манзилли!$D:$D,'свод (сектор вилоят)'!$B$47,манзилли!$AA:$AA,"&lt;01.02.2021",манзилли!$AB:$AB,"",манзилли!$E:$E,"2"))</f>
        <v>0</v>
      </c>
      <c r="AX49" s="30">
        <f>+SUMIFS(манзилли!$Y:$Y,манзилли!$D:$D,'свод (сектор вилоят)'!$B$47,манзилли!$AA:$AA,"&lt;01.02.2021",манзилли!$AB:$AB,"",манзилли!$E:$E,"2")</f>
        <v>0</v>
      </c>
      <c r="AY49" s="28">
        <f>+COUNTIFS(манзилли!$D:$D,'свод (сектор вилоят)'!$B$47,манзилли!$AA:$AA,"&lt;01.01.2022",манзилли!$AB:$AB,"",манзилли!$E:$E,"2")</f>
        <v>7</v>
      </c>
      <c r="AZ49" s="29">
        <f>(+SUMIFS(манзилли!$K:$K,манзилли!$D:$D,'свод (сектор вилоят)'!$B$47,манзилли!$AA:$AA,"&lt;01.01.2022",манзилли!$AB:$AB,"",манзилли!$E:$E,"2"))</f>
        <v>7500</v>
      </c>
      <c r="BA49" s="29">
        <f>(+SUMIFS(манзилли!$M:$M,манзилли!$D:$D,'свод (сектор вилоят)'!$B$47,манзилли!$AA:$AA,"&lt;01.01.2022",манзилли!$AB:$AB,"",манзилли!$E:$E,"2"))</f>
        <v>2350</v>
      </c>
      <c r="BB49" s="29">
        <f>(+SUMIFS(манзилли!$Q:$Q,манзилли!$D:$D,'свод (сектор вилоят)'!$B$47,манзилли!$AA:$AA,"&lt;01.01.2022",манзилли!$AB:$AB,"",манзилли!$E:$E,"2"))</f>
        <v>5150</v>
      </c>
      <c r="BC49" s="29">
        <f>(+SUMIFS(манзилли!$S:$S,манзилли!$D:$D,'свод (сектор вилоят)'!$B$47,манзилли!$AA:$AA,"&lt;01.01.2022",манзилли!$AB:$AB,"",манзилли!$E:$E,"2"))</f>
        <v>0</v>
      </c>
      <c r="BD49" s="29">
        <f>(+SUMIFS(манзилли!$U:$U,манзилли!$D:$D,'свод (сектор вилоят)'!$B$47,манзилли!$AA:$AA,"&lt;01.01.2022",манзилли!$AB:$AB,"",манзилли!$E:$E,"2"))</f>
        <v>0</v>
      </c>
      <c r="BE49" s="30">
        <f>+SUMIFS(манзилли!$Y:$Y,манзилли!$D:$D,'свод (сектор вилоят)'!$B$47,манзилли!$AA:$AA,"&lt;01.01.2022",манзилли!$AB:$AB,"",манзилли!$E:$E,"2")</f>
        <v>50</v>
      </c>
      <c r="BF49" s="28">
        <f>+COUNTIFS(манзилли!$D:$D,'свод (сектор вилоят)'!$B$47,манзилли!$AA:$AA,"&lt;01.01.2023",манзилли!$AA:$AA,"&gt;=01.01.2022",манзилли!$E:$E,"2")</f>
        <v>0</v>
      </c>
      <c r="BG49" s="29">
        <f>(+SUMIFS(манзилли!$K:$K,манзилли!$D:$D,'свод (сектор вилоят)'!$B$47,манзилли!$AA:$AA,"&lt;01.01.2023",манзилли!$AA:$AA,"&gt;=01.01.2022",манзилли!$E:$E,"2"))</f>
        <v>0</v>
      </c>
      <c r="BH49" s="29">
        <f>(+SUMIFS(манзилли!$M:$M,манзилли!$D:$D,'свод (сектор вилоят)'!$B$47,манзилли!$AA:$AA,"&lt;01.01.2023",манзилли!$AA:$AA,"&gt;=01.01.2022",манзилли!$E:$E,"2"))</f>
        <v>0</v>
      </c>
      <c r="BI49" s="29">
        <f>(+SUMIFS(манзилли!$Q:$Q,манзилли!$D:$D,'свод (сектор вилоят)'!$B$47,манзилли!$AA:$AA,"&lt;01.01.2023",манзилли!$AA:$AA,"&gt;=01.01.2022",манзилли!$E:$E,"2"))</f>
        <v>0</v>
      </c>
      <c r="BJ49" s="29">
        <f>(+SUMIFS(манзилли!$S:$S,манзилли!$D:$D,'свод (сектор вилоят)'!$B$47,манзилли!$AA:$AA,"&lt;01.01.2023",манзилли!$AA:$AA,"&gt;=01.01.2022",манзилли!$E:$E,"2"))</f>
        <v>0</v>
      </c>
      <c r="BK49" s="29">
        <f>(+SUMIFS(манзилли!$U:$U,манзилли!$D:$D,'свод (сектор вилоят)'!$B$47,манзилли!$AA:$AA,"&lt;01.01.2023",манзилли!$AA:$AA,"&gt;=01.01.2022",манзилли!$E:$E,"2"))</f>
        <v>0</v>
      </c>
      <c r="BL49" s="30">
        <f>+SUMIFS(манзилли!$Y:$Y,манзилли!$D:$D,'свод (сектор вилоят)'!$B$47,манзилли!$AA:$AA,"&lt;01.01.2023",манзилли!$AA:$AA,"&gt;=01.01.2022",манзилли!$E:$E,"2")</f>
        <v>0</v>
      </c>
    </row>
    <row r="50" spans="1:64" s="3" customFormat="1" ht="39.75" customHeight="1">
      <c r="A50" s="51"/>
      <c r="B50" s="27" t="s">
        <v>1773</v>
      </c>
      <c r="C50" s="28">
        <f>+COUNTIFS(манзилли!$D:$D,'свод (сектор вилоят)'!$B$47,манзилли!$E:$E,"3")</f>
        <v>30</v>
      </c>
      <c r="D50" s="29">
        <f>(+SUMIFS(манзилли!$K:$K,манзилли!$D:$D,'свод (сектор вилоят)'!$B$47,манзилли!$E:$E,"3"))</f>
        <v>145882</v>
      </c>
      <c r="E50" s="29">
        <f>(+SUMIFS(манзилли!$M:$M,манзилли!$D:$D,'свод (сектор вилоят)'!$B$47,манзилли!$E:$E,"3"))</f>
        <v>63180</v>
      </c>
      <c r="F50" s="29">
        <f>(+SUMIFS(манзилли!$Q:$Q,манзилли!$D:$D,'свод (сектор вилоят)'!$B$47,манзилли!$E:$E,"3"))</f>
        <v>13280</v>
      </c>
      <c r="G50" s="29">
        <f>(+SUMIFS(манзилли!$S:$S,манзилли!$D:$D,'свод (сектор вилоят)'!$B$47,манзилли!$E:$E,"3"))</f>
        <v>6740</v>
      </c>
      <c r="H50" s="29">
        <f>(+SUMIFS(манзилли!$U:$U,манзилли!$D:$D,'свод (сектор вилоят)'!$B$47,манзилли!$E:$E,"3"))</f>
        <v>0</v>
      </c>
      <c r="I50" s="30">
        <f>+SUMIFS(манзилли!$Y:$Y,манзилли!$D:$D,'свод (сектор вилоят)'!$B$47,манзилли!$E:$E,"3")</f>
        <v>323</v>
      </c>
      <c r="J50" s="28">
        <f>(+COUNTIFS(манзилли!$L:$L,"&gt;0",манзилли!$D:$D,'свод (сектор вилоят)'!$B$47,манзилли!$E:$E,"3")+COUNTIFS('Қўшимча ишга тушган'!$T:$T,"&gt;0",'Қўшимча ишга тушган'!$D:$D,'свод (сектор вилоят)'!$B$47,'Қўшимча ишга тушган'!$E:$E,"3"))</f>
        <v>10</v>
      </c>
      <c r="K50" s="30">
        <f>(+SUMIFS(манзилли!$L:$L,манзилли!$D:$D,'свод (сектор вилоят)'!$B$47,манзилли!$E:$E,"3")+SUMIFS('Қўшимча ишга тушган'!$T:$T,'Қўшимча ишга тушган'!$D:$D,'свод (сектор вилоят)'!$B$47,'Қўшимча ишга тушган'!$E:$E,"3"))</f>
        <v>13396</v>
      </c>
      <c r="L50" s="31">
        <f>(+SUMIFS(манзилли!$N:$N,манзилли!$D:$D,'свод (сектор вилоят)'!$B$47,манзилли!$E:$E,"3")+SUMIFS('Қўшимча ишга тушган'!$V:$V,'Қўшимча ишга тушган'!$D:$D,'свод (сектор вилоят)'!$B$47,'Қўшимча ишга тушган'!$E:$E,"3"))</f>
        <v>1870</v>
      </c>
      <c r="M50" s="29">
        <f>(+SUMIFS(манзилли!$R:$R,манзилли!$D:$D,'свод (сектор вилоят)'!$B$47,манзилли!$E:$E,"3")+SUMIFS('Қўшимча ишга тушган'!$Z:$Z,'Қўшимча ишга тушган'!$D:$D,'свод (сектор вилоят)'!$B$47,'Қўшимча ишга тушган'!$E:$E,"3"))</f>
        <v>3825</v>
      </c>
      <c r="N50" s="29">
        <f>(+SUMIFS(манзилли!$T:$T,манзилли!$D:$D,'свод (сектор вилоят)'!$B$47,манзилли!$E:$E,"3")+SUMIFS('Қўшимча ишга тушган'!$AB:$AB,'Қўшимча ишга тушган'!$D:$D,'свод (сектор вилоят)'!$B$47,'Қўшимча ишга тушган'!$E:$E,"3"))</f>
        <v>755</v>
      </c>
      <c r="O50" s="30">
        <f>(+SUMIFS(манзилли!$V:$V,манзилли!$D:$D,'свод (сектор вилоят)'!$B$47,манзилли!$E:$E,"3")+SUMIFS('Қўшимча ишга тушган'!$AD:$AD,'Қўшимча ишга тушган'!$D:$D,'свод (сектор вилоят)'!$B$47,'Қўшимча ишга тушган'!$E:$E,"3"))</f>
        <v>0</v>
      </c>
      <c r="P50" s="28">
        <f>+COUNTIFS(манзилли!$D:$D,'свод (сектор вилоят)'!$B$47,манзилли!$AA:$AA,"&gt;31.12.2020",манзилли!$AA:$AA,"&lt;01.01.2022",манзилли!$E:$E,"3")</f>
        <v>16</v>
      </c>
      <c r="Q50" s="29">
        <f>(+SUMIFS(манзилли!$K:$K,манзилли!$D:$D,'свод (сектор вилоят)'!$B$47,манзилли!$AA:$AA,"&gt;31.12.2020",манзилли!$AA:$AA,"&lt;01.01.2022",манзилли!$E:$E,"3"))</f>
        <v>49297</v>
      </c>
      <c r="R50" s="29">
        <f>(+SUMIFS(манзилли!$M:$M,манзилли!$D:$D,'свод (сектор вилоят)'!$B$47,манзилли!$AA:$AA,"&gt;31.12.2020",манзилли!$AA:$AA,"&lt;01.01.2022",манзилли!$E:$E,"3"))</f>
        <v>35450</v>
      </c>
      <c r="S50" s="29">
        <f>(+SUMIFS(манзилли!$Q:$Q,манзилли!$D:$D,'свод (сектор вилоят)'!$B$47,манзилли!$AA:$AA,"&gt;31.12.2020",манзилли!$AA:$AA,"&lt;01.01.2022",манзилли!$E:$E,"3"))</f>
        <v>8800</v>
      </c>
      <c r="T50" s="29">
        <f>(+SUMIFS(манзилли!$S:$S,манзилли!$D:$D,'свод (сектор вилоят)'!$B$47,манзилли!$AA:$AA,"&gt;31.12.2020",манзилли!$AA:$AA,"&lt;01.01.2022",манзилли!$E:$E,"3"))</f>
        <v>490</v>
      </c>
      <c r="U50" s="29">
        <f>(+SUMIFS(манзилли!$U:$U,манзилли!$D:$D,'свод (сектор вилоят)'!$B$47,манзилли!$AA:$AA,"&gt;31.12.2020",манзилли!$AA:$AA,"&lt;01.01.2022",манзилли!$E:$E,"3"))</f>
        <v>0</v>
      </c>
      <c r="V50" s="30">
        <f>+SUMIFS(манзилли!$Y:$Y,манзилли!$D:$D,'свод (сектор вилоят)'!$B$47,манзилли!$AA:$AA,"&gt;31.12.2020",манзилли!$AA:$AA,"&lt;01.01.2022",манзилли!$E:$E,"3")</f>
        <v>173</v>
      </c>
      <c r="W50" s="28">
        <f t="shared" si="560"/>
        <v>0</v>
      </c>
      <c r="X50" s="29">
        <f t="shared" si="554"/>
        <v>0</v>
      </c>
      <c r="Y50" s="29">
        <f t="shared" si="555"/>
        <v>0</v>
      </c>
      <c r="Z50" s="29">
        <f t="shared" si="556"/>
        <v>0</v>
      </c>
      <c r="AA50" s="29">
        <f t="shared" si="557"/>
        <v>0</v>
      </c>
      <c r="AB50" s="29">
        <f t="shared" si="558"/>
        <v>0</v>
      </c>
      <c r="AC50" s="30">
        <f t="shared" si="559"/>
        <v>0</v>
      </c>
      <c r="AD50" s="28">
        <f>+COUNTIFS(манзилли!$D:$D,'свод (сектор вилоят)'!$B$47,манзилли!$AB:$AB,"&gt;31.12.2020",манзилли!$AA:$AA,"&gt;31.12.2020",манзилли!$AA:$AA,"&lt;01.01.2022",манзилли!$E:$E,"3")</f>
        <v>0</v>
      </c>
      <c r="AE50" s="29">
        <f>(+SUMIFS(манзилли!$L:$L,манзилли!$D:$D,'свод (сектор вилоят)'!$B$47,манзилли!$AB:$AB,"&gt;31.12.2020",манзилли!$AA:$AA,"&gt;31.12.2020",манзилли!$AA:$AA,"&lt;01.01.2022",манзилли!$E:$E,"3"))</f>
        <v>0</v>
      </c>
      <c r="AF50" s="29">
        <f>(+SUMIFS(манзилли!$N:$N,манзилли!$D:$D,'свод (сектор вилоят)'!$B$47,манзилли!$AB:$AB,"&gt;31.12.2020",манзилли!$AA:$AA,"&gt;31.12.2020",манзилли!$AA:$AA,"&lt;01.01.2022",манзилли!$E:$E,"3"))</f>
        <v>0</v>
      </c>
      <c r="AG50" s="29">
        <f>(+SUMIFS(манзилли!$R:$R,манзилли!$D:$D,'свод (сектор вилоят)'!$B$47,манзилли!$AB:$AB,"&gt;31.12.2020",манзилли!$AA:$AA,"&gt;31.12.2020",манзилли!$AA:$AA,"&lt;01.01.2022",манзилли!$E:$E,"3"))</f>
        <v>0</v>
      </c>
      <c r="AH50" s="29">
        <f>(+SUMIFS(манзилли!$T:$T,манзилли!$D:$D,'свод (сектор вилоят)'!$B$47,манзилли!$AB:$AB,"&gt;31.12.2020",манзилли!$AA:$AA,"&gt;31.12.2020",манзилли!$AA:$AA,"&lt;01.01.2022",манзилли!$E:$E,"3"))</f>
        <v>0</v>
      </c>
      <c r="AI50" s="29">
        <f>(+SUMIFS(манзилли!$V:$V,манзилли!$D:$D,'свод (сектор вилоят)'!$B$47,манзилли!$AB:$AB,"&gt;31.12.2020",манзилли!$AA:$AA,"&gt;31.12.2020",манзилли!$AA:$AA,"&lt;01.01.2022",манзилли!$E:$E,"3"))</f>
        <v>0</v>
      </c>
      <c r="AJ50" s="30">
        <f>+SUMIFS(манзилли!$Z:$Z,манзилли!$D:$D,'свод (сектор вилоят)'!$B$47,манзилли!$AB:$AB,"&gt;31.12.2020",манзилли!$AA:$AA,"&gt;31.12.2020",манзилли!$AA:$AA,"&lt;01.01.2022",манзилли!$E:$E,"3")</f>
        <v>0</v>
      </c>
      <c r="AK50" s="28">
        <f>+COUNTIFS('Қўшимча ишга тушган'!$D:$D,'свод (сектор вилоят)'!B47,'Қўшимча ишга тушган'!$AO:$AO,"&lt;01.10.2023",манзилли!$E:$E,"3")</f>
        <v>0</v>
      </c>
      <c r="AL50" s="29">
        <f>(+SUMIFS('Қўшимча ишга тушган'!$T:$T,'Қўшимча ишга тушган'!$D:$D,'свод (сектор вилоят)'!$B$47,'Қўшимча ишга тушган'!$AO:$AO,"&lt;01.10.2023",манзилли!$E:$E,"3"))</f>
        <v>0</v>
      </c>
      <c r="AM50" s="29">
        <f>(+SUMIFS('Қўшимча ишга тушган'!$V:$V,'Қўшимча ишга тушган'!$D:$D,'свод (сектор вилоят)'!$B$47,'Қўшимча ишга тушган'!$AO:$AO,"&lt;01.10.2023",манзилли!$E:$E,"3"))</f>
        <v>0</v>
      </c>
      <c r="AN50" s="29">
        <f>(+SUMIFS('Қўшимча ишга тушган'!$Z:$Z,'Қўшимча ишга тушган'!$D:$D,'свод (сектор вилоят)'!$B$47,'Қўшимча ишга тушган'!$AO:$AO,"&lt;01.10.2023",манзилли!$E:$E,"3"))</f>
        <v>0</v>
      </c>
      <c r="AO50" s="29">
        <f>(+SUMIFS('Қўшимча ишга тушган'!$AB:$AB,'Қўшимча ишга тушган'!$D:$D,'свод (сектор вилоят)'!$B$47,'Қўшимча ишга тушган'!$AO:$AO,"&lt;01.10.2023",манзилли!$E:$E,"3"))</f>
        <v>0</v>
      </c>
      <c r="AP50" s="29">
        <f>(+SUMIFS('Қўшимча ишга тушган'!$AD:$AD,'Қўшимча ишга тушган'!$D:$D,'свод (сектор вилоят)'!$B$47,'Қўшимча ишга тушган'!$AO:$AO,"&lt;01.10.2023",манзилли!$E:$E,"3"))</f>
        <v>0</v>
      </c>
      <c r="AQ50" s="30">
        <f>+SUMIFS('Қўшимча ишга тушган'!$AM:$AM,'Қўшимча ишга тушган'!$D:$D,'свод (сектор вилоят)'!$B$47,'Қўшимча ишга тушган'!$AO:$AO,"&lt;01.10.2023",манзилли!$E:$E,"3")</f>
        <v>0</v>
      </c>
      <c r="AR50" s="28">
        <f>+COUNTIFS(манзилли!$D:$D,'свод (сектор вилоят)'!$B$47,манзилли!$AA:$AA,"&lt;01.02.2021",манзилли!$AB:$AB,"",манзилли!$E:$E,"3")</f>
        <v>0</v>
      </c>
      <c r="AS50" s="29">
        <f>(+SUMIFS(манзилли!$K:$K,манзилли!$D:$D,'свод (сектор вилоят)'!$B$47,манзилли!$AA:$AA,"&lt;01.02.2021",манзилли!$AB:$AB,"",манзилли!$E:$E,"3"))</f>
        <v>0</v>
      </c>
      <c r="AT50" s="29">
        <f>(+SUMIFS(манзилли!$M:$M,манзилли!$D:$D,'свод (сектор вилоят)'!$B$47,манзилли!$AA:$AA,"&lt;01.02.2021",манзилли!$AB:$AB,"",манзилли!$E:$E,"3"))</f>
        <v>0</v>
      </c>
      <c r="AU50" s="29">
        <f>(+SUMIFS(манзилли!$Q:$Q,манзилли!$D:$D,'свод (сектор вилоят)'!$B$47,манзилли!$AA:$AA,"&lt;01.02.2021",манзилли!$AB:$AB,"",манзилли!$E:$E,"3"))</f>
        <v>0</v>
      </c>
      <c r="AV50" s="29">
        <f>(+SUMIFS(манзилли!$S:$S,манзилли!$D:$D,'свод (сектор вилоят)'!$B$47,манзилли!$AA:$AA,"&lt;01.02.2021",манзилли!$AB:$AB,"",манзилли!$E:$E,"3"))</f>
        <v>0</v>
      </c>
      <c r="AW50" s="29">
        <f>(+SUMIFS(манзилли!$U:$U,манзилли!$D:$D,'свод (сектор вилоят)'!$B$47,манзилли!$AA:$AA,"&lt;01.02.2021",манзилли!$AB:$AB,"",манзилли!$E:$E,"3"))</f>
        <v>0</v>
      </c>
      <c r="AX50" s="30">
        <f>+SUMIFS(манзилли!$Y:$Y,манзилли!$D:$D,'свод (сектор вилоят)'!$B$47,манзилли!$AA:$AA,"&lt;01.02.2021",манзилли!$AB:$AB,"",манзилли!$E:$E,"3")</f>
        <v>0</v>
      </c>
      <c r="AY50" s="28">
        <f>+COUNTIFS(манзилли!$D:$D,'свод (сектор вилоят)'!$B$47,манзилли!$AA:$AA,"&lt;01.01.2022",манзилли!$AB:$AB,"",манзилли!$E:$E,"3")</f>
        <v>16</v>
      </c>
      <c r="AZ50" s="29">
        <f>(+SUMIFS(манзилли!$K:$K,манзилли!$D:$D,'свод (сектор вилоят)'!$B$47,манзилли!$AA:$AA,"&lt;01.01.2022",манзилли!$AB:$AB,"",манзилли!$E:$E,"3"))</f>
        <v>49297</v>
      </c>
      <c r="BA50" s="29">
        <f>(+SUMIFS(манзилли!$M:$M,манзилли!$D:$D,'свод (сектор вилоят)'!$B$47,манзилли!$AA:$AA,"&lt;01.01.2022",манзилли!$AB:$AB,"",манзилли!$E:$E,"3"))</f>
        <v>35450</v>
      </c>
      <c r="BB50" s="29">
        <f>(+SUMIFS(манзилли!$Q:$Q,манзилли!$D:$D,'свод (сектор вилоят)'!$B$47,манзилли!$AA:$AA,"&lt;01.01.2022",манзилли!$AB:$AB,"",манзилли!$E:$E,"3"))</f>
        <v>8800</v>
      </c>
      <c r="BC50" s="29">
        <f>(+SUMIFS(манзилли!$S:$S,манзилли!$D:$D,'свод (сектор вилоят)'!$B$47,манзилли!$AA:$AA,"&lt;01.01.2022",манзилли!$AB:$AB,"",манзилли!$E:$E,"3"))</f>
        <v>490</v>
      </c>
      <c r="BD50" s="29">
        <f>(+SUMIFS(манзилли!$U:$U,манзилли!$D:$D,'свод (сектор вилоят)'!$B$47,манзилли!$AA:$AA,"&lt;01.01.2022",манзилли!$AB:$AB,"",манзилли!$E:$E,"3"))</f>
        <v>0</v>
      </c>
      <c r="BE50" s="30">
        <f>+SUMIFS(манзилли!$Y:$Y,манзилли!$D:$D,'свод (сектор вилоят)'!$B$47,манзилли!$AA:$AA,"&lt;01.01.2022",манзилли!$AB:$AB,"",манзилли!$E:$E,"3")</f>
        <v>173</v>
      </c>
      <c r="BF50" s="28">
        <f>+COUNTIFS(манзилли!$D:$D,'свод (сектор вилоят)'!$B$47,манзилли!$AA:$AA,"&lt;01.01.2023",манзилли!$AA:$AA,"&gt;=01.01.2022",манзилли!$E:$E,"3")</f>
        <v>8</v>
      </c>
      <c r="BG50" s="29">
        <f>(+SUMIFS(манзилли!$K:$K,манзилли!$D:$D,'свод (сектор вилоят)'!$B$47,манзилли!$AA:$AA,"&lt;01.01.2023",манзилли!$AA:$AA,"&gt;=01.01.2022",манзилли!$E:$E,"3"))</f>
        <v>93335</v>
      </c>
      <c r="BH50" s="29">
        <f>(+SUMIFS(манзилли!$M:$M,манзилли!$D:$D,'свод (сектор вилоят)'!$B$47,манзилли!$AA:$AA,"&lt;01.01.2023",манзилли!$AA:$AA,"&gt;=01.01.2022",манзилли!$E:$E,"3"))</f>
        <v>25910</v>
      </c>
      <c r="BI50" s="29">
        <f>(+SUMIFS(манзилли!$Q:$Q,манзилли!$D:$D,'свод (сектор вилоят)'!$B$47,манзилли!$AA:$AA,"&lt;01.01.2023",манзилли!$AA:$AA,"&gt;=01.01.2022",манзилли!$E:$E,"3"))</f>
        <v>3050</v>
      </c>
      <c r="BJ50" s="29">
        <f>(+SUMIFS(манзилли!$S:$S,манзилли!$D:$D,'свод (сектор вилоят)'!$B$47,манзилли!$AA:$AA,"&lt;01.01.2023",манзилли!$AA:$AA,"&gt;=01.01.2022",манзилли!$E:$E,"3"))</f>
        <v>6250</v>
      </c>
      <c r="BK50" s="29">
        <f>(+SUMIFS(манзилли!$U:$U,манзилли!$D:$D,'свод (сектор вилоят)'!$B$47,манзилли!$AA:$AA,"&lt;01.01.2023",манзилли!$AA:$AA,"&gt;=01.01.2022",манзилли!$E:$E,"3"))</f>
        <v>0</v>
      </c>
      <c r="BL50" s="30">
        <f>+SUMIFS(манзилли!$Y:$Y,манзилли!$D:$D,'свод (сектор вилоят)'!$B$47,манзилли!$AA:$AA,"&lt;01.01.2023",манзилли!$AA:$AA,"&gt;=01.01.2022",манзилли!$E:$E,"3")</f>
        <v>118</v>
      </c>
    </row>
    <row r="51" spans="1:64" s="3" customFormat="1" ht="39.75" customHeight="1" thickBot="1">
      <c r="A51" s="55"/>
      <c r="B51" s="36" t="s">
        <v>1774</v>
      </c>
      <c r="C51" s="37">
        <f>+COUNTIFS(манзилли!$D:$D,'свод (сектор вилоят)'!$B$47,манзилли!$E:$E,"4")</f>
        <v>17</v>
      </c>
      <c r="D51" s="38">
        <f>(+SUMIFS(манзилли!$K:$K,манзилли!$D:$D,'свод (сектор вилоят)'!$B$47,манзилли!$E:$E,"4"))</f>
        <v>22476</v>
      </c>
      <c r="E51" s="38">
        <f>(+SUMIFS(манзилли!$M:$M,манзилли!$D:$D,'свод (сектор вилоят)'!$B$47,манзилли!$E:$E,"4"))</f>
        <v>7860</v>
      </c>
      <c r="F51" s="38">
        <f>(+SUMIFS(манзилли!$Q:$Q,манзилли!$D:$D,'свод (сектор вилоят)'!$B$47,манзилли!$E:$E,"4"))</f>
        <v>7200</v>
      </c>
      <c r="G51" s="38">
        <f>(+SUMIFS(манзилли!$S:$S,манзилли!$D:$D,'свод (сектор вилоят)'!$B$47,манзилли!$E:$E,"4"))</f>
        <v>720</v>
      </c>
      <c r="H51" s="38">
        <f>(+SUMIFS(манзилли!$U:$U,манзилли!$D:$D,'свод (сектор вилоят)'!$B$47,манзилли!$E:$E,"4"))</f>
        <v>0</v>
      </c>
      <c r="I51" s="39">
        <f>+SUMIFS(манзилли!$Y:$Y,манзилли!$D:$D,'свод (сектор вилоят)'!$B$47,манзилли!$E:$E,"4")</f>
        <v>106</v>
      </c>
      <c r="J51" s="37">
        <f>(+COUNTIFS(манзилли!$L:$L,"&gt;0",манзилли!$D:$D,'свод (сектор вилоят)'!$B$47,манзилли!$E:$E,"4")+COUNTIFS('Қўшимча ишга тушган'!$T:$T,"&gt;0",'Қўшимча ишга тушган'!$D:$D,'свод (сектор вилоят)'!$B$47,'Қўшимча ишга тушган'!$E:$E,"4"))</f>
        <v>10</v>
      </c>
      <c r="K51" s="39">
        <f>(+SUMIFS(манзилли!$L:$L,манзилли!$D:$D,'свод (сектор вилоят)'!$B$47,манзилли!$E:$E,"4")+SUMIFS('Қўшимча ишга тушган'!$T:$T,'Қўшимча ишга тушган'!$D:$D,'свод (сектор вилоят)'!$B$47,'Қўшимча ишга тушган'!$E:$E,"4"))</f>
        <v>7226</v>
      </c>
      <c r="L51" s="40">
        <f>(+SUMIFS(манзилли!$N:$N,манзилли!$D:$D,'свод (сектор вилоят)'!$B$47,манзилли!$E:$E,"4")+SUMIFS('Қўшимча ишга тушган'!$V:$V,'Қўшимча ишга тушган'!$D:$D,'свод (сектор вилоят)'!$B$47,'Қўшимча ишга тушган'!$E:$E,"4"))</f>
        <v>700</v>
      </c>
      <c r="M51" s="38">
        <f>(+SUMIFS(манзилли!$R:$R,манзилли!$D:$D,'свод (сектор вилоят)'!$B$47,манзилли!$E:$E,"4")+SUMIFS('Қўшимча ишга тушган'!$Z:$Z,'Қўшимча ишга тушган'!$D:$D,'свод (сектор вилоят)'!$B$47,'Қўшимча ишга тушган'!$E:$E,"4"))</f>
        <v>3160</v>
      </c>
      <c r="N51" s="38">
        <f>(+SUMIFS(манзилли!$T:$T,манзилли!$D:$D,'свод (сектор вилоят)'!$B$47,манзилли!$E:$E,"4")+SUMIFS('Қўшимча ишга тушган'!$AB:$AB,'Қўшимча ишга тушган'!$D:$D,'свод (сектор вилоят)'!$B$47,'Қўшимча ишга тушган'!$E:$E,"4"))</f>
        <v>330</v>
      </c>
      <c r="O51" s="39">
        <f>(+SUMIFS(манзилли!$V:$V,манзилли!$D:$D,'свод (сектор вилоят)'!$B$47,манзилли!$E:$E,"4")+SUMIFS('Қўшимча ишга тушган'!$AD:$AD,'Қўшимча ишга тушган'!$D:$D,'свод (сектор вилоят)'!$B$47,'Қўшимча ишга тушган'!$E:$E,"4"))</f>
        <v>0</v>
      </c>
      <c r="P51" s="37">
        <f>+COUNTIFS(манзилли!$D:$D,'свод (сектор вилоят)'!$B$47,манзилли!$AA:$AA,"&gt;31.12.2020",манзилли!$AA:$AA,"&lt;01.01.2022",манзилли!$E:$E,"4")</f>
        <v>14</v>
      </c>
      <c r="Q51" s="38">
        <f>(+SUMIFS(манзилли!$K:$K,манзилли!$D:$D,'свод (сектор вилоят)'!$B$47,манзилли!$AA:$AA,"&gt;31.12.2020",манзилли!$AA:$AA,"&lt;01.01.2022",манзилли!$E:$E,"4"))</f>
        <v>19276</v>
      </c>
      <c r="R51" s="38">
        <f>(+SUMIFS(манзилли!$M:$M,манзилли!$D:$D,'свод (сектор вилоят)'!$B$47,манзилли!$AA:$AA,"&gt;31.12.2020",манзилли!$AA:$AA,"&lt;01.01.2022",манзилли!$E:$E,"4"))</f>
        <v>6760</v>
      </c>
      <c r="S51" s="38">
        <f>(+SUMIFS(манзилли!$Q:$Q,манзилли!$D:$D,'свод (сектор вилоят)'!$B$47,манзилли!$AA:$AA,"&gt;31.12.2020",манзилли!$AA:$AA,"&lt;01.01.2022",манзилли!$E:$E,"4"))</f>
        <v>5100</v>
      </c>
      <c r="T51" s="38">
        <f>(+SUMIFS(манзилли!$S:$S,манзилли!$D:$D,'свод (сектор вилоят)'!$B$47,манзилли!$AA:$AA,"&gt;31.12.2020",манзилли!$AA:$AA,"&lt;01.01.2022",манзилли!$E:$E,"4"))</f>
        <v>720</v>
      </c>
      <c r="U51" s="38">
        <f>(+SUMIFS(манзилли!$U:$U,манзилли!$D:$D,'свод (сектор вилоят)'!$B$47,манзилли!$AA:$AA,"&gt;31.12.2020",манзилли!$AA:$AA,"&lt;01.01.2022",манзилли!$E:$E,"4"))</f>
        <v>0</v>
      </c>
      <c r="V51" s="39">
        <f>+SUMIFS(манзилли!$Y:$Y,манзилли!$D:$D,'свод (сектор вилоят)'!$B$47,манзилли!$AA:$AA,"&gt;31.12.2020",манзилли!$AA:$AA,"&lt;01.01.2022",манзилли!$E:$E,"4")</f>
        <v>97</v>
      </c>
      <c r="W51" s="37">
        <f t="shared" si="560"/>
        <v>0</v>
      </c>
      <c r="X51" s="38">
        <f t="shared" si="554"/>
        <v>0</v>
      </c>
      <c r="Y51" s="38">
        <f t="shared" si="555"/>
        <v>0</v>
      </c>
      <c r="Z51" s="38">
        <f t="shared" si="556"/>
        <v>0</v>
      </c>
      <c r="AA51" s="38">
        <f t="shared" si="557"/>
        <v>0</v>
      </c>
      <c r="AB51" s="38">
        <f t="shared" si="558"/>
        <v>0</v>
      </c>
      <c r="AC51" s="39">
        <f t="shared" si="559"/>
        <v>0</v>
      </c>
      <c r="AD51" s="37">
        <f>+COUNTIFS(манзилли!$D:$D,'свод (сектор вилоят)'!$B$47,манзилли!$AB:$AB,"&gt;31.12.2020",манзилли!$AA:$AA,"&gt;31.12.2020",манзилли!$AA:$AA,"&lt;01.01.2022",манзилли!$E:$E,"4")</f>
        <v>0</v>
      </c>
      <c r="AE51" s="38">
        <f>(+SUMIFS(манзилли!$L:$L,манзилли!$D:$D,'свод (сектор вилоят)'!$B$47,манзилли!$AB:$AB,"&gt;31.12.2020",манзилли!$AA:$AA,"&gt;31.12.2020",манзилли!$AA:$AA,"&lt;01.01.2022",манзилли!$E:$E,"4"))</f>
        <v>0</v>
      </c>
      <c r="AF51" s="38">
        <f>(+SUMIFS(манзилли!$N:$N,манзилли!$D:$D,'свод (сектор вилоят)'!$B$47,манзилли!$AB:$AB,"&gt;31.12.2020",манзилли!$AA:$AA,"&gt;31.12.2020",манзилли!$AA:$AA,"&lt;01.01.2022",манзилли!$E:$E,"4"))</f>
        <v>0</v>
      </c>
      <c r="AG51" s="38">
        <f>(+SUMIFS(манзилли!$R:$R,манзилли!$D:$D,'свод (сектор вилоят)'!$B$47,манзилли!$AB:$AB,"&gt;31.12.2020",манзилли!$AA:$AA,"&gt;31.12.2020",манзилли!$AA:$AA,"&lt;01.01.2022",манзилли!$E:$E,"4"))</f>
        <v>0</v>
      </c>
      <c r="AH51" s="38">
        <f>(+SUMIFS(манзилли!$T:$T,манзилли!$D:$D,'свод (сектор вилоят)'!$B$47,манзилли!$AB:$AB,"&gt;31.12.2020",манзилли!$AA:$AA,"&gt;31.12.2020",манзилли!$AA:$AA,"&lt;01.01.2022",манзилли!$E:$E,"4"))</f>
        <v>0</v>
      </c>
      <c r="AI51" s="38">
        <f>(+SUMIFS(манзилли!$V:$V,манзилли!$D:$D,'свод (сектор вилоят)'!$B$47,манзилли!$AB:$AB,"&gt;31.12.2020",манзилли!$AA:$AA,"&gt;31.12.2020",манзилли!$AA:$AA,"&lt;01.01.2022",манзилли!$E:$E,"4"))</f>
        <v>0</v>
      </c>
      <c r="AJ51" s="39">
        <f>+SUMIFS(манзилли!$Z:$Z,манзилли!$D:$D,'свод (сектор вилоят)'!$B$47,манзилли!$AB:$AB,"&gt;31.12.2020",манзилли!$AA:$AA,"&gt;31.12.2020",манзилли!$AA:$AA,"&lt;01.01.2022",манзилли!$E:$E,"4")</f>
        <v>0</v>
      </c>
      <c r="AK51" s="37">
        <f>+COUNTIFS('Қўшимча ишга тушган'!$D:$D,'свод (сектор вилоят)'!B47,'Қўшимча ишга тушган'!$AO:$AO,"&lt;01.10.2023",манзилли!$E:$E,"4")</f>
        <v>0</v>
      </c>
      <c r="AL51" s="38">
        <f>(+SUMIFS('Қўшимча ишга тушган'!$T:$T,'Қўшимча ишга тушган'!$D:$D,'свод (сектор вилоят)'!$B$47,'Қўшимча ишга тушган'!$AO:$AO,"&lt;01.10.2023",манзилли!$E:$E,"4"))</f>
        <v>0</v>
      </c>
      <c r="AM51" s="38">
        <f>(+SUMIFS('Қўшимча ишга тушган'!$V:$V,'Қўшимча ишга тушган'!$D:$D,'свод (сектор вилоят)'!$B$47,'Қўшимча ишга тушган'!$AO:$AO,"&lt;01.10.2023",манзилли!$E:$E,"4"))</f>
        <v>0</v>
      </c>
      <c r="AN51" s="38">
        <f>(+SUMIFS('Қўшимча ишга тушган'!$Z:$Z,'Қўшимча ишга тушган'!$D:$D,'свод (сектор вилоят)'!$B$47,'Қўшимча ишга тушган'!$AO:$AO,"&lt;01.10.2023",манзилли!$E:$E,"4"))</f>
        <v>0</v>
      </c>
      <c r="AO51" s="38">
        <f>(+SUMIFS('Қўшимча ишга тушган'!$AB:$AB,'Қўшимча ишга тушган'!$D:$D,'свод (сектор вилоят)'!$B$47,'Қўшимча ишга тушган'!$AO:$AO,"&lt;01.10.2023",манзилли!$E:$E,"4"))</f>
        <v>0</v>
      </c>
      <c r="AP51" s="38">
        <f>(+SUMIFS('Қўшимча ишга тушган'!$AD:$AD,'Қўшимча ишга тушган'!$D:$D,'свод (сектор вилоят)'!$B$47,'Қўшимча ишга тушган'!$AO:$AO,"&lt;01.10.2023",манзилли!$E:$E,"4"))</f>
        <v>0</v>
      </c>
      <c r="AQ51" s="39">
        <f>+SUMIFS('Қўшимча ишга тушган'!$AM:$AM,'Қўшимча ишга тушган'!$D:$D,'свод (сектор вилоят)'!$B$47,'Қўшимча ишга тушган'!$AO:$AO,"&lt;01.10.2023",манзилли!$E:$E,"4")</f>
        <v>0</v>
      </c>
      <c r="AR51" s="37">
        <f>+COUNTIFS(манзилли!$D:$D,'свод (сектор вилоят)'!$B$47,манзилли!$AA:$AA,"&lt;01.02.2021",манзилли!$AB:$AB,"",манзилли!$E:$E,"4")</f>
        <v>0</v>
      </c>
      <c r="AS51" s="38">
        <f>(+SUMIFS(манзилли!$K:$K,манзилли!$D:$D,'свод (сектор вилоят)'!$B$47,манзилли!$AA:$AA,"&lt;01.02.2021",манзилли!$AB:$AB,"",манзилли!$E:$E,"4"))</f>
        <v>0</v>
      </c>
      <c r="AT51" s="38">
        <f>(+SUMIFS(манзилли!$M:$M,манзилли!$D:$D,'свод (сектор вилоят)'!$B$47,манзилли!$AA:$AA,"&lt;01.02.2021",манзилли!$AB:$AB,"",манзилли!$E:$E,"4"))</f>
        <v>0</v>
      </c>
      <c r="AU51" s="38">
        <f>(+SUMIFS(манзилли!$Q:$Q,манзилли!$D:$D,'свод (сектор вилоят)'!$B$47,манзилли!$AA:$AA,"&lt;01.02.2021",манзилли!$AB:$AB,"",манзилли!$E:$E,"4"))</f>
        <v>0</v>
      </c>
      <c r="AV51" s="38">
        <f>(+SUMIFS(манзилли!$S:$S,манзилли!$D:$D,'свод (сектор вилоят)'!$B$47,манзилли!$AA:$AA,"&lt;01.02.2021",манзилли!$AB:$AB,"",манзилли!$E:$E,"4"))</f>
        <v>0</v>
      </c>
      <c r="AW51" s="38">
        <f>(+SUMIFS(манзилли!$U:$U,манзилли!$D:$D,'свод (сектор вилоят)'!$B$47,манзилли!$AA:$AA,"&lt;01.02.2021",манзилли!$AB:$AB,"",манзилли!$E:$E,"4"))</f>
        <v>0</v>
      </c>
      <c r="AX51" s="39">
        <f>+SUMIFS(манзилли!$Y:$Y,манзилли!$D:$D,'свод (сектор вилоят)'!$B$47,манзилли!$AA:$AA,"&lt;01.02.2021",манзилли!$AB:$AB,"",манзилли!$E:$E,"4")</f>
        <v>0</v>
      </c>
      <c r="AY51" s="37">
        <f>+COUNTIFS(манзилли!$D:$D,'свод (сектор вилоят)'!$B$47,манзилли!$AA:$AA,"&lt;01.01.2022",манзилли!$AB:$AB,"",манзилли!$E:$E,"4")</f>
        <v>13</v>
      </c>
      <c r="AZ51" s="38">
        <f>(+SUMIFS(манзилли!$K:$K,манзилли!$D:$D,'свод (сектор вилоят)'!$B$47,манзилли!$AA:$AA,"&lt;01.01.2022",манзилли!$AB:$AB,"",манзилли!$E:$E,"4"))</f>
        <v>18676</v>
      </c>
      <c r="BA51" s="38">
        <f>(+SUMIFS(манзилли!$M:$M,манзилли!$D:$D,'свод (сектор вилоят)'!$B$47,манзилли!$AA:$AA,"&lt;01.01.2022",манзилли!$AB:$AB,"",манзилли!$E:$E,"4"))</f>
        <v>6660</v>
      </c>
      <c r="BB51" s="38">
        <f>(+SUMIFS(манзилли!$Q:$Q,манзилли!$D:$D,'свод (сектор вилоят)'!$B$47,манзилли!$AA:$AA,"&lt;01.01.2022",манзилли!$AB:$AB,"",манзилли!$E:$E,"4"))</f>
        <v>4600</v>
      </c>
      <c r="BC51" s="38">
        <f>(+SUMIFS(манзилли!$S:$S,манзилли!$D:$D,'свод (сектор вилоят)'!$B$47,манзилли!$AA:$AA,"&lt;01.01.2022",манзилли!$AB:$AB,"",манзилли!$E:$E,"4"))</f>
        <v>720</v>
      </c>
      <c r="BD51" s="38">
        <f>(+SUMIFS(манзилли!$U:$U,манзилли!$D:$D,'свод (сектор вилоят)'!$B$47,манзилли!$AA:$AA,"&lt;01.01.2022",манзилли!$AB:$AB,"",манзилли!$E:$E,"4"))</f>
        <v>0</v>
      </c>
      <c r="BE51" s="39">
        <f>+SUMIFS(манзилли!$Y:$Y,манзилли!$D:$D,'свод (сектор вилоят)'!$B$47,манзилли!$AA:$AA,"&lt;01.01.2022",манзилли!$AB:$AB,"",манзилли!$E:$E,"4")</f>
        <v>93</v>
      </c>
      <c r="BF51" s="37">
        <f>+COUNTIFS(манзилли!$D:$D,'свод (сектор вилоят)'!$B$47,манзилли!$AA:$AA,"&lt;01.01.2023",манзилли!$AA:$AA,"&gt;=01.01.2022",манзилли!$E:$E,"4")</f>
        <v>1</v>
      </c>
      <c r="BG51" s="38">
        <f>(+SUMIFS(манзилли!$K:$K,манзилли!$D:$D,'свод (сектор вилоят)'!$B$47,манзилли!$AA:$AA,"&lt;01.01.2023",манзилли!$AA:$AA,"&gt;=01.01.2022",манзилли!$E:$E,"4"))</f>
        <v>1500</v>
      </c>
      <c r="BH51" s="38">
        <f>(+SUMIFS(манзилли!$M:$M,манзилли!$D:$D,'свод (сектор вилоят)'!$B$47,манзилли!$AA:$AA,"&lt;01.01.2023",манзилли!$AA:$AA,"&gt;=01.01.2022",манзилли!$E:$E,"4"))</f>
        <v>500</v>
      </c>
      <c r="BI51" s="38">
        <f>(+SUMIFS(манзилли!$Q:$Q,манзилли!$D:$D,'свод (сектор вилоят)'!$B$47,манзилли!$AA:$AA,"&lt;01.01.2023",манзилли!$AA:$AA,"&gt;=01.01.2022",манзилли!$E:$E,"4"))</f>
        <v>1000</v>
      </c>
      <c r="BJ51" s="38">
        <f>(+SUMIFS(манзилли!$S:$S,манзилли!$D:$D,'свод (сектор вилоят)'!$B$47,манзилли!$AA:$AA,"&lt;01.01.2023",манзилли!$AA:$AA,"&gt;=01.01.2022",манзилли!$E:$E,"4"))</f>
        <v>0</v>
      </c>
      <c r="BK51" s="38">
        <f>(+SUMIFS(манзилли!$U:$U,манзилли!$D:$D,'свод (сектор вилоят)'!$B$47,манзилли!$AA:$AA,"&lt;01.01.2023",манзилли!$AA:$AA,"&gt;=01.01.2022",манзилли!$E:$E,"4"))</f>
        <v>0</v>
      </c>
      <c r="BL51" s="39">
        <f>+SUMIFS(манзилли!$Y:$Y,манзилли!$D:$D,'свод (сектор вилоят)'!$B$47,манзилли!$AA:$AA,"&lt;01.01.2023",манзилли!$AA:$AA,"&gt;=01.01.2022",манзилли!$E:$E,"4")</f>
        <v>2</v>
      </c>
    </row>
    <row r="52" spans="1:64" s="3" customFormat="1" ht="39.75" customHeight="1" thickBot="1">
      <c r="A52" s="53">
        <v>10</v>
      </c>
      <c r="B52" s="54" t="s">
        <v>298</v>
      </c>
      <c r="C52" s="41">
        <f>+SUM(C53:C56)</f>
        <v>36</v>
      </c>
      <c r="D52" s="41">
        <f t="shared" ref="D52" si="561">+SUM(D53:D56)</f>
        <v>248028.9</v>
      </c>
      <c r="E52" s="41">
        <f t="shared" ref="E52" si="562">+SUM(E53:E56)</f>
        <v>147430</v>
      </c>
      <c r="F52" s="41">
        <f t="shared" ref="F52" si="563">+SUM(F53:F56)</f>
        <v>67505</v>
      </c>
      <c r="G52" s="41">
        <f t="shared" ref="G52" si="564">+SUM(G53:G56)</f>
        <v>213</v>
      </c>
      <c r="H52" s="41">
        <f t="shared" ref="H52" si="565">+SUM(H53:H56)</f>
        <v>3000</v>
      </c>
      <c r="I52" s="41">
        <f t="shared" ref="I52" si="566">+SUM(I53:I56)</f>
        <v>425</v>
      </c>
      <c r="J52" s="41">
        <f t="shared" ref="J52" si="567">+SUM(J53:J56)</f>
        <v>26</v>
      </c>
      <c r="K52" s="41">
        <f t="shared" ref="K52" si="568">+SUM(K53:K56)</f>
        <v>51735.740000000005</v>
      </c>
      <c r="L52" s="41">
        <f t="shared" ref="L52" si="569">+SUM(L53:L56)</f>
        <v>5900</v>
      </c>
      <c r="M52" s="41">
        <f t="shared" ref="M52" si="570">+SUM(M53:M56)</f>
        <v>45237</v>
      </c>
      <c r="N52" s="41">
        <f t="shared" ref="N52" si="571">+SUM(N53:N56)</f>
        <v>58.7</v>
      </c>
      <c r="O52" s="41">
        <f t="shared" ref="O52" si="572">+SUM(O53:O56)</f>
        <v>0</v>
      </c>
      <c r="P52" s="41">
        <f t="shared" ref="P52" si="573">+SUM(P53:P56)</f>
        <v>29</v>
      </c>
      <c r="Q52" s="41">
        <f t="shared" ref="Q52" si="574">+SUM(Q53:Q56)</f>
        <v>234513.9</v>
      </c>
      <c r="R52" s="41">
        <f t="shared" ref="R52" si="575">+SUM(R53:R56)</f>
        <v>143830</v>
      </c>
      <c r="S52" s="41">
        <f t="shared" ref="S52" si="576">+SUM(S53:S56)</f>
        <v>58105</v>
      </c>
      <c r="T52" s="41">
        <f t="shared" ref="T52" si="577">+SUM(T53:T56)</f>
        <v>163</v>
      </c>
      <c r="U52" s="41">
        <f t="shared" ref="U52" si="578">+SUM(U53:U56)</f>
        <v>3000</v>
      </c>
      <c r="V52" s="41">
        <f t="shared" ref="V52" si="579">+SUM(V53:V56)</f>
        <v>395</v>
      </c>
      <c r="W52" s="41">
        <f t="shared" ref="W52" si="580">+SUM(W53:W56)</f>
        <v>1</v>
      </c>
      <c r="X52" s="41">
        <f t="shared" ref="X52" si="581">+SUM(X53:X56)</f>
        <v>4000</v>
      </c>
      <c r="Y52" s="41">
        <f t="shared" ref="Y52" si="582">+SUM(Y53:Y56)</f>
        <v>3300</v>
      </c>
      <c r="Z52" s="41">
        <f t="shared" ref="Z52" si="583">+SUM(Z53:Z56)</f>
        <v>700</v>
      </c>
      <c r="AA52" s="41">
        <f t="shared" ref="AA52" si="584">+SUM(AA53:AA56)</f>
        <v>0</v>
      </c>
      <c r="AB52" s="41">
        <f t="shared" ref="AB52" si="585">+SUM(AB53:AB56)</f>
        <v>0</v>
      </c>
      <c r="AC52" s="41">
        <f t="shared" ref="AC52" si="586">+SUM(AC53:AC56)</f>
        <v>4</v>
      </c>
      <c r="AD52" s="41">
        <f t="shared" ref="AD52" si="587">+SUM(AD53:AD56)</f>
        <v>1</v>
      </c>
      <c r="AE52" s="41">
        <f t="shared" ref="AE52" si="588">+SUM(AE53:AE56)</f>
        <v>4000</v>
      </c>
      <c r="AF52" s="41">
        <f t="shared" ref="AF52" si="589">+SUM(AF53:AF56)</f>
        <v>3300</v>
      </c>
      <c r="AG52" s="41">
        <f t="shared" ref="AG52" si="590">+SUM(AG53:AG56)</f>
        <v>700</v>
      </c>
      <c r="AH52" s="41">
        <f t="shared" ref="AH52" si="591">+SUM(AH53:AH56)</f>
        <v>0</v>
      </c>
      <c r="AI52" s="41">
        <f t="shared" ref="AI52" si="592">+SUM(AI53:AI56)</f>
        <v>0</v>
      </c>
      <c r="AJ52" s="41">
        <f t="shared" ref="AJ52" si="593">+SUM(AJ53:AJ56)</f>
        <v>4</v>
      </c>
      <c r="AK52" s="41">
        <f t="shared" ref="AK52" si="594">+SUM(AK53:AK56)</f>
        <v>0</v>
      </c>
      <c r="AL52" s="41">
        <f t="shared" ref="AL52" si="595">+SUM(AL53:AL56)</f>
        <v>0</v>
      </c>
      <c r="AM52" s="41">
        <f t="shared" ref="AM52" si="596">+SUM(AM53:AM56)</f>
        <v>0</v>
      </c>
      <c r="AN52" s="41">
        <f t="shared" ref="AN52" si="597">+SUM(AN53:AN56)</f>
        <v>0</v>
      </c>
      <c r="AO52" s="41">
        <f t="shared" ref="AO52" si="598">+SUM(AO53:AO56)</f>
        <v>0</v>
      </c>
      <c r="AP52" s="41">
        <f t="shared" ref="AP52" si="599">+SUM(AP53:AP56)</f>
        <v>0</v>
      </c>
      <c r="AQ52" s="41">
        <f t="shared" ref="AQ52" si="600">+SUM(AQ53:AQ56)</f>
        <v>0</v>
      </c>
      <c r="AR52" s="41">
        <f t="shared" ref="AR52" si="601">+SUM(AR53:AR56)</f>
        <v>0</v>
      </c>
      <c r="AS52" s="41">
        <f t="shared" ref="AS52" si="602">+SUM(AS53:AS56)</f>
        <v>0</v>
      </c>
      <c r="AT52" s="41">
        <f t="shared" ref="AT52" si="603">+SUM(AT53:AT56)</f>
        <v>0</v>
      </c>
      <c r="AU52" s="41">
        <f t="shared" ref="AU52" si="604">+SUM(AU53:AU56)</f>
        <v>0</v>
      </c>
      <c r="AV52" s="41">
        <f t="shared" ref="AV52" si="605">+SUM(AV53:AV56)</f>
        <v>0</v>
      </c>
      <c r="AW52" s="41">
        <f t="shared" ref="AW52" si="606">+SUM(AW53:AW56)</f>
        <v>0</v>
      </c>
      <c r="AX52" s="41">
        <f t="shared" ref="AX52" si="607">+SUM(AX53:AX56)</f>
        <v>0</v>
      </c>
      <c r="AY52" s="41">
        <f t="shared" ref="AY52" si="608">+SUM(AY53:AY56)</f>
        <v>27</v>
      </c>
      <c r="AZ52" s="41">
        <f t="shared" ref="AZ52" si="609">+SUM(AZ53:AZ56)</f>
        <v>228613.9</v>
      </c>
      <c r="BA52" s="41">
        <f t="shared" ref="BA52" si="610">+SUM(BA53:BA56)</f>
        <v>140930</v>
      </c>
      <c r="BB52" s="41">
        <f t="shared" ref="BB52" si="611">+SUM(BB53:BB56)</f>
        <v>55105</v>
      </c>
      <c r="BC52" s="41">
        <f t="shared" ref="BC52" si="612">+SUM(BC53:BC56)</f>
        <v>163</v>
      </c>
      <c r="BD52" s="41">
        <f t="shared" ref="BD52" si="613">+SUM(BD53:BD56)</f>
        <v>3000</v>
      </c>
      <c r="BE52" s="41">
        <f t="shared" ref="BE52" si="614">+SUM(BE53:BE56)</f>
        <v>388</v>
      </c>
      <c r="BF52" s="41">
        <f t="shared" ref="BF52" si="615">+SUM(BF53:BF56)</f>
        <v>3</v>
      </c>
      <c r="BG52" s="41">
        <f t="shared" ref="BG52" si="616">+SUM(BG53:BG56)</f>
        <v>3215</v>
      </c>
      <c r="BH52" s="41">
        <f t="shared" ref="BH52" si="617">+SUM(BH53:BH56)</f>
        <v>1400</v>
      </c>
      <c r="BI52" s="41">
        <f t="shared" ref="BI52" si="618">+SUM(BI53:BI56)</f>
        <v>1300</v>
      </c>
      <c r="BJ52" s="41">
        <f t="shared" ref="BJ52" si="619">+SUM(BJ53:BJ56)</f>
        <v>50</v>
      </c>
      <c r="BK52" s="41">
        <f t="shared" ref="BK52" si="620">+SUM(BK53:BK56)</f>
        <v>0</v>
      </c>
      <c r="BL52" s="43">
        <f t="shared" ref="BL52" si="621">+SUM(BL53:BL56)</f>
        <v>15</v>
      </c>
    </row>
    <row r="53" spans="1:64" s="3" customFormat="1" ht="39.75" customHeight="1">
      <c r="A53" s="52"/>
      <c r="B53" s="50" t="s">
        <v>1771</v>
      </c>
      <c r="C53" s="46">
        <f>+COUNTIFS(манзилли!$D:$D,'свод (сектор вилоят)'!$B$52,манзилли!$E:$E,"1")</f>
        <v>11</v>
      </c>
      <c r="D53" s="47">
        <f>(+SUMIFS(манзилли!$K:$K,манзилли!$D:$D,'свод (сектор вилоят)'!$B$52,манзилли!$E:$E,"1"))</f>
        <v>161853</v>
      </c>
      <c r="E53" s="47">
        <f>(+SUMIFS(манзилли!$M:$M,манзилли!$D:$D,'свод (сектор вилоят)'!$B$52,манзилли!$E:$E,"1"))</f>
        <v>117630</v>
      </c>
      <c r="F53" s="47">
        <f>(+SUMIFS(манзилли!$Q:$Q,манзилли!$D:$D,'свод (сектор вилоят)'!$B$52,манзилли!$E:$E,"1"))</f>
        <v>13323</v>
      </c>
      <c r="G53" s="47">
        <f>(+SUMIFS(манзилли!$S:$S,манзилли!$D:$D,'свод (сектор вилоят)'!$B$52,манзилли!$E:$E,"1"))</f>
        <v>0</v>
      </c>
      <c r="H53" s="47">
        <f>(+SUMIFS(манзилли!$U:$U,манзилли!$D:$D,'свод (сектор вилоят)'!$B$52,манзилли!$E:$E,"1"))</f>
        <v>3000</v>
      </c>
      <c r="I53" s="48">
        <f>+SUMIFS(манзилли!$Y:$Y,манзилли!$D:$D,'свод (сектор вилоят)'!$B$52,манзилли!$E:$E,"1")</f>
        <v>248</v>
      </c>
      <c r="J53" s="46">
        <f>(+COUNTIFS(манзилли!$L:$L,"&gt;0",манзилли!$D:$D,'свод (сектор вилоят)'!$B$52,манзилли!$E:$E,"1")+COUNTIFS('Қўшимча ишга тушган'!$T:$T,"&gt;0",'Қўшимча ишга тушган'!$D:$D,'свод (сектор вилоят)'!$B$52,'Қўшимча ишга тушган'!$E:$E,"1"))</f>
        <v>8</v>
      </c>
      <c r="K53" s="48">
        <f>(+SUMIFS(манзилли!$L:$L,манзилли!$D:$D,'свод (сектор вилоят)'!$B$52,манзилли!$E:$E,"1")+SUMIFS('Қўшимча ишга тушган'!$T:$T,'Қўшимча ишга тушган'!$D:$D,'свод (сектор вилоят)'!$B$52,'Қўшимча ишга тушган'!$E:$E,"1"))</f>
        <v>14623</v>
      </c>
      <c r="L53" s="49">
        <f>(+SUMIFS(манзилли!$N:$N,манзилли!$D:$D,'свод (сектор вилоят)'!$B$52,манзилли!$E:$E,"1")+SUMIFS('Қўшимча ишга тушган'!$V:$V,'Қўшимча ишга тушган'!$D:$D,'свод (сектор вилоят)'!$B$52,'Қўшимча ишга тушган'!$E:$E,"1"))</f>
        <v>1900</v>
      </c>
      <c r="M53" s="47">
        <f>(+SUMIFS(манзилли!$R:$R,манзилли!$D:$D,'свод (сектор вилоят)'!$B$52,манзилли!$E:$E,"1")+SUMIFS('Қўшимча ишга тушган'!$Z:$Z,'Қўшимча ишга тушган'!$D:$D,'свод (сектор вилоят)'!$B$52,'Қўшимча ишга тушган'!$E:$E,"1"))</f>
        <v>12723</v>
      </c>
      <c r="N53" s="47">
        <f>(+SUMIFS(манзилли!$T:$T,манзилли!$D:$D,'свод (сектор вилоят)'!$B$52,манзилли!$E:$E,"1")+SUMIFS('Қўшимча ишга тушган'!$AB:$AB,'Қўшимча ишга тушган'!$D:$D,'свод (сектор вилоят)'!$B$52,'Қўшимча ишга тушган'!$E:$E,"1"))</f>
        <v>0</v>
      </c>
      <c r="O53" s="48">
        <f>(+SUMIFS(манзилли!$V:$V,манзилли!$D:$D,'свод (сектор вилоят)'!$B$52,манзилли!$E:$E,"1")+SUMIFS('Қўшимча ишга тушган'!$AD:$AD,'Қўшимча ишга тушган'!$D:$D,'свод (сектор вилоят)'!$B$52,'Қўшимча ишга тушган'!$E:$E,"1"))</f>
        <v>0</v>
      </c>
      <c r="P53" s="46">
        <f>+COUNTIFS(манзилли!$D:$D,'свод (сектор вилоят)'!$B$52,манзилли!$AA:$AA,"&gt;31.12.2020",манзилли!$AA:$AA,"&lt;01.01.2022",манзилли!$E:$E,"1")</f>
        <v>9</v>
      </c>
      <c r="Q53" s="47">
        <f>(+SUMIFS(манзилли!$K:$K,манзилли!$D:$D,'свод (сектор вилоят)'!$B$52,манзилли!$AA:$AA,"&gt;31.12.2020",манзилли!$AA:$AA,"&lt;01.01.2022",манзилли!$E:$E,"1"))</f>
        <v>152853</v>
      </c>
      <c r="R53" s="47">
        <f>(+SUMIFS(манзилли!$M:$M,манзилли!$D:$D,'свод (сектор вилоят)'!$B$52,манзилли!$AA:$AA,"&gt;31.12.2020",манзилли!$AA:$AA,"&lt;01.01.2022",манзилли!$E:$E,"1"))</f>
        <v>116130</v>
      </c>
      <c r="S53" s="47">
        <f>(+SUMIFS(манзилли!$Q:$Q,манзилли!$D:$D,'свод (сектор вилоят)'!$B$52,манзилли!$AA:$AA,"&gt;31.12.2020",манзилли!$AA:$AA,"&lt;01.01.2022",манзилли!$E:$E,"1"))</f>
        <v>5823</v>
      </c>
      <c r="T53" s="47">
        <f>(+SUMIFS(манзилли!$S:$S,манзилли!$D:$D,'свод (сектор вилоят)'!$B$52,манзилли!$AA:$AA,"&gt;31.12.2020",манзилли!$AA:$AA,"&lt;01.01.2022",манзилли!$E:$E,"1"))</f>
        <v>0</v>
      </c>
      <c r="U53" s="47">
        <f>(+SUMIFS(манзилли!$U:$U,манзилли!$D:$D,'свод (сектор вилоят)'!$B$52,манзилли!$AA:$AA,"&gt;31.12.2020",манзилли!$AA:$AA,"&lt;01.01.2022",манзилли!$E:$E,"1"))</f>
        <v>3000</v>
      </c>
      <c r="V53" s="48">
        <f>+SUMIFS(манзилли!$Y:$Y,манзилли!$D:$D,'свод (сектор вилоят)'!$B$52,манзилли!$AA:$AA,"&gt;31.12.2020",манзилли!$AA:$AA,"&lt;01.01.2022",манзилли!$E:$E,"1")</f>
        <v>240</v>
      </c>
      <c r="W53" s="46">
        <f>+AD53+AK53</f>
        <v>0</v>
      </c>
      <c r="X53" s="47">
        <f t="shared" ref="X53:X56" si="622">+AE53+AL53</f>
        <v>0</v>
      </c>
      <c r="Y53" s="47">
        <f t="shared" ref="Y53:Y56" si="623">+AF53+AM53</f>
        <v>0</v>
      </c>
      <c r="Z53" s="47">
        <f t="shared" ref="Z53:Z56" si="624">+AG53+AN53</f>
        <v>0</v>
      </c>
      <c r="AA53" s="47">
        <f t="shared" ref="AA53:AA56" si="625">+AH53+AO53</f>
        <v>0</v>
      </c>
      <c r="AB53" s="47">
        <f t="shared" ref="AB53:AB56" si="626">+AI53+AP53</f>
        <v>0</v>
      </c>
      <c r="AC53" s="48">
        <f t="shared" ref="AC53:AC56" si="627">+AJ53+AQ53</f>
        <v>0</v>
      </c>
      <c r="AD53" s="46">
        <f>+COUNTIFS(манзилли!$D:$D,'свод (сектор вилоят)'!$B$52,манзилли!$AB:$AB,"&gt;31.12.2020",манзилли!$AA:$AA,"&gt;31.12.2020",манзилли!$AA:$AA,"&lt;01.01.2022",манзилли!$E:$E,"1")</f>
        <v>0</v>
      </c>
      <c r="AE53" s="47">
        <f>(+SUMIFS(манзилли!$L:$L,манзилли!$D:$D,'свод (сектор вилоят)'!$B$52,манзилли!$AB:$AB,"&gt;31.12.2020",манзилли!$AA:$AA,"&gt;31.12.2020",манзилли!$AA:$AA,"&lt;01.01.2022",манзилли!$E:$E,"1"))</f>
        <v>0</v>
      </c>
      <c r="AF53" s="47">
        <f>(+SUMIFS(манзилли!$N:$N,манзилли!$D:$D,'свод (сектор вилоят)'!$B$52,манзилли!$AB:$AB,"&gt;31.12.2020",манзилли!$AA:$AA,"&gt;31.12.2020",манзилли!$AA:$AA,"&lt;01.01.2022",манзилли!$E:$E,"1"))</f>
        <v>0</v>
      </c>
      <c r="AG53" s="47">
        <f>(+SUMIFS(манзилли!$R:$R,манзилли!$D:$D,'свод (сектор вилоят)'!$B$52,манзилли!$AB:$AB,"&gt;31.12.2020",манзилли!$AA:$AA,"&gt;31.12.2020",манзилли!$AA:$AA,"&lt;01.01.2022",манзилли!$E:$E,"1"))</f>
        <v>0</v>
      </c>
      <c r="AH53" s="47">
        <f>(+SUMIFS(манзилли!$T:$T,манзилли!$D:$D,'свод (сектор вилоят)'!$B$52,манзилли!$AB:$AB,"&gt;31.12.2020",манзилли!$AA:$AA,"&gt;31.12.2020",манзилли!$AA:$AA,"&lt;01.01.2022",манзилли!$E:$E,"1"))</f>
        <v>0</v>
      </c>
      <c r="AI53" s="47">
        <f>(+SUMIFS(манзилли!$V:$V,манзилли!$D:$D,'свод (сектор вилоят)'!$B$52,манзилли!$AB:$AB,"&gt;31.12.2020",манзилли!$AA:$AA,"&gt;31.12.2020",манзилли!$AA:$AA,"&lt;01.01.2022",манзилли!$E:$E,"1"))</f>
        <v>0</v>
      </c>
      <c r="AJ53" s="48">
        <f>+SUMIFS(манзилли!$Z:$Z,манзилли!$D:$D,'свод (сектор вилоят)'!$B$52,манзилли!$AB:$AB,"&gt;31.12.2020",манзилли!$AA:$AA,"&gt;31.12.2020",манзилли!$AA:$AA,"&lt;01.01.2022",манзилли!$E:$E,"1")</f>
        <v>0</v>
      </c>
      <c r="AK53" s="46">
        <f>+COUNTIFS('Қўшимча ишга тушган'!$D:$D,'свод (сектор вилоят)'!B52,'Қўшимча ишга тушган'!$AO:$AO,"&lt;01.10.2023",манзилли!$E:$E,"1")</f>
        <v>0</v>
      </c>
      <c r="AL53" s="47">
        <f>(+SUMIFS('Қўшимча ишга тушган'!$T:$T,'Қўшимча ишга тушган'!$D:$D,'свод (сектор вилоят)'!$B$52,'Қўшимча ишга тушган'!$AO:$AO,"&lt;01.10.2023",манзилли!$E:$E,"1"))</f>
        <v>0</v>
      </c>
      <c r="AM53" s="47">
        <f>(+SUMIFS('Қўшимча ишга тушган'!$V:$V,'Қўшимча ишга тушган'!$D:$D,'свод (сектор вилоят)'!$B$52,'Қўшимча ишга тушган'!$AO:$AO,"&lt;01.10.2023",манзилли!$E:$E,"1"))</f>
        <v>0</v>
      </c>
      <c r="AN53" s="47">
        <f>(+SUMIFS('Қўшимча ишга тушган'!$Z:$Z,'Қўшимча ишга тушган'!$D:$D,'свод (сектор вилоят)'!$B$52,'Қўшимча ишга тушган'!$AO:$AO,"&lt;01.10.2023",манзилли!$E:$E,"1"))</f>
        <v>0</v>
      </c>
      <c r="AO53" s="47">
        <f>(+SUMIFS('Қўшимча ишга тушган'!$AB:$AB,'Қўшимча ишга тушган'!$D:$D,'свод (сектор вилоят)'!$B$52,'Қўшимча ишга тушган'!$AO:$AO,"&lt;01.10.2023",манзилли!$E:$E,"1"))</f>
        <v>0</v>
      </c>
      <c r="AP53" s="47">
        <f>(+SUMIFS('Қўшимча ишга тушган'!$AD:$AD,'Қўшимча ишга тушган'!$D:$D,'свод (сектор вилоят)'!$B$52,'Қўшимча ишга тушган'!$AO:$AO,"&lt;01.10.2023",манзилли!$E:$E,"1"))</f>
        <v>0</v>
      </c>
      <c r="AQ53" s="48">
        <f>+SUMIFS('Қўшимча ишга тушган'!$AM:$AM,'Қўшимча ишга тушган'!$D:$D,'свод (сектор вилоят)'!$B$52,'Қўшимча ишга тушган'!$AO:$AO,"&lt;01.10.2023",манзилли!$E:$E,"1")</f>
        <v>0</v>
      </c>
      <c r="AR53" s="46">
        <f>+COUNTIFS(манзилли!$D:$D,'свод (сектор вилоят)'!$B$52,манзилли!$AA:$AA,"&lt;01.02.2021",манзилли!$AB:$AB,"",манзилли!$E:$E,"1")</f>
        <v>0</v>
      </c>
      <c r="AS53" s="47">
        <f>(+SUMIFS(манзилли!$K:$K,манзилли!$D:$D,'свод (сектор вилоят)'!$B$52,манзилли!$AA:$AA,"&lt;01.02.2021",манзилли!$AB:$AB,"",манзилли!$E:$E,"1"))</f>
        <v>0</v>
      </c>
      <c r="AT53" s="47">
        <f>(+SUMIFS(манзилли!$M:$M,манзилли!$D:$D,'свод (сектор вилоят)'!$B$52,манзилли!$AA:$AA,"&lt;01.02.2021",манзилли!$AB:$AB,"",манзилли!$E:$E,"1"))</f>
        <v>0</v>
      </c>
      <c r="AU53" s="47">
        <f>(+SUMIFS(манзилли!$Q:$Q,манзилли!$D:$D,'свод (сектор вилоят)'!$B$52,манзилли!$AA:$AA,"&lt;01.02.2021",манзилли!$AB:$AB,"",манзилли!$E:$E,"1"))</f>
        <v>0</v>
      </c>
      <c r="AV53" s="47">
        <f>(+SUMIFS(манзилли!$S:$S,манзилли!$D:$D,'свод (сектор вилоят)'!$B$52,манзилли!$AA:$AA,"&lt;01.02.2021",манзилли!$AB:$AB,"",манзилли!$E:$E,"1"))</f>
        <v>0</v>
      </c>
      <c r="AW53" s="47">
        <f>(+SUMIFS(манзилли!$U:$U,манзилли!$D:$D,'свод (сектор вилоят)'!$B$52,манзилли!$AA:$AA,"&lt;01.02.2021",манзилли!$AB:$AB,"",манзилли!$E:$E,"1"))</f>
        <v>0</v>
      </c>
      <c r="AX53" s="48">
        <f>+SUMIFS(манзилли!$Y:$Y,манзилли!$D:$D,'свод (сектор вилоят)'!$B$52,манзилли!$AA:$AA,"&lt;01.02.2021",манзилли!$AB:$AB,"",манзилли!$E:$E,"1")</f>
        <v>0</v>
      </c>
      <c r="AY53" s="46">
        <f>+COUNTIFS(манзилли!$D:$D,'свод (сектор вилоят)'!$B$52,манзилли!$AA:$AA,"&lt;01.01.2022",манзилли!$AB:$AB,"",манзилли!$E:$E,"1")</f>
        <v>8</v>
      </c>
      <c r="AZ53" s="47">
        <f>(+SUMIFS(манзилли!$K:$K,манзилли!$D:$D,'свод (сектор вилоят)'!$B$52,манзилли!$AA:$AA,"&lt;01.01.2022",манзилли!$AB:$AB,"",манзилли!$E:$E,"1"))</f>
        <v>151953</v>
      </c>
      <c r="BA53" s="47">
        <f>(+SUMIFS(манзилли!$M:$M,манзилли!$D:$D,'свод (сектор вилоят)'!$B$52,манзилли!$AA:$AA,"&lt;01.01.2022",манзилли!$AB:$AB,"",манзилли!$E:$E,"1"))</f>
        <v>115730</v>
      </c>
      <c r="BB53" s="47">
        <f>(+SUMIFS(манзилли!$Q:$Q,манзилли!$D:$D,'свод (сектор вилоят)'!$B$52,манзилли!$AA:$AA,"&lt;01.01.2022",манзилли!$AB:$AB,"",манзилли!$E:$E,"1"))</f>
        <v>5323</v>
      </c>
      <c r="BC53" s="47">
        <f>(+SUMIFS(манзилли!$S:$S,манзилли!$D:$D,'свод (сектор вилоят)'!$B$52,манзилли!$AA:$AA,"&lt;01.01.2022",манзилли!$AB:$AB,"",манзилли!$E:$E,"1"))</f>
        <v>0</v>
      </c>
      <c r="BD53" s="47">
        <f>(+SUMIFS(манзилли!$U:$U,манзилли!$D:$D,'свод (сектор вилоят)'!$B$52,манзилли!$AA:$AA,"&lt;01.01.2022",манзилли!$AB:$AB,"",манзилли!$E:$E,"1"))</f>
        <v>3000</v>
      </c>
      <c r="BE53" s="48">
        <f>+SUMIFS(манзилли!$Y:$Y,манзилли!$D:$D,'свод (сектор вилоят)'!$B$52,манзилли!$AA:$AA,"&lt;01.01.2022",манзилли!$AB:$AB,"",манзилли!$E:$E,"1")</f>
        <v>237</v>
      </c>
      <c r="BF53" s="46">
        <f>+COUNTIFS(манзилли!$D:$D,'свод (сектор вилоят)'!$B$52,манзилли!$AA:$AA,"&lt;01.01.2023",манзилли!$AA:$AA,"&gt;=01.01.2022",манзилли!$E:$E,"1")</f>
        <v>0</v>
      </c>
      <c r="BG53" s="47">
        <f>(+SUMIFS(манзилли!$K:$K,манзилли!$D:$D,'свод (сектор вилоят)'!$B$52,манзилли!$AA:$AA,"&lt;01.01.2023",манзилли!$AA:$AA,"&gt;=01.01.2022",манзилли!$E:$E,"1"))</f>
        <v>0</v>
      </c>
      <c r="BH53" s="47">
        <f>(+SUMIFS(манзилли!$M:$M,манзилли!$D:$D,'свод (сектор вилоят)'!$B$52,манзилли!$AA:$AA,"&lt;01.01.2023",манзилли!$AA:$AA,"&gt;=01.01.2022",манзилли!$E:$E,"1"))</f>
        <v>0</v>
      </c>
      <c r="BI53" s="47">
        <f>(+SUMIFS(манзилли!$Q:$Q,манзилли!$D:$D,'свод (сектор вилоят)'!$B$52,манзилли!$AA:$AA,"&lt;01.01.2023",манзилли!$AA:$AA,"&gt;=01.01.2022",манзилли!$E:$E,"1"))</f>
        <v>0</v>
      </c>
      <c r="BJ53" s="47">
        <f>(+SUMIFS(манзилли!$S:$S,манзилли!$D:$D,'свод (сектор вилоят)'!$B$52,манзилли!$AA:$AA,"&lt;01.01.2023",манзилли!$AA:$AA,"&gt;=01.01.2022",манзилли!$E:$E,"1"))</f>
        <v>0</v>
      </c>
      <c r="BK53" s="47">
        <f>(+SUMIFS(манзилли!$U:$U,манзилли!$D:$D,'свод (сектор вилоят)'!$B$52,манзилли!$AA:$AA,"&lt;01.01.2023",манзилли!$AA:$AA,"&gt;=01.01.2022",манзилли!$E:$E,"1"))</f>
        <v>0</v>
      </c>
      <c r="BL53" s="48">
        <f>+SUMIFS(манзилли!$Y:$Y,манзилли!$D:$D,'свод (сектор вилоят)'!$B$52,манзилли!$AA:$AA,"&lt;01.01.2023",манзилли!$AA:$AA,"&gt;=01.01.2022",манзилли!$E:$E,"1")</f>
        <v>0</v>
      </c>
    </row>
    <row r="54" spans="1:64" s="3" customFormat="1" ht="39.75" customHeight="1">
      <c r="A54" s="51"/>
      <c r="B54" s="27" t="s">
        <v>1772</v>
      </c>
      <c r="C54" s="28">
        <f>+COUNTIFS(манзилли!$D:$D,'свод (сектор вилоят)'!$B$52,манзилли!$E:$E,"2")</f>
        <v>7</v>
      </c>
      <c r="D54" s="29">
        <f>(+SUMIFS(манзилли!$K:$K,манзилли!$D:$D,'свод (сектор вилоят)'!$B$52,манзилли!$E:$E,"2"))</f>
        <v>11600</v>
      </c>
      <c r="E54" s="29">
        <f>(+SUMIFS(манзилли!$M:$M,манзилли!$D:$D,'свод (сектор вилоят)'!$B$52,манзилли!$E:$E,"2"))</f>
        <v>4700</v>
      </c>
      <c r="F54" s="29">
        <f>(+SUMIFS(манзилли!$Q:$Q,манзилли!$D:$D,'свод (сектор вилоят)'!$B$52,манзилли!$E:$E,"2"))</f>
        <v>6900</v>
      </c>
      <c r="G54" s="29">
        <f>(+SUMIFS(манзилли!$S:$S,манзилли!$D:$D,'свод (сектор вилоят)'!$B$52,манзилли!$E:$E,"2"))</f>
        <v>0</v>
      </c>
      <c r="H54" s="29">
        <f>(+SUMIFS(манзилли!$U:$U,манзилли!$D:$D,'свод (сектор вилоят)'!$B$52,манзилли!$E:$E,"2"))</f>
        <v>0</v>
      </c>
      <c r="I54" s="30">
        <f>+SUMIFS(манзилли!$Y:$Y,манзилли!$D:$D,'свод (сектор вилоят)'!$B$52,манзилли!$E:$E,"2")</f>
        <v>30</v>
      </c>
      <c r="J54" s="28">
        <f>(+COUNTIFS(манзилли!$L:$L,"&gt;0",манзилли!$D:$D,'свод (сектор вилоят)'!$B$52,манзилли!$E:$E,"2")+COUNTIFS('Қўшимча ишга тушган'!$T:$T,"&gt;0",'Қўшимча ишга тушган'!$D:$D,'свод (сектор вилоят)'!$B$52,'Қўшимча ишга тушган'!$E:$E,"2"))</f>
        <v>6</v>
      </c>
      <c r="K54" s="30">
        <f>(+SUMIFS(манзилли!$L:$L,манзилли!$D:$D,'свод (сектор вилоят)'!$B$52,манзилли!$E:$E,"2")+SUMIFS('Қўшимча ишга тушган'!$T:$T,'Қўшимча ишга тушган'!$D:$D,'свод (сектор вилоят)'!$B$52,'Қўшимча ишга тушган'!$E:$E,"2"))</f>
        <v>7015</v>
      </c>
      <c r="L54" s="31">
        <f>(+SUMIFS(манзилли!$N:$N,манзилли!$D:$D,'свод (сектор вилоят)'!$B$52,манзилли!$E:$E,"2")+SUMIFS('Қўшимча ишга тушган'!$V:$V,'Қўшимча ишга тушган'!$D:$D,'свод (сектор вилоят)'!$B$52,'Қўшимча ишга тушган'!$E:$E,"2"))</f>
        <v>4000</v>
      </c>
      <c r="M54" s="29">
        <f>(+SUMIFS(манзилли!$R:$R,манзилли!$D:$D,'свод (сектор вилоят)'!$B$52,манзилли!$E:$E,"2")+SUMIFS('Қўшимча ишга тушган'!$Z:$Z,'Қўшимча ишга тушган'!$D:$D,'свод (сектор вилоят)'!$B$52,'Қўшимча ишга тушган'!$E:$E,"2"))</f>
        <v>3015</v>
      </c>
      <c r="N54" s="29">
        <f>(+SUMIFS(манзилли!$T:$T,манзилли!$D:$D,'свод (сектор вилоят)'!$B$52,манзилли!$E:$E,"2")+SUMIFS('Қўшимча ишга тушган'!$AB:$AB,'Қўшимча ишга тушган'!$D:$D,'свод (сектор вилоят)'!$B$52,'Қўшимча ишга тушган'!$E:$E,"2"))</f>
        <v>0</v>
      </c>
      <c r="O54" s="30">
        <f>(+SUMIFS(манзилли!$V:$V,манзилли!$D:$D,'свод (сектор вилоят)'!$B$52,манзилли!$E:$E,"2")+SUMIFS('Қўшимча ишга тушган'!$AD:$AD,'Қўшимча ишга тушган'!$D:$D,'свод (сектор вилоят)'!$B$52,'Қўшимча ишга тушган'!$E:$E,"2"))</f>
        <v>0</v>
      </c>
      <c r="P54" s="28">
        <f>+COUNTIFS(манзилли!$D:$D,'свод (сектор вилоят)'!$B$52,манзилли!$AA:$AA,"&gt;31.12.2020",манзилли!$AA:$AA,"&lt;01.01.2022",манзилли!$E:$E,"2")</f>
        <v>4</v>
      </c>
      <c r="Q54" s="29">
        <f>(+SUMIFS(манзилли!$K:$K,манзилли!$D:$D,'свод (сектор вилоят)'!$B$52,манзилли!$AA:$AA,"&gt;31.12.2020",манзилли!$AA:$AA,"&lt;01.01.2022",манзилли!$E:$E,"2"))</f>
        <v>9800</v>
      </c>
      <c r="R54" s="29">
        <f>(+SUMIFS(манзилли!$M:$M,манзилли!$D:$D,'свод (сектор вилоят)'!$B$52,манзилли!$AA:$AA,"&gt;31.12.2020",манзилли!$AA:$AA,"&lt;01.01.2022",манзилли!$E:$E,"2"))</f>
        <v>3800</v>
      </c>
      <c r="S54" s="29">
        <f>(+SUMIFS(манзилли!$Q:$Q,манзилли!$D:$D,'свод (сектор вилоят)'!$B$52,манзилли!$AA:$AA,"&gt;31.12.2020",манзилли!$AA:$AA,"&lt;01.01.2022",манзилли!$E:$E,"2"))</f>
        <v>6000</v>
      </c>
      <c r="T54" s="29">
        <f>(+SUMIFS(манзилли!$S:$S,манзилли!$D:$D,'свод (сектор вилоят)'!$B$52,манзилли!$AA:$AA,"&gt;31.12.2020",манзилли!$AA:$AA,"&lt;01.01.2022",манзилли!$E:$E,"2"))</f>
        <v>0</v>
      </c>
      <c r="U54" s="29">
        <f>(+SUMIFS(манзилли!$U:$U,манзилли!$D:$D,'свод (сектор вилоят)'!$B$52,манзилли!$AA:$AA,"&gt;31.12.2020",манзилли!$AA:$AA,"&lt;01.01.2022",манзилли!$E:$E,"2"))</f>
        <v>0</v>
      </c>
      <c r="V54" s="30">
        <f>+SUMIFS(манзилли!$Y:$Y,манзилли!$D:$D,'свод (сектор вилоят)'!$B$52,манзилли!$AA:$AA,"&gt;31.12.2020",манзилли!$AA:$AA,"&lt;01.01.2022",манзилли!$E:$E,"2")</f>
        <v>19</v>
      </c>
      <c r="W54" s="28">
        <f t="shared" ref="W54:W56" si="628">+AD54+AK54</f>
        <v>1</v>
      </c>
      <c r="X54" s="29">
        <f t="shared" si="622"/>
        <v>4000</v>
      </c>
      <c r="Y54" s="29">
        <f t="shared" si="623"/>
        <v>3300</v>
      </c>
      <c r="Z54" s="29">
        <f t="shared" si="624"/>
        <v>700</v>
      </c>
      <c r="AA54" s="29">
        <f t="shared" si="625"/>
        <v>0</v>
      </c>
      <c r="AB54" s="29">
        <f t="shared" si="626"/>
        <v>0</v>
      </c>
      <c r="AC54" s="30">
        <f t="shared" si="627"/>
        <v>4</v>
      </c>
      <c r="AD54" s="28">
        <f>+COUNTIFS(манзилли!$D:$D,'свод (сектор вилоят)'!$B$52,манзилли!$AB:$AB,"&gt;31.12.2020",манзилли!$AA:$AA,"&gt;31.12.2020",манзилли!$AA:$AA,"&lt;01.01.2022",манзилли!$E:$E,"2")</f>
        <v>1</v>
      </c>
      <c r="AE54" s="29">
        <f>(+SUMIFS(манзилли!$L:$L,манзилли!$D:$D,'свод (сектор вилоят)'!$B$52,манзилли!$AB:$AB,"&gt;31.12.2020",манзилли!$AA:$AA,"&gt;31.12.2020",манзилли!$AA:$AA,"&lt;01.01.2022",манзилли!$E:$E,"2"))</f>
        <v>4000</v>
      </c>
      <c r="AF54" s="29">
        <f>(+SUMIFS(манзилли!$N:$N,манзилли!$D:$D,'свод (сектор вилоят)'!$B$52,манзилли!$AB:$AB,"&gt;31.12.2020",манзилли!$AA:$AA,"&gt;31.12.2020",манзилли!$AA:$AA,"&lt;01.01.2022",манзилли!$E:$E,"2"))</f>
        <v>3300</v>
      </c>
      <c r="AG54" s="29">
        <f>(+SUMIFS(манзилли!$R:$R,манзилли!$D:$D,'свод (сектор вилоят)'!$B$52,манзилли!$AB:$AB,"&gt;31.12.2020",манзилли!$AA:$AA,"&gt;31.12.2020",манзилли!$AA:$AA,"&lt;01.01.2022",манзилли!$E:$E,"2"))</f>
        <v>700</v>
      </c>
      <c r="AH54" s="29">
        <f>(+SUMIFS(манзилли!$T:$T,манзилли!$D:$D,'свод (сектор вилоят)'!$B$52,манзилли!$AB:$AB,"&gt;31.12.2020",манзилли!$AA:$AA,"&gt;31.12.2020",манзилли!$AA:$AA,"&lt;01.01.2022",манзилли!$E:$E,"2"))</f>
        <v>0</v>
      </c>
      <c r="AI54" s="29">
        <f>(+SUMIFS(манзилли!$V:$V,манзилли!$D:$D,'свод (сектор вилоят)'!$B$52,манзилли!$AB:$AB,"&gt;31.12.2020",манзилли!$AA:$AA,"&gt;31.12.2020",манзилли!$AA:$AA,"&lt;01.01.2022",манзилли!$E:$E,"2"))</f>
        <v>0</v>
      </c>
      <c r="AJ54" s="30">
        <f>+SUMIFS(манзилли!$Z:$Z,манзилли!$D:$D,'свод (сектор вилоят)'!$B$52,манзилли!$AB:$AB,"&gt;31.12.2020",манзилли!$AA:$AA,"&gt;31.12.2020",манзилли!$AA:$AA,"&lt;01.01.2022",манзилли!$E:$E,"2")</f>
        <v>4</v>
      </c>
      <c r="AK54" s="28">
        <f>+COUNTIFS('Қўшимча ишга тушган'!$D:$D,'свод (сектор вилоят)'!B52,'Қўшимча ишга тушган'!$AO:$AO,"&lt;01.10.2023",манзилли!$E:$E,"2")</f>
        <v>0</v>
      </c>
      <c r="AL54" s="29">
        <f>(+SUMIFS('Қўшимча ишга тушган'!$T:$T,'Қўшимча ишга тушган'!$D:$D,'свод (сектор вилоят)'!$B$52,'Қўшимча ишга тушган'!$AO:$AO,"&lt;01.10.2023",манзилли!$E:$E,"2"))</f>
        <v>0</v>
      </c>
      <c r="AM54" s="29">
        <f>(+SUMIFS('Қўшимча ишга тушган'!$V:$V,'Қўшимча ишга тушган'!$D:$D,'свод (сектор вилоят)'!$B$52,'Қўшимча ишга тушган'!$AO:$AO,"&lt;01.10.2023",манзилли!$E:$E,"2"))</f>
        <v>0</v>
      </c>
      <c r="AN54" s="29">
        <f>(+SUMIFS('Қўшимча ишга тушган'!$Z:$Z,'Қўшимча ишга тушган'!$D:$D,'свод (сектор вилоят)'!$B$52,'Қўшимча ишга тушган'!$AO:$AO,"&lt;01.10.2023",манзилли!$E:$E,"2"))</f>
        <v>0</v>
      </c>
      <c r="AO54" s="29">
        <f>(+SUMIFS('Қўшимча ишга тушган'!$AB:$AB,'Қўшимча ишга тушган'!$D:$D,'свод (сектор вилоят)'!$B$52,'Қўшимча ишга тушган'!$AO:$AO,"&lt;01.10.2023",манзилли!$E:$E,"2"))</f>
        <v>0</v>
      </c>
      <c r="AP54" s="29">
        <f>(+SUMIFS('Қўшимча ишга тушган'!$AD:$AD,'Қўшимча ишга тушган'!$D:$D,'свод (сектор вилоят)'!$B$52,'Қўшимча ишга тушган'!$AO:$AO,"&lt;01.10.2023",манзилли!$E:$E,"2"))</f>
        <v>0</v>
      </c>
      <c r="AQ54" s="30">
        <f>+SUMIFS('Қўшимча ишга тушган'!$AM:$AM,'Қўшимча ишга тушган'!$D:$D,'свод (сектор вилоят)'!$B$52,'Қўшимча ишга тушган'!$AO:$AO,"&lt;01.10.2023",манзилли!$E:$E,"2")</f>
        <v>0</v>
      </c>
      <c r="AR54" s="28">
        <f>+COUNTIFS(манзилли!$D:$D,'свод (сектор вилоят)'!$B$52,манзилли!$AA:$AA,"&lt;01.02.2021",манзилли!$AB:$AB,"",манзилли!$E:$E,"2")</f>
        <v>0</v>
      </c>
      <c r="AS54" s="29">
        <f>(+SUMIFS(манзилли!$K:$K,манзилли!$D:$D,'свод (сектор вилоят)'!$B$52,манзилли!$AA:$AA,"&lt;01.02.2021",манзилли!$AB:$AB,"",манзилли!$E:$E,"2"))</f>
        <v>0</v>
      </c>
      <c r="AT54" s="29">
        <f>(+SUMIFS(манзилли!$M:$M,манзилли!$D:$D,'свод (сектор вилоят)'!$B$52,манзилли!$AA:$AA,"&lt;01.02.2021",манзилли!$AB:$AB,"",манзилли!$E:$E,"2"))</f>
        <v>0</v>
      </c>
      <c r="AU54" s="29">
        <f>(+SUMIFS(манзилли!$Q:$Q,манзилли!$D:$D,'свод (сектор вилоят)'!$B$52,манзилли!$AA:$AA,"&lt;01.02.2021",манзилли!$AB:$AB,"",манзилли!$E:$E,"2"))</f>
        <v>0</v>
      </c>
      <c r="AV54" s="29">
        <f>(+SUMIFS(манзилли!$S:$S,манзилли!$D:$D,'свод (сектор вилоят)'!$B$52,манзилли!$AA:$AA,"&lt;01.02.2021",манзилли!$AB:$AB,"",манзилли!$E:$E,"2"))</f>
        <v>0</v>
      </c>
      <c r="AW54" s="29">
        <f>(+SUMIFS(манзилли!$U:$U,манзилли!$D:$D,'свод (сектор вилоят)'!$B$52,манзилли!$AA:$AA,"&lt;01.02.2021",манзилли!$AB:$AB,"",манзилли!$E:$E,"2"))</f>
        <v>0</v>
      </c>
      <c r="AX54" s="30">
        <f>+SUMIFS(манзилли!$Y:$Y,манзилли!$D:$D,'свод (сектор вилоят)'!$B$52,манзилли!$AA:$AA,"&lt;01.02.2021",манзилли!$AB:$AB,"",манзилли!$E:$E,"2")</f>
        <v>0</v>
      </c>
      <c r="AY54" s="28">
        <f>+COUNTIFS(манзилли!$D:$D,'свод (сектор вилоят)'!$B$52,манзилли!$AA:$AA,"&lt;01.01.2022",манзилли!$AB:$AB,"",манзилли!$E:$E,"2")</f>
        <v>3</v>
      </c>
      <c r="AZ54" s="29">
        <f>(+SUMIFS(манзилли!$K:$K,манзилли!$D:$D,'свод (сектор вилоят)'!$B$52,манзилли!$AA:$AA,"&lt;01.01.2022",манзилли!$AB:$AB,"",манзилли!$E:$E,"2"))</f>
        <v>4800</v>
      </c>
      <c r="BA54" s="29">
        <f>(+SUMIFS(манзилли!$M:$M,манзилли!$D:$D,'свод (сектор вилоят)'!$B$52,манзилли!$AA:$AA,"&lt;01.01.2022",манзилли!$AB:$AB,"",манзилли!$E:$E,"2"))</f>
        <v>1300</v>
      </c>
      <c r="BB54" s="29">
        <f>(+SUMIFS(манзилли!$Q:$Q,манзилли!$D:$D,'свод (сектор вилоят)'!$B$52,манзилли!$AA:$AA,"&lt;01.01.2022",манзилли!$AB:$AB,"",манзилли!$E:$E,"2"))</f>
        <v>3500</v>
      </c>
      <c r="BC54" s="29">
        <f>(+SUMIFS(манзилли!$S:$S,манзилли!$D:$D,'свод (сектор вилоят)'!$B$52,манзилли!$AA:$AA,"&lt;01.01.2022",манзилли!$AB:$AB,"",манзилли!$E:$E,"2"))</f>
        <v>0</v>
      </c>
      <c r="BD54" s="29">
        <f>(+SUMIFS(манзилли!$U:$U,манзилли!$D:$D,'свод (сектор вилоят)'!$B$52,манзилли!$AA:$AA,"&lt;01.01.2022",манзилли!$AB:$AB,"",манзилли!$E:$E,"2"))</f>
        <v>0</v>
      </c>
      <c r="BE54" s="30">
        <f>+SUMIFS(манзилли!$Y:$Y,манзилли!$D:$D,'свод (сектор вилоят)'!$B$52,манзилли!$AA:$AA,"&lt;01.01.2022",манзилли!$AB:$AB,"",манзилли!$E:$E,"2")</f>
        <v>15</v>
      </c>
      <c r="BF54" s="28">
        <f>+COUNTIFS(манзилли!$D:$D,'свод (сектор вилоят)'!$B$52,манзилли!$AA:$AA,"&lt;01.01.2023",манзилли!$AA:$AA,"&gt;=01.01.2022",манзилли!$E:$E,"2")</f>
        <v>1</v>
      </c>
      <c r="BG54" s="29">
        <f>(+SUMIFS(манзилли!$K:$K,манзилли!$D:$D,'свод (сектор вилоят)'!$B$52,манзилли!$AA:$AA,"&lt;01.01.2023",манзилли!$AA:$AA,"&gt;=01.01.2022",манзилли!$E:$E,"2"))</f>
        <v>500</v>
      </c>
      <c r="BH54" s="29">
        <f>(+SUMIFS(манзилли!$M:$M,манзилли!$D:$D,'свод (сектор вилоят)'!$B$52,манзилли!$AA:$AA,"&lt;01.01.2023",манзилли!$AA:$AA,"&gt;=01.01.2022",манзилли!$E:$E,"2"))</f>
        <v>200</v>
      </c>
      <c r="BI54" s="29">
        <f>(+SUMIFS(манзилли!$Q:$Q,манзилли!$D:$D,'свод (сектор вилоят)'!$B$52,манзилли!$AA:$AA,"&lt;01.01.2023",манзилли!$AA:$AA,"&gt;=01.01.2022",манзилли!$E:$E,"2"))</f>
        <v>300</v>
      </c>
      <c r="BJ54" s="29">
        <f>(+SUMIFS(манзилли!$S:$S,манзилли!$D:$D,'свод (сектор вилоят)'!$B$52,манзилли!$AA:$AA,"&lt;01.01.2023",манзилли!$AA:$AA,"&gt;=01.01.2022",манзилли!$E:$E,"2"))</f>
        <v>0</v>
      </c>
      <c r="BK54" s="29">
        <f>(+SUMIFS(манзилли!$U:$U,манзилли!$D:$D,'свод (сектор вилоят)'!$B$52,манзилли!$AA:$AA,"&lt;01.01.2023",манзилли!$AA:$AA,"&gt;=01.01.2022",манзилли!$E:$E,"2"))</f>
        <v>0</v>
      </c>
      <c r="BL54" s="30">
        <f>+SUMIFS(манзилли!$Y:$Y,манзилли!$D:$D,'свод (сектор вилоят)'!$B$52,манзилли!$AA:$AA,"&lt;01.01.2023",манзилли!$AA:$AA,"&gt;=01.01.2022",манзилли!$E:$E,"2")</f>
        <v>4</v>
      </c>
    </row>
    <row r="55" spans="1:64" s="3" customFormat="1" ht="39.75" customHeight="1">
      <c r="A55" s="51"/>
      <c r="B55" s="27" t="s">
        <v>1773</v>
      </c>
      <c r="C55" s="28">
        <f>+COUNTIFS(манзилли!$D:$D,'свод (сектор вилоят)'!$B$52,манзилли!$E:$E,"3")</f>
        <v>5</v>
      </c>
      <c r="D55" s="29">
        <f>(+SUMIFS(манзилли!$K:$K,манзилли!$D:$D,'свод (сектор вилоят)'!$B$52,манзилли!$E:$E,"3"))</f>
        <v>15100</v>
      </c>
      <c r="E55" s="29">
        <f>(+SUMIFS(манзилли!$M:$M,манзилли!$D:$D,'свод (сектор вилоят)'!$B$52,манзилли!$E:$E,"3"))</f>
        <v>4900</v>
      </c>
      <c r="F55" s="29">
        <f>(+SUMIFS(манзилли!$Q:$Q,манзилли!$D:$D,'свод (сектор вилоят)'!$B$52,манзилли!$E:$E,"3"))</f>
        <v>10200</v>
      </c>
      <c r="G55" s="29">
        <f>(+SUMIFS(манзилли!$S:$S,манзилли!$D:$D,'свод (сектор вилоят)'!$B$52,манзилли!$E:$E,"3"))</f>
        <v>0</v>
      </c>
      <c r="H55" s="29">
        <f>(+SUMIFS(манзилли!$U:$U,манзилли!$D:$D,'свод (сектор вилоят)'!$B$52,манзилли!$E:$E,"3"))</f>
        <v>0</v>
      </c>
      <c r="I55" s="30">
        <f>+SUMIFS(манзилли!$Y:$Y,манзилли!$D:$D,'свод (сектор вилоят)'!$B$52,манзилли!$E:$E,"3")</f>
        <v>31</v>
      </c>
      <c r="J55" s="28">
        <f>(+COUNTIFS(манзилли!$L:$L,"&gt;0",манзилли!$D:$D,'свод (сектор вилоят)'!$B$52,манзилли!$E:$E,"3")+COUNTIFS('Қўшимча ишга тушган'!$T:$T,"&gt;0",'Қўшимча ишга тушган'!$D:$D,'свод (сектор вилоят)'!$B$52,'Қўшимча ишга тушган'!$E:$E,"3"))</f>
        <v>5</v>
      </c>
      <c r="K55" s="30">
        <f>(+SUMIFS(манзилли!$L:$L,манзилли!$D:$D,'свод (сектор вилоят)'!$B$52,манзилли!$E:$E,"3")+SUMIFS('Қўшимча ишга тушган'!$T:$T,'Қўшимча ишга тушган'!$D:$D,'свод (сектор вилоят)'!$B$52,'Қўшимча ишга тушган'!$E:$E,"3"))</f>
        <v>4512</v>
      </c>
      <c r="L55" s="31">
        <f>(+SUMIFS(манзилли!$N:$N,манзилли!$D:$D,'свод (сектор вилоят)'!$B$52,манзилли!$E:$E,"3")+SUMIFS('Қўшимча ишга тушган'!$V:$V,'Қўшимча ишга тушган'!$D:$D,'свод (сектор вилоят)'!$B$52,'Қўшимча ишга тушган'!$E:$E,"3"))</f>
        <v>0</v>
      </c>
      <c r="M55" s="29">
        <f>(+SUMIFS(манзилли!$R:$R,манзилли!$D:$D,'свод (сектор вилоят)'!$B$52,манзилли!$E:$E,"3")+SUMIFS('Қўшимча ишга тушган'!$Z:$Z,'Қўшимча ишга тушган'!$D:$D,'свод (сектор вилоят)'!$B$52,'Қўшимча ишга тушган'!$E:$E,"3"))</f>
        <v>4512</v>
      </c>
      <c r="N55" s="29">
        <f>(+SUMIFS(манзилли!$T:$T,манзилли!$D:$D,'свод (сектор вилоят)'!$B$52,манзилли!$E:$E,"3")+SUMIFS('Қўшимча ишга тушган'!$AB:$AB,'Қўшимча ишга тушган'!$D:$D,'свод (сектор вилоят)'!$B$52,'Қўшимча ишга тушган'!$E:$E,"3"))</f>
        <v>0</v>
      </c>
      <c r="O55" s="30">
        <f>(+SUMIFS(манзилли!$V:$V,манзилли!$D:$D,'свод (сектор вилоят)'!$B$52,манзилли!$E:$E,"3")+SUMIFS('Қўшимча ишга тушган'!$AD:$AD,'Қўшимча ишга тушган'!$D:$D,'свод (сектор вилоят)'!$B$52,'Қўшимча ишга тушган'!$E:$E,"3"))</f>
        <v>0</v>
      </c>
      <c r="P55" s="28">
        <f>+COUNTIFS(манзилли!$D:$D,'свод (сектор вилоят)'!$B$52,манзилли!$AA:$AA,"&gt;31.12.2020",манзилли!$AA:$AA,"&lt;01.01.2022",манзилли!$E:$E,"3")</f>
        <v>5</v>
      </c>
      <c r="Q55" s="29">
        <f>(+SUMIFS(манзилли!$K:$K,манзилли!$D:$D,'свод (сектор вилоят)'!$B$52,манзилли!$AA:$AA,"&gt;31.12.2020",манзилли!$AA:$AA,"&lt;01.01.2022",манзилли!$E:$E,"3"))</f>
        <v>15100</v>
      </c>
      <c r="R55" s="29">
        <f>(+SUMIFS(манзилли!$M:$M,манзилли!$D:$D,'свод (сектор вилоят)'!$B$52,манзилли!$AA:$AA,"&gt;31.12.2020",манзилли!$AA:$AA,"&lt;01.01.2022",манзилли!$E:$E,"3"))</f>
        <v>4900</v>
      </c>
      <c r="S55" s="29">
        <f>(+SUMIFS(манзилли!$Q:$Q,манзилли!$D:$D,'свод (сектор вилоят)'!$B$52,манзилли!$AA:$AA,"&gt;31.12.2020",манзилли!$AA:$AA,"&lt;01.01.2022",манзилли!$E:$E,"3"))</f>
        <v>10200</v>
      </c>
      <c r="T55" s="29">
        <f>(+SUMIFS(манзилли!$S:$S,манзилли!$D:$D,'свод (сектор вилоят)'!$B$52,манзилли!$AA:$AA,"&gt;31.12.2020",манзилли!$AA:$AA,"&lt;01.01.2022",манзилли!$E:$E,"3"))</f>
        <v>0</v>
      </c>
      <c r="U55" s="29">
        <f>(+SUMIFS(манзилли!$U:$U,манзилли!$D:$D,'свод (сектор вилоят)'!$B$52,манзилли!$AA:$AA,"&gt;31.12.2020",манзилли!$AA:$AA,"&lt;01.01.2022",манзилли!$E:$E,"3"))</f>
        <v>0</v>
      </c>
      <c r="V55" s="30">
        <f>+SUMIFS(манзилли!$Y:$Y,манзилли!$D:$D,'свод (сектор вилоят)'!$B$52,манзилли!$AA:$AA,"&gt;31.12.2020",манзилли!$AA:$AA,"&lt;01.01.2022",манзилли!$E:$E,"3")</f>
        <v>31</v>
      </c>
      <c r="W55" s="28">
        <f t="shared" si="628"/>
        <v>0</v>
      </c>
      <c r="X55" s="29">
        <f t="shared" si="622"/>
        <v>0</v>
      </c>
      <c r="Y55" s="29">
        <f t="shared" si="623"/>
        <v>0</v>
      </c>
      <c r="Z55" s="29">
        <f t="shared" si="624"/>
        <v>0</v>
      </c>
      <c r="AA55" s="29">
        <f t="shared" si="625"/>
        <v>0</v>
      </c>
      <c r="AB55" s="29">
        <f t="shared" si="626"/>
        <v>0</v>
      </c>
      <c r="AC55" s="30">
        <f t="shared" si="627"/>
        <v>0</v>
      </c>
      <c r="AD55" s="28">
        <f>+COUNTIFS(манзилли!$D:$D,'свод (сектор вилоят)'!$B$52,манзилли!$AB:$AB,"&gt;31.12.2020",манзилли!$AA:$AA,"&gt;31.12.2020",манзилли!$AA:$AA,"&lt;01.01.2022",манзилли!$E:$E,"3")</f>
        <v>0</v>
      </c>
      <c r="AE55" s="29">
        <f>(+SUMIFS(манзилли!$L:$L,манзилли!$D:$D,'свод (сектор вилоят)'!$B$52,манзилли!$AB:$AB,"&gt;31.12.2020",манзилли!$AA:$AA,"&gt;31.12.2020",манзилли!$AA:$AA,"&lt;01.01.2022",манзилли!$E:$E,"3"))</f>
        <v>0</v>
      </c>
      <c r="AF55" s="29">
        <f>(+SUMIFS(манзилли!$N:$N,манзилли!$D:$D,'свод (сектор вилоят)'!$B$52,манзилли!$AB:$AB,"&gt;31.12.2020",манзилли!$AA:$AA,"&gt;31.12.2020",манзилли!$AA:$AA,"&lt;01.01.2022",манзилли!$E:$E,"3"))</f>
        <v>0</v>
      </c>
      <c r="AG55" s="29">
        <f>(+SUMIFS(манзилли!$R:$R,манзилли!$D:$D,'свод (сектор вилоят)'!$B$52,манзилли!$AB:$AB,"&gt;31.12.2020",манзилли!$AA:$AA,"&gt;31.12.2020",манзилли!$AA:$AA,"&lt;01.01.2022",манзилли!$E:$E,"3"))</f>
        <v>0</v>
      </c>
      <c r="AH55" s="29">
        <f>(+SUMIFS(манзилли!$T:$T,манзилли!$D:$D,'свод (сектор вилоят)'!$B$52,манзилли!$AB:$AB,"&gt;31.12.2020",манзилли!$AA:$AA,"&gt;31.12.2020",манзилли!$AA:$AA,"&lt;01.01.2022",манзилли!$E:$E,"3"))</f>
        <v>0</v>
      </c>
      <c r="AI55" s="29">
        <f>(+SUMIFS(манзилли!$V:$V,манзилли!$D:$D,'свод (сектор вилоят)'!$B$52,манзилли!$AB:$AB,"&gt;31.12.2020",манзилли!$AA:$AA,"&gt;31.12.2020",манзилли!$AA:$AA,"&lt;01.01.2022",манзилли!$E:$E,"3"))</f>
        <v>0</v>
      </c>
      <c r="AJ55" s="30">
        <f>+SUMIFS(манзилли!$Z:$Z,манзилли!$D:$D,'свод (сектор вилоят)'!$B$52,манзилли!$AB:$AB,"&gt;31.12.2020",манзилли!$AA:$AA,"&gt;31.12.2020",манзилли!$AA:$AA,"&lt;01.01.2022",манзилли!$E:$E,"3")</f>
        <v>0</v>
      </c>
      <c r="AK55" s="28">
        <f>+COUNTIFS('Қўшимча ишга тушган'!$D:$D,'свод (сектор вилоят)'!B52,'Қўшимча ишга тушган'!$AO:$AO,"&lt;01.10.2023",манзилли!$E:$E,"3")</f>
        <v>0</v>
      </c>
      <c r="AL55" s="29">
        <f>(+SUMIFS('Қўшимча ишга тушган'!$T:$T,'Қўшимча ишга тушган'!$D:$D,'свод (сектор вилоят)'!$B$52,'Қўшимча ишга тушган'!$AO:$AO,"&lt;01.10.2023",манзилли!$E:$E,"3"))</f>
        <v>0</v>
      </c>
      <c r="AM55" s="29">
        <f>(+SUMIFS('Қўшимча ишга тушган'!$V:$V,'Қўшимча ишга тушган'!$D:$D,'свод (сектор вилоят)'!$B$52,'Қўшимча ишга тушган'!$AO:$AO,"&lt;01.10.2023",манзилли!$E:$E,"3"))</f>
        <v>0</v>
      </c>
      <c r="AN55" s="29">
        <f>(+SUMIFS('Қўшимча ишга тушган'!$Z:$Z,'Қўшимча ишга тушган'!$D:$D,'свод (сектор вилоят)'!$B$52,'Қўшимча ишга тушган'!$AO:$AO,"&lt;01.10.2023",манзилли!$E:$E,"3"))</f>
        <v>0</v>
      </c>
      <c r="AO55" s="29">
        <f>(+SUMIFS('Қўшимча ишга тушган'!$AB:$AB,'Қўшимча ишга тушган'!$D:$D,'свод (сектор вилоят)'!$B$52,'Қўшимча ишга тушган'!$AO:$AO,"&lt;01.10.2023",манзилли!$E:$E,"3"))</f>
        <v>0</v>
      </c>
      <c r="AP55" s="29">
        <f>(+SUMIFS('Қўшимча ишга тушган'!$AD:$AD,'Қўшимча ишга тушган'!$D:$D,'свод (сектор вилоят)'!$B$52,'Қўшимча ишга тушган'!$AO:$AO,"&lt;01.10.2023",манзилли!$E:$E,"3"))</f>
        <v>0</v>
      </c>
      <c r="AQ55" s="30">
        <f>+SUMIFS('Қўшимча ишга тушган'!$AM:$AM,'Қўшимча ишга тушган'!$D:$D,'свод (сектор вилоят)'!$B$52,'Қўшимча ишга тушган'!$AO:$AO,"&lt;01.10.2023",манзилли!$E:$E,"3")</f>
        <v>0</v>
      </c>
      <c r="AR55" s="28">
        <f>+COUNTIFS(манзилли!$D:$D,'свод (сектор вилоят)'!$B$52,манзилли!$AA:$AA,"&lt;01.02.2021",манзилли!$AB:$AB,"",манзилли!$E:$E,"3")</f>
        <v>0</v>
      </c>
      <c r="AS55" s="29">
        <f>(+SUMIFS(манзилли!$K:$K,манзилли!$D:$D,'свод (сектор вилоят)'!$B$52,манзилли!$AA:$AA,"&lt;01.02.2021",манзилли!$AB:$AB,"",манзилли!$E:$E,"3"))</f>
        <v>0</v>
      </c>
      <c r="AT55" s="29">
        <f>(+SUMIFS(манзилли!$M:$M,манзилли!$D:$D,'свод (сектор вилоят)'!$B$52,манзилли!$AA:$AA,"&lt;01.02.2021",манзилли!$AB:$AB,"",манзилли!$E:$E,"3"))</f>
        <v>0</v>
      </c>
      <c r="AU55" s="29">
        <f>(+SUMIFS(манзилли!$Q:$Q,манзилли!$D:$D,'свод (сектор вилоят)'!$B$52,манзилли!$AA:$AA,"&lt;01.02.2021",манзилли!$AB:$AB,"",манзилли!$E:$E,"3"))</f>
        <v>0</v>
      </c>
      <c r="AV55" s="29">
        <f>(+SUMIFS(манзилли!$S:$S,манзилли!$D:$D,'свод (сектор вилоят)'!$B$52,манзилли!$AA:$AA,"&lt;01.02.2021",манзилли!$AB:$AB,"",манзилли!$E:$E,"3"))</f>
        <v>0</v>
      </c>
      <c r="AW55" s="29">
        <f>(+SUMIFS(манзилли!$U:$U,манзилли!$D:$D,'свод (сектор вилоят)'!$B$52,манзилли!$AA:$AA,"&lt;01.02.2021",манзилли!$AB:$AB,"",манзилли!$E:$E,"3"))</f>
        <v>0</v>
      </c>
      <c r="AX55" s="30">
        <f>+SUMIFS(манзилли!$Y:$Y,манзилли!$D:$D,'свод (сектор вилоят)'!$B$52,манзилли!$AA:$AA,"&lt;01.02.2021",манзилли!$AB:$AB,"",манзилли!$E:$E,"3")</f>
        <v>0</v>
      </c>
      <c r="AY55" s="28">
        <f>+COUNTIFS(манзилли!$D:$D,'свод (сектор вилоят)'!$B$52,манзилли!$AA:$AA,"&lt;01.01.2022",манзилли!$AB:$AB,"",манзилли!$E:$E,"3")</f>
        <v>5</v>
      </c>
      <c r="AZ55" s="29">
        <f>(+SUMIFS(манзилли!$K:$K,манзилли!$D:$D,'свод (сектор вилоят)'!$B$52,манзилли!$AA:$AA,"&lt;01.01.2022",манзилли!$AB:$AB,"",манзилли!$E:$E,"3"))</f>
        <v>15100</v>
      </c>
      <c r="BA55" s="29">
        <f>(+SUMIFS(манзилли!$M:$M,манзилли!$D:$D,'свод (сектор вилоят)'!$B$52,манзилли!$AA:$AA,"&lt;01.01.2022",манзилли!$AB:$AB,"",манзилли!$E:$E,"3"))</f>
        <v>4900</v>
      </c>
      <c r="BB55" s="29">
        <f>(+SUMIFS(манзилли!$Q:$Q,манзилли!$D:$D,'свод (сектор вилоят)'!$B$52,манзилли!$AA:$AA,"&lt;01.01.2022",манзилли!$AB:$AB,"",манзилли!$E:$E,"3"))</f>
        <v>10200</v>
      </c>
      <c r="BC55" s="29">
        <f>(+SUMIFS(манзилли!$S:$S,манзилли!$D:$D,'свод (сектор вилоят)'!$B$52,манзилли!$AA:$AA,"&lt;01.01.2022",манзилли!$AB:$AB,"",манзилли!$E:$E,"3"))</f>
        <v>0</v>
      </c>
      <c r="BD55" s="29">
        <f>(+SUMIFS(манзилли!$U:$U,манзилли!$D:$D,'свод (сектор вилоят)'!$B$52,манзилли!$AA:$AA,"&lt;01.01.2022",манзилли!$AB:$AB,"",манзилли!$E:$E,"3"))</f>
        <v>0</v>
      </c>
      <c r="BE55" s="30">
        <f>+SUMIFS(манзилли!$Y:$Y,манзилли!$D:$D,'свод (сектор вилоят)'!$B$52,манзилли!$AA:$AA,"&lt;01.01.2022",манзилли!$AB:$AB,"",манзилли!$E:$E,"3")</f>
        <v>31</v>
      </c>
      <c r="BF55" s="28">
        <f>+COUNTIFS(манзилли!$D:$D,'свод (сектор вилоят)'!$B$52,манзилли!$AA:$AA,"&lt;01.01.2023",манзилли!$AA:$AA,"&gt;=01.01.2022",манзилли!$E:$E,"3")</f>
        <v>0</v>
      </c>
      <c r="BG55" s="29">
        <f>(+SUMIFS(манзилли!$K:$K,манзилли!$D:$D,'свод (сектор вилоят)'!$B$52,манзилли!$AA:$AA,"&lt;01.01.2023",манзилли!$AA:$AA,"&gt;=01.01.2022",манзилли!$E:$E,"3"))</f>
        <v>0</v>
      </c>
      <c r="BH55" s="29">
        <f>(+SUMIFS(манзилли!$M:$M,манзилли!$D:$D,'свод (сектор вилоят)'!$B$52,манзилли!$AA:$AA,"&lt;01.01.2023",манзилли!$AA:$AA,"&gt;=01.01.2022",манзилли!$E:$E,"3"))</f>
        <v>0</v>
      </c>
      <c r="BI55" s="29">
        <f>(+SUMIFS(манзилли!$Q:$Q,манзилли!$D:$D,'свод (сектор вилоят)'!$B$52,манзилли!$AA:$AA,"&lt;01.01.2023",манзилли!$AA:$AA,"&gt;=01.01.2022",манзилли!$E:$E,"3"))</f>
        <v>0</v>
      </c>
      <c r="BJ55" s="29">
        <f>(+SUMIFS(манзилли!$S:$S,манзилли!$D:$D,'свод (сектор вилоят)'!$B$52,манзилли!$AA:$AA,"&lt;01.01.2023",манзилли!$AA:$AA,"&gt;=01.01.2022",манзилли!$E:$E,"3"))</f>
        <v>0</v>
      </c>
      <c r="BK55" s="29">
        <f>(+SUMIFS(манзилли!$U:$U,манзилли!$D:$D,'свод (сектор вилоят)'!$B$52,манзилли!$AA:$AA,"&lt;01.01.2023",манзилли!$AA:$AA,"&gt;=01.01.2022",манзилли!$E:$E,"3"))</f>
        <v>0</v>
      </c>
      <c r="BL55" s="30">
        <f>+SUMIFS(манзилли!$Y:$Y,манзилли!$D:$D,'свод (сектор вилоят)'!$B$52,манзилли!$AA:$AA,"&lt;01.01.2023",манзилли!$AA:$AA,"&gt;=01.01.2022",манзилли!$E:$E,"3")</f>
        <v>0</v>
      </c>
    </row>
    <row r="56" spans="1:64" s="3" customFormat="1" ht="39.75" customHeight="1" thickBot="1">
      <c r="A56" s="55"/>
      <c r="B56" s="36" t="s">
        <v>1774</v>
      </c>
      <c r="C56" s="37">
        <f>+COUNTIFS(манзилли!$D:$D,'свод (сектор вилоят)'!$B$52,манзилли!$E:$E,"4")</f>
        <v>13</v>
      </c>
      <c r="D56" s="38">
        <f>(+SUMIFS(манзилли!$K:$K,манзилли!$D:$D,'свод (сектор вилоят)'!$B$52,манзилли!$E:$E,"4"))</f>
        <v>59475.9</v>
      </c>
      <c r="E56" s="38">
        <f>(+SUMIFS(манзилли!$M:$M,манзилли!$D:$D,'свод (сектор вилоят)'!$B$52,манзилли!$E:$E,"4"))</f>
        <v>20200</v>
      </c>
      <c r="F56" s="38">
        <f>(+SUMIFS(манзилли!$Q:$Q,манзилли!$D:$D,'свод (сектор вилоят)'!$B$52,манзилли!$E:$E,"4"))</f>
        <v>37082</v>
      </c>
      <c r="G56" s="38">
        <f>(+SUMIFS(манзилли!$S:$S,манзилли!$D:$D,'свод (сектор вилоят)'!$B$52,манзилли!$E:$E,"4"))</f>
        <v>213</v>
      </c>
      <c r="H56" s="38">
        <f>(+SUMIFS(манзилли!$U:$U,манзилли!$D:$D,'свод (сектор вилоят)'!$B$52,манзилли!$E:$E,"4"))</f>
        <v>0</v>
      </c>
      <c r="I56" s="39">
        <f>+SUMIFS(манзилли!$Y:$Y,манзилли!$D:$D,'свод (сектор вилоят)'!$B$52,манзилли!$E:$E,"4")</f>
        <v>116</v>
      </c>
      <c r="J56" s="37">
        <f>(+COUNTIFS(манзилли!$L:$L,"&gt;0",манзилли!$D:$D,'свод (сектор вилоят)'!$B$52,манзилли!$E:$E,"4")+COUNTIFS('Қўшимча ишга тушган'!$T:$T,"&gt;0",'Қўшимча ишга тушган'!$D:$D,'свод (сектор вилоят)'!$B$52,'Қўшимча ишга тушган'!$E:$E,"4"))</f>
        <v>7</v>
      </c>
      <c r="K56" s="39">
        <f>(+SUMIFS(манзилли!$L:$L,манзилли!$D:$D,'свод (сектор вилоят)'!$B$52,манзилли!$E:$E,"4")+SUMIFS('Қўшимча ишга тушган'!$T:$T,'Қўшимча ишга тушган'!$D:$D,'свод (сектор вилоят)'!$B$52,'Қўшимча ишга тушган'!$E:$E,"4"))</f>
        <v>25585.74</v>
      </c>
      <c r="L56" s="40">
        <f>(+SUMIFS(манзилли!$N:$N,манзилли!$D:$D,'свод (сектор вилоят)'!$B$52,манзилли!$E:$E,"4")+SUMIFS('Қўшимча ишга тушган'!$V:$V,'Қўшимча ишга тушган'!$D:$D,'свод (сектор вилоят)'!$B$52,'Қўшимча ишга тушган'!$E:$E,"4"))</f>
        <v>0</v>
      </c>
      <c r="M56" s="38">
        <f>(+SUMIFS(манзилли!$R:$R,манзилли!$D:$D,'свод (сектор вилоят)'!$B$52,манзилли!$E:$E,"4")+SUMIFS('Қўшимча ишга тушган'!$Z:$Z,'Қўшимча ишга тушган'!$D:$D,'свод (сектор вилоят)'!$B$52,'Қўшимча ишга тушган'!$E:$E,"4"))</f>
        <v>24987</v>
      </c>
      <c r="N56" s="38">
        <f>(+SUMIFS(манзилли!$T:$T,манзилли!$D:$D,'свод (сектор вилоят)'!$B$52,манзилли!$E:$E,"4")+SUMIFS('Қўшимча ишга тушган'!$AB:$AB,'Қўшимча ишга тушган'!$D:$D,'свод (сектор вилоят)'!$B$52,'Қўшимча ишга тушган'!$E:$E,"4"))</f>
        <v>58.7</v>
      </c>
      <c r="O56" s="39">
        <f>(+SUMIFS(манзилли!$V:$V,манзилли!$D:$D,'свод (сектор вилоят)'!$B$52,манзилли!$E:$E,"4")+SUMIFS('Қўшимча ишга тушган'!$AD:$AD,'Қўшимча ишга тушган'!$D:$D,'свод (сектор вилоят)'!$B$52,'Қўшимча ишга тушган'!$E:$E,"4"))</f>
        <v>0</v>
      </c>
      <c r="P56" s="37">
        <f>+COUNTIFS(манзилли!$D:$D,'свод (сектор вилоят)'!$B$52,манзилли!$AA:$AA,"&gt;31.12.2020",манзилли!$AA:$AA,"&lt;01.01.2022",манзилли!$E:$E,"4")</f>
        <v>11</v>
      </c>
      <c r="Q56" s="38">
        <f>(+SUMIFS(манзилли!$K:$K,манзилли!$D:$D,'свод (сектор вилоят)'!$B$52,манзилли!$AA:$AA,"&gt;31.12.2020",манзилли!$AA:$AA,"&lt;01.01.2022",манзилли!$E:$E,"4"))</f>
        <v>56760.9</v>
      </c>
      <c r="R56" s="38">
        <f>(+SUMIFS(манзилли!$M:$M,манзилли!$D:$D,'свод (сектор вилоят)'!$B$52,манзилли!$AA:$AA,"&gt;31.12.2020",манзилли!$AA:$AA,"&lt;01.01.2022",манзилли!$E:$E,"4"))</f>
        <v>19000</v>
      </c>
      <c r="S56" s="38">
        <f>(+SUMIFS(манзилли!$Q:$Q,манзилли!$D:$D,'свод (сектор вилоят)'!$B$52,манзилли!$AA:$AA,"&gt;31.12.2020",манзилли!$AA:$AA,"&lt;01.01.2022",манзилли!$E:$E,"4"))</f>
        <v>36082</v>
      </c>
      <c r="T56" s="38">
        <f>(+SUMIFS(манзилли!$S:$S,манзилли!$D:$D,'свод (сектор вилоят)'!$B$52,манзилли!$AA:$AA,"&gt;31.12.2020",манзилли!$AA:$AA,"&lt;01.01.2022",манзилли!$E:$E,"4"))</f>
        <v>163</v>
      </c>
      <c r="U56" s="38">
        <f>(+SUMIFS(манзилли!$U:$U,манзилли!$D:$D,'свод (сектор вилоят)'!$B$52,манзилли!$AA:$AA,"&gt;31.12.2020",манзилли!$AA:$AA,"&lt;01.01.2022",манзилли!$E:$E,"4"))</f>
        <v>0</v>
      </c>
      <c r="V56" s="39">
        <f>+SUMIFS(манзилли!$Y:$Y,манзилли!$D:$D,'свод (сектор вилоят)'!$B$52,манзилли!$AA:$AA,"&gt;31.12.2020",манзилли!$AA:$AA,"&lt;01.01.2022",манзилли!$E:$E,"4")</f>
        <v>105</v>
      </c>
      <c r="W56" s="37">
        <f t="shared" si="628"/>
        <v>0</v>
      </c>
      <c r="X56" s="38">
        <f t="shared" si="622"/>
        <v>0</v>
      </c>
      <c r="Y56" s="38">
        <f t="shared" si="623"/>
        <v>0</v>
      </c>
      <c r="Z56" s="38">
        <f t="shared" si="624"/>
        <v>0</v>
      </c>
      <c r="AA56" s="38">
        <f t="shared" si="625"/>
        <v>0</v>
      </c>
      <c r="AB56" s="38">
        <f t="shared" si="626"/>
        <v>0</v>
      </c>
      <c r="AC56" s="39">
        <f t="shared" si="627"/>
        <v>0</v>
      </c>
      <c r="AD56" s="37">
        <f>+COUNTIFS(манзилли!$D:$D,'свод (сектор вилоят)'!$B$52,манзилли!$AB:$AB,"&gt;31.12.2020",манзилли!$AA:$AA,"&gt;31.12.2020",манзилли!$AA:$AA,"&lt;01.01.2022",манзилли!$E:$E,"4")</f>
        <v>0</v>
      </c>
      <c r="AE56" s="38">
        <f>(+SUMIFS(манзилли!$L:$L,манзилли!$D:$D,'свод (сектор вилоят)'!$B$52,манзилли!$AB:$AB,"&gt;31.12.2020",манзилли!$AA:$AA,"&gt;31.12.2020",манзилли!$AA:$AA,"&lt;01.01.2022",манзилли!$E:$E,"4"))</f>
        <v>0</v>
      </c>
      <c r="AF56" s="38">
        <f>(+SUMIFS(манзилли!$N:$N,манзилли!$D:$D,'свод (сектор вилоят)'!$B$52,манзилли!$AB:$AB,"&gt;31.12.2020",манзилли!$AA:$AA,"&gt;31.12.2020",манзилли!$AA:$AA,"&lt;01.01.2022",манзилли!$E:$E,"4"))</f>
        <v>0</v>
      </c>
      <c r="AG56" s="38">
        <f>(+SUMIFS(манзилли!$R:$R,манзилли!$D:$D,'свод (сектор вилоят)'!$B$52,манзилли!$AB:$AB,"&gt;31.12.2020",манзилли!$AA:$AA,"&gt;31.12.2020",манзилли!$AA:$AA,"&lt;01.01.2022",манзилли!$E:$E,"4"))</f>
        <v>0</v>
      </c>
      <c r="AH56" s="38">
        <f>(+SUMIFS(манзилли!$T:$T,манзилли!$D:$D,'свод (сектор вилоят)'!$B$52,манзилли!$AB:$AB,"&gt;31.12.2020",манзилли!$AA:$AA,"&gt;31.12.2020",манзилли!$AA:$AA,"&lt;01.01.2022",манзилли!$E:$E,"4"))</f>
        <v>0</v>
      </c>
      <c r="AI56" s="38">
        <f>(+SUMIFS(манзилли!$V:$V,манзилли!$D:$D,'свод (сектор вилоят)'!$B$52,манзилли!$AB:$AB,"&gt;31.12.2020",манзилли!$AA:$AA,"&gt;31.12.2020",манзилли!$AA:$AA,"&lt;01.01.2022",манзилли!$E:$E,"4"))</f>
        <v>0</v>
      </c>
      <c r="AJ56" s="39">
        <f>+SUMIFS(манзилли!$Z:$Z,манзилли!$D:$D,'свод (сектор вилоят)'!$B$52,манзилли!$AB:$AB,"&gt;31.12.2020",манзилли!$AA:$AA,"&gt;31.12.2020",манзилли!$AA:$AA,"&lt;01.01.2022",манзилли!$E:$E,"4")</f>
        <v>0</v>
      </c>
      <c r="AK56" s="37">
        <f>+COUNTIFS('Қўшимча ишга тушган'!$D:$D,'свод (сектор вилоят)'!B52,'Қўшимча ишга тушган'!$AO:$AO,"&lt;01.10.2023",манзилли!$E:$E,"4")</f>
        <v>0</v>
      </c>
      <c r="AL56" s="38">
        <f>(+SUMIFS('Қўшимча ишга тушган'!$T:$T,'Қўшимча ишга тушган'!$D:$D,'свод (сектор вилоят)'!$B$52,'Қўшимча ишга тушган'!$AO:$AO,"&lt;01.10.2023",манзилли!$E:$E,"4"))</f>
        <v>0</v>
      </c>
      <c r="AM56" s="38">
        <f>(+SUMIFS('Қўшимча ишга тушган'!$V:$V,'Қўшимча ишга тушган'!$D:$D,'свод (сектор вилоят)'!$B$52,'Қўшимча ишга тушган'!$AO:$AO,"&lt;01.10.2023",манзилли!$E:$E,"4"))</f>
        <v>0</v>
      </c>
      <c r="AN56" s="38">
        <f>(+SUMIFS('Қўшимча ишга тушган'!$Z:$Z,'Қўшимча ишга тушган'!$D:$D,'свод (сектор вилоят)'!$B$52,'Қўшимча ишга тушган'!$AO:$AO,"&lt;01.10.2023",манзилли!$E:$E,"4"))</f>
        <v>0</v>
      </c>
      <c r="AO56" s="38">
        <f>(+SUMIFS('Қўшимча ишга тушган'!$AB:$AB,'Қўшимча ишга тушган'!$D:$D,'свод (сектор вилоят)'!$B$52,'Қўшимча ишга тушган'!$AO:$AO,"&lt;01.10.2023",манзилли!$E:$E,"4"))</f>
        <v>0</v>
      </c>
      <c r="AP56" s="38">
        <f>(+SUMIFS('Қўшимча ишга тушган'!$AD:$AD,'Қўшимча ишга тушган'!$D:$D,'свод (сектор вилоят)'!$B$52,'Қўшимча ишга тушган'!$AO:$AO,"&lt;01.10.2023",манзилли!$E:$E,"4"))</f>
        <v>0</v>
      </c>
      <c r="AQ56" s="39">
        <f>+SUMIFS('Қўшимча ишга тушган'!$AM:$AM,'Қўшимча ишга тушган'!$D:$D,'свод (сектор вилоят)'!$B$52,'Қўшимча ишга тушган'!$AO:$AO,"&lt;01.10.2023",манзилли!$E:$E,"4")</f>
        <v>0</v>
      </c>
      <c r="AR56" s="37">
        <f>+COUNTIFS(манзилли!$D:$D,'свод (сектор вилоят)'!$B$52,манзилли!$AA:$AA,"&lt;01.02.2021",манзилли!$AB:$AB,"",манзилли!$E:$E,"4")</f>
        <v>0</v>
      </c>
      <c r="AS56" s="38">
        <f>(+SUMIFS(манзилли!$K:$K,манзилли!$D:$D,'свод (сектор вилоят)'!$B$52,манзилли!$AA:$AA,"&lt;01.02.2021",манзилли!$AB:$AB,"",манзилли!$E:$E,"4"))</f>
        <v>0</v>
      </c>
      <c r="AT56" s="38">
        <f>(+SUMIFS(манзилли!$M:$M,манзилли!$D:$D,'свод (сектор вилоят)'!$B$52,манзилли!$AA:$AA,"&lt;01.02.2021",манзилли!$AB:$AB,"",манзилли!$E:$E,"4"))</f>
        <v>0</v>
      </c>
      <c r="AU56" s="38">
        <f>(+SUMIFS(манзилли!$Q:$Q,манзилли!$D:$D,'свод (сектор вилоят)'!$B$52,манзилли!$AA:$AA,"&lt;01.02.2021",манзилли!$AB:$AB,"",манзилли!$E:$E,"4"))</f>
        <v>0</v>
      </c>
      <c r="AV56" s="38">
        <f>(+SUMIFS(манзилли!$S:$S,манзилли!$D:$D,'свод (сектор вилоят)'!$B$52,манзилли!$AA:$AA,"&lt;01.02.2021",манзилли!$AB:$AB,"",манзилли!$E:$E,"4"))</f>
        <v>0</v>
      </c>
      <c r="AW56" s="38">
        <f>(+SUMIFS(манзилли!$U:$U,манзилли!$D:$D,'свод (сектор вилоят)'!$B$52,манзилли!$AA:$AA,"&lt;01.02.2021",манзилли!$AB:$AB,"",манзилли!$E:$E,"4"))</f>
        <v>0</v>
      </c>
      <c r="AX56" s="39">
        <f>+SUMIFS(манзилли!$Y:$Y,манзилли!$D:$D,'свод (сектор вилоят)'!$B$52,манзилли!$AA:$AA,"&lt;01.02.2021",манзилли!$AB:$AB,"",манзилли!$E:$E,"4")</f>
        <v>0</v>
      </c>
      <c r="AY56" s="37">
        <f>+COUNTIFS(манзилли!$D:$D,'свод (сектор вилоят)'!$B$52,манзилли!$AA:$AA,"&lt;01.01.2022",манзилли!$AB:$AB,"",манзилли!$E:$E,"4")</f>
        <v>11</v>
      </c>
      <c r="AZ56" s="38">
        <f>(+SUMIFS(манзилли!$K:$K,манзилли!$D:$D,'свод (сектор вилоят)'!$B$52,манзилли!$AA:$AA,"&lt;01.01.2022",манзилли!$AB:$AB,"",манзилли!$E:$E,"4"))</f>
        <v>56760.9</v>
      </c>
      <c r="BA56" s="38">
        <f>(+SUMIFS(манзилли!$M:$M,манзилли!$D:$D,'свод (сектор вилоят)'!$B$52,манзилли!$AA:$AA,"&lt;01.01.2022",манзилли!$AB:$AB,"",манзилли!$E:$E,"4"))</f>
        <v>19000</v>
      </c>
      <c r="BB56" s="38">
        <f>(+SUMIFS(манзилли!$Q:$Q,манзилли!$D:$D,'свод (сектор вилоят)'!$B$52,манзилли!$AA:$AA,"&lt;01.01.2022",манзилли!$AB:$AB,"",манзилли!$E:$E,"4"))</f>
        <v>36082</v>
      </c>
      <c r="BC56" s="38">
        <f>(+SUMIFS(манзилли!$S:$S,манзилли!$D:$D,'свод (сектор вилоят)'!$B$52,манзилли!$AA:$AA,"&lt;01.01.2022",манзилли!$AB:$AB,"",манзилли!$E:$E,"4"))</f>
        <v>163</v>
      </c>
      <c r="BD56" s="38">
        <f>(+SUMIFS(манзилли!$U:$U,манзилли!$D:$D,'свод (сектор вилоят)'!$B$52,манзилли!$AA:$AA,"&lt;01.01.2022",манзилли!$AB:$AB,"",манзилли!$E:$E,"4"))</f>
        <v>0</v>
      </c>
      <c r="BE56" s="39">
        <f>+SUMIFS(манзилли!$Y:$Y,манзилли!$D:$D,'свод (сектор вилоят)'!$B$52,манзилли!$AA:$AA,"&lt;01.01.2022",манзилли!$AB:$AB,"",манзилли!$E:$E,"4")</f>
        <v>105</v>
      </c>
      <c r="BF56" s="37">
        <f>+COUNTIFS(манзилли!$D:$D,'свод (сектор вилоят)'!$B$52,манзилли!$AA:$AA,"&lt;01.01.2023",манзилли!$AA:$AA,"&gt;=01.01.2022",манзилли!$E:$E,"4")</f>
        <v>2</v>
      </c>
      <c r="BG56" s="38">
        <f>(+SUMIFS(манзилли!$K:$K,манзилли!$D:$D,'свод (сектор вилоят)'!$B$52,манзилли!$AA:$AA,"&lt;01.01.2023",манзилли!$AA:$AA,"&gt;=01.01.2022",манзилли!$E:$E,"4"))</f>
        <v>2715</v>
      </c>
      <c r="BH56" s="38">
        <f>(+SUMIFS(манзилли!$M:$M,манзилли!$D:$D,'свод (сектор вилоят)'!$B$52,манзилли!$AA:$AA,"&lt;01.01.2023",манзилли!$AA:$AA,"&gt;=01.01.2022",манзилли!$E:$E,"4"))</f>
        <v>1200</v>
      </c>
      <c r="BI56" s="38">
        <f>(+SUMIFS(манзилли!$Q:$Q,манзилли!$D:$D,'свод (сектор вилоят)'!$B$52,манзилли!$AA:$AA,"&lt;01.01.2023",манзилли!$AA:$AA,"&gt;=01.01.2022",манзилли!$E:$E,"4"))</f>
        <v>1000</v>
      </c>
      <c r="BJ56" s="38">
        <f>(+SUMIFS(манзилли!$S:$S,манзилли!$D:$D,'свод (сектор вилоят)'!$B$52,манзилли!$AA:$AA,"&lt;01.01.2023",манзилли!$AA:$AA,"&gt;=01.01.2022",манзилли!$E:$E,"4"))</f>
        <v>50</v>
      </c>
      <c r="BK56" s="38">
        <f>(+SUMIFS(манзилли!$U:$U,манзилли!$D:$D,'свод (сектор вилоят)'!$B$52,манзилли!$AA:$AA,"&lt;01.01.2023",манзилли!$AA:$AA,"&gt;=01.01.2022",манзилли!$E:$E,"4"))</f>
        <v>0</v>
      </c>
      <c r="BL56" s="39">
        <f>+SUMIFS(манзилли!$Y:$Y,манзилли!$D:$D,'свод (сектор вилоят)'!$B$52,манзилли!$AA:$AA,"&lt;01.01.2023",манзилли!$AA:$AA,"&gt;=01.01.2022",манзилли!$E:$E,"4")</f>
        <v>11</v>
      </c>
    </row>
    <row r="57" spans="1:64" s="3" customFormat="1" ht="39.75" customHeight="1" thickBot="1">
      <c r="A57" s="53">
        <v>11</v>
      </c>
      <c r="B57" s="54" t="s">
        <v>310</v>
      </c>
      <c r="C57" s="41">
        <f>+SUM(C58:C61)</f>
        <v>56</v>
      </c>
      <c r="D57" s="41">
        <f t="shared" ref="D57" si="629">+SUM(D58:D61)</f>
        <v>921533</v>
      </c>
      <c r="E57" s="41">
        <f t="shared" ref="E57" si="630">+SUM(E58:E61)</f>
        <v>256541</v>
      </c>
      <c r="F57" s="41">
        <f t="shared" ref="F57" si="631">+SUM(F58:F61)</f>
        <v>108380</v>
      </c>
      <c r="G57" s="41">
        <f t="shared" ref="G57" si="632">+SUM(G58:G61)</f>
        <v>46340</v>
      </c>
      <c r="H57" s="41">
        <f t="shared" ref="H57" si="633">+SUM(H58:H61)</f>
        <v>7700</v>
      </c>
      <c r="I57" s="41">
        <f t="shared" ref="I57" si="634">+SUM(I58:I61)</f>
        <v>3562</v>
      </c>
      <c r="J57" s="41">
        <f t="shared" ref="J57" si="635">+SUM(J58:J61)</f>
        <v>30</v>
      </c>
      <c r="K57" s="41">
        <f t="shared" ref="K57" si="636">+SUM(K58:K61)</f>
        <v>186195.02</v>
      </c>
      <c r="L57" s="41">
        <f t="shared" ref="L57" si="637">+SUM(L58:L61)</f>
        <v>35350</v>
      </c>
      <c r="M57" s="41">
        <f t="shared" ref="M57" si="638">+SUM(M58:M61)</f>
        <v>70980</v>
      </c>
      <c r="N57" s="41">
        <f t="shared" ref="N57" si="639">+SUM(N58:N61)</f>
        <v>7830.1</v>
      </c>
      <c r="O57" s="41">
        <f t="shared" ref="O57" si="640">+SUM(O58:O61)</f>
        <v>0</v>
      </c>
      <c r="P57" s="41">
        <f t="shared" ref="P57" si="641">+SUM(P58:P61)</f>
        <v>45</v>
      </c>
      <c r="Q57" s="41">
        <f t="shared" ref="Q57" si="642">+SUM(Q58:Q61)</f>
        <v>779231</v>
      </c>
      <c r="R57" s="41">
        <f t="shared" ref="R57" si="643">+SUM(R58:R61)</f>
        <v>195691</v>
      </c>
      <c r="S57" s="41">
        <f t="shared" ref="S57" si="644">+SUM(S58:S61)</f>
        <v>87080</v>
      </c>
      <c r="T57" s="41">
        <f t="shared" ref="T57" si="645">+SUM(T58:T61)</f>
        <v>40500</v>
      </c>
      <c r="U57" s="41">
        <f t="shared" ref="U57" si="646">+SUM(U58:U61)</f>
        <v>7700</v>
      </c>
      <c r="V57" s="41">
        <f t="shared" ref="V57" si="647">+SUM(V58:V61)</f>
        <v>3377</v>
      </c>
      <c r="W57" s="41">
        <f t="shared" ref="W57" si="648">+SUM(W58:W61)</f>
        <v>1</v>
      </c>
      <c r="X57" s="41">
        <f t="shared" ref="X57" si="649">+SUM(X58:X61)</f>
        <v>850</v>
      </c>
      <c r="Y57" s="41">
        <f t="shared" ref="Y57" si="650">+SUM(Y58:Y61)</f>
        <v>400</v>
      </c>
      <c r="Z57" s="41">
        <f t="shared" ref="Z57" si="651">+SUM(Z58:Z61)</f>
        <v>450</v>
      </c>
      <c r="AA57" s="41">
        <f t="shared" ref="AA57" si="652">+SUM(AA58:AA61)</f>
        <v>0</v>
      </c>
      <c r="AB57" s="41">
        <f t="shared" ref="AB57" si="653">+SUM(AB58:AB61)</f>
        <v>0</v>
      </c>
      <c r="AC57" s="41">
        <f t="shared" ref="AC57" si="654">+SUM(AC58:AC61)</f>
        <v>8</v>
      </c>
      <c r="AD57" s="41">
        <f t="shared" ref="AD57" si="655">+SUM(AD58:AD61)</f>
        <v>1</v>
      </c>
      <c r="AE57" s="41">
        <f t="shared" ref="AE57" si="656">+SUM(AE58:AE61)</f>
        <v>850</v>
      </c>
      <c r="AF57" s="41">
        <f t="shared" ref="AF57" si="657">+SUM(AF58:AF61)</f>
        <v>400</v>
      </c>
      <c r="AG57" s="41">
        <f t="shared" ref="AG57" si="658">+SUM(AG58:AG61)</f>
        <v>450</v>
      </c>
      <c r="AH57" s="41">
        <f t="shared" ref="AH57" si="659">+SUM(AH58:AH61)</f>
        <v>0</v>
      </c>
      <c r="AI57" s="41">
        <f t="shared" ref="AI57" si="660">+SUM(AI58:AI61)</f>
        <v>0</v>
      </c>
      <c r="AJ57" s="41">
        <f t="shared" ref="AJ57" si="661">+SUM(AJ58:AJ61)</f>
        <v>8</v>
      </c>
      <c r="AK57" s="41">
        <f t="shared" ref="AK57" si="662">+SUM(AK58:AK61)</f>
        <v>0</v>
      </c>
      <c r="AL57" s="41">
        <f t="shared" ref="AL57" si="663">+SUM(AL58:AL61)</f>
        <v>0</v>
      </c>
      <c r="AM57" s="41">
        <f t="shared" ref="AM57" si="664">+SUM(AM58:AM61)</f>
        <v>0</v>
      </c>
      <c r="AN57" s="41">
        <f t="shared" ref="AN57" si="665">+SUM(AN58:AN61)</f>
        <v>0</v>
      </c>
      <c r="AO57" s="41">
        <f t="shared" ref="AO57" si="666">+SUM(AO58:AO61)</f>
        <v>0</v>
      </c>
      <c r="AP57" s="41">
        <f t="shared" ref="AP57" si="667">+SUM(AP58:AP61)</f>
        <v>0</v>
      </c>
      <c r="AQ57" s="41">
        <f t="shared" ref="AQ57" si="668">+SUM(AQ58:AQ61)</f>
        <v>0</v>
      </c>
      <c r="AR57" s="41">
        <f t="shared" ref="AR57" si="669">+SUM(AR58:AR61)</f>
        <v>0</v>
      </c>
      <c r="AS57" s="41">
        <f t="shared" ref="AS57" si="670">+SUM(AS58:AS61)</f>
        <v>0</v>
      </c>
      <c r="AT57" s="41">
        <f t="shared" ref="AT57" si="671">+SUM(AT58:AT61)</f>
        <v>0</v>
      </c>
      <c r="AU57" s="41">
        <f t="shared" ref="AU57" si="672">+SUM(AU58:AU61)</f>
        <v>0</v>
      </c>
      <c r="AV57" s="41">
        <f t="shared" ref="AV57" si="673">+SUM(AV58:AV61)</f>
        <v>0</v>
      </c>
      <c r="AW57" s="41">
        <f t="shared" ref="AW57" si="674">+SUM(AW58:AW61)</f>
        <v>0</v>
      </c>
      <c r="AX57" s="41">
        <f t="shared" ref="AX57" si="675">+SUM(AX58:AX61)</f>
        <v>0</v>
      </c>
      <c r="AY57" s="41">
        <f t="shared" ref="AY57" si="676">+SUM(AY58:AY61)</f>
        <v>44</v>
      </c>
      <c r="AZ57" s="41">
        <f t="shared" ref="AZ57" si="677">+SUM(AZ58:AZ61)</f>
        <v>777731</v>
      </c>
      <c r="BA57" s="41">
        <f t="shared" ref="BA57" si="678">+SUM(BA58:BA61)</f>
        <v>195291</v>
      </c>
      <c r="BB57" s="41">
        <f t="shared" ref="BB57" si="679">+SUM(BB58:BB61)</f>
        <v>85980</v>
      </c>
      <c r="BC57" s="41">
        <f t="shared" ref="BC57" si="680">+SUM(BC58:BC61)</f>
        <v>40500</v>
      </c>
      <c r="BD57" s="41">
        <f t="shared" ref="BD57" si="681">+SUM(BD58:BD61)</f>
        <v>7700</v>
      </c>
      <c r="BE57" s="41">
        <f t="shared" ref="BE57" si="682">+SUM(BE58:BE61)</f>
        <v>3369</v>
      </c>
      <c r="BF57" s="41">
        <f t="shared" ref="BF57" si="683">+SUM(BF58:BF61)</f>
        <v>6</v>
      </c>
      <c r="BG57" s="41">
        <f t="shared" ref="BG57" si="684">+SUM(BG58:BG61)</f>
        <v>96537</v>
      </c>
      <c r="BH57" s="41">
        <f t="shared" ref="BH57" si="685">+SUM(BH58:BH61)</f>
        <v>25900</v>
      </c>
      <c r="BI57" s="41">
        <f t="shared" ref="BI57" si="686">+SUM(BI58:BI61)</f>
        <v>11000</v>
      </c>
      <c r="BJ57" s="41">
        <f t="shared" ref="BJ57" si="687">+SUM(BJ58:BJ61)</f>
        <v>5790</v>
      </c>
      <c r="BK57" s="41">
        <f t="shared" ref="BK57" si="688">+SUM(BK58:BK61)</f>
        <v>0</v>
      </c>
      <c r="BL57" s="43">
        <f t="shared" ref="BL57" si="689">+SUM(BL58:BL61)</f>
        <v>120</v>
      </c>
    </row>
    <row r="58" spans="1:64" s="3" customFormat="1" ht="39.75" customHeight="1">
      <c r="A58" s="52"/>
      <c r="B58" s="50" t="s">
        <v>1771</v>
      </c>
      <c r="C58" s="46">
        <f>+COUNTIFS(манзилли!$D:$D,'свод (сектор вилоят)'!$B$57,манзилли!$E:$E,"1")</f>
        <v>8</v>
      </c>
      <c r="D58" s="47">
        <f>(+SUMIFS(манзилли!$K:$K,манзилли!$D:$D,'свод (сектор вилоят)'!$B$57,манзилли!$E:$E,"1"))</f>
        <v>213285</v>
      </c>
      <c r="E58" s="47">
        <f>(+SUMIFS(манзилли!$M:$M,манзилли!$D:$D,'свод (сектор вилоят)'!$B$57,манзилли!$E:$E,"1"))</f>
        <v>43550</v>
      </c>
      <c r="F58" s="47">
        <f>(+SUMIFS(манзилли!$Q:$Q,манзилли!$D:$D,'свод (сектор вилоят)'!$B$57,манзилли!$E:$E,"1"))</f>
        <v>10600</v>
      </c>
      <c r="G58" s="47">
        <f>(+SUMIFS(манзилли!$S:$S,манзилли!$D:$D,'свод (сектор вилоят)'!$B$57,манзилли!$E:$E,"1"))</f>
        <v>15450</v>
      </c>
      <c r="H58" s="47">
        <f>(+SUMIFS(манзилли!$U:$U,манзилли!$D:$D,'свод (сектор вилоят)'!$B$57,манзилли!$E:$E,"1"))</f>
        <v>0</v>
      </c>
      <c r="I58" s="48">
        <f>+SUMIFS(манзилли!$Y:$Y,манзилли!$D:$D,'свод (сектор вилоят)'!$B$57,манзилли!$E:$E,"1")</f>
        <v>319</v>
      </c>
      <c r="J58" s="46">
        <f>(+COUNTIFS(манзилли!$L:$L,"&gt;0",манзилли!$D:$D,'свод (сектор вилоят)'!$B$57,манзилли!$E:$E,"1")+COUNTIFS('Қўшимча ишга тушган'!$T:$T,"&gt;0",'Қўшимча ишга тушган'!$D:$D,'свод (сектор вилоят)'!$B$57,'Қўшимча ишга тушган'!$E:$E,"1"))</f>
        <v>6</v>
      </c>
      <c r="K58" s="48">
        <f>(+SUMIFS(манзилли!$L:$L,манзилли!$D:$D,'свод (сектор вилоят)'!$B$57,манзилли!$E:$E,"1")+SUMIFS('Қўшимча ишга тушган'!$T:$T,'Қўшимча ишга тушган'!$D:$D,'свод (сектор вилоят)'!$B$57,'Қўшимча ишга тушган'!$E:$E,"1"))</f>
        <v>31563.3</v>
      </c>
      <c r="L58" s="49">
        <f>(+SUMIFS(манзилли!$N:$N,манзилли!$D:$D,'свод (сектор вилоят)'!$B$57,манзилли!$E:$E,"1")+SUMIFS('Қўшимча ишга тушган'!$V:$V,'Қўшимча ишга тушган'!$D:$D,'свод (сектор вилоят)'!$B$57,'Қўшимча ишга тушган'!$E:$E,"1"))</f>
        <v>650</v>
      </c>
      <c r="M58" s="47">
        <f>(+SUMIFS(манзилли!$R:$R,манзилли!$D:$D,'свод (сектор вилоят)'!$B$57,манзилли!$E:$E,"1")+SUMIFS('Қўшимча ишга тушган'!$Z:$Z,'Қўшимча ишга тушган'!$D:$D,'свод (сектор вилоят)'!$B$57,'Қўшимча ишга тушган'!$E:$E,"1"))</f>
        <v>3360</v>
      </c>
      <c r="N58" s="47">
        <f>(+SUMIFS(манзилли!$T:$T,манзилли!$D:$D,'свод (сектор вилоят)'!$B$57,манзилли!$E:$E,"1")+SUMIFS('Қўшимча ишга тушган'!$AB:$AB,'Қўшимча ишга тушган'!$D:$D,'свод (сектор вилоят)'!$B$57,'Қўшимча ишга тушган'!$E:$E,"1"))</f>
        <v>2701.5</v>
      </c>
      <c r="O58" s="48">
        <f>(+SUMIFS(манзилли!$V:$V,манзилли!$D:$D,'свод (сектор вилоят)'!$B$57,манзилли!$E:$E,"1")+SUMIFS('Қўшимча ишга тушган'!$AD:$AD,'Қўшимча ишга тушган'!$D:$D,'свод (сектор вилоят)'!$B$57,'Қўшимча ишга тушган'!$E:$E,"1"))</f>
        <v>0</v>
      </c>
      <c r="P58" s="46">
        <f>+COUNTIFS(манзилли!$D:$D,'свод (сектор вилоят)'!$B$57,манзилли!$AA:$AA,"&gt;31.12.2020",манзилли!$AA:$AA,"&lt;01.01.2022",манзилли!$E:$E,"1")</f>
        <v>6</v>
      </c>
      <c r="Q58" s="47">
        <f>(+SUMIFS(манзилли!$K:$K,манзилли!$D:$D,'свод (сектор вилоят)'!$B$57,манзилли!$AA:$AA,"&gt;31.12.2020",манзилли!$AA:$AA,"&lt;01.01.2022",манзилли!$E:$E,"1"))</f>
        <v>211220</v>
      </c>
      <c r="R58" s="47">
        <f>(+SUMIFS(манзилли!$M:$M,манзилли!$D:$D,'свод (сектор вилоят)'!$B$57,манзилли!$AA:$AA,"&gt;31.12.2020",манзилли!$AA:$AA,"&lt;01.01.2022",манзилли!$E:$E,"1"))</f>
        <v>42900</v>
      </c>
      <c r="S58" s="47">
        <f>(+SUMIFS(манзилли!$Q:$Q,манзилли!$D:$D,'свод (сектор вилоят)'!$B$57,манзилли!$AA:$AA,"&gt;31.12.2020",манзилли!$AA:$AA,"&lt;01.01.2022",манзилли!$E:$E,"1"))</f>
        <v>9700</v>
      </c>
      <c r="T58" s="47">
        <f>(+SUMIFS(манзилли!$S:$S,манзилли!$D:$D,'свод (сектор вилоят)'!$B$57,манзилли!$AA:$AA,"&gt;31.12.2020",манзилли!$AA:$AA,"&lt;01.01.2022",манзилли!$E:$E,"1"))</f>
        <v>15400</v>
      </c>
      <c r="U58" s="47">
        <f>(+SUMIFS(манзилли!$U:$U,манзилли!$D:$D,'свод (сектор вилоят)'!$B$57,манзилли!$AA:$AA,"&gt;31.12.2020",манзилли!$AA:$AA,"&lt;01.01.2022",манзилли!$E:$E,"1"))</f>
        <v>0</v>
      </c>
      <c r="V58" s="48">
        <f>+SUMIFS(манзилли!$Y:$Y,манзилли!$D:$D,'свод (сектор вилоят)'!$B$57,манзилли!$AA:$AA,"&gt;31.12.2020",манзилли!$AA:$AA,"&lt;01.01.2022",манзилли!$E:$E,"1")</f>
        <v>300</v>
      </c>
      <c r="W58" s="46">
        <f>+AD58+AK58</f>
        <v>0</v>
      </c>
      <c r="X58" s="47">
        <f t="shared" ref="X58:X61" si="690">+AE58+AL58</f>
        <v>0</v>
      </c>
      <c r="Y58" s="47">
        <f t="shared" ref="Y58:Y61" si="691">+AF58+AM58</f>
        <v>0</v>
      </c>
      <c r="Z58" s="47">
        <f t="shared" ref="Z58:Z61" si="692">+AG58+AN58</f>
        <v>0</v>
      </c>
      <c r="AA58" s="47">
        <f t="shared" ref="AA58:AA61" si="693">+AH58+AO58</f>
        <v>0</v>
      </c>
      <c r="AB58" s="47">
        <f t="shared" ref="AB58:AB61" si="694">+AI58+AP58</f>
        <v>0</v>
      </c>
      <c r="AC58" s="48">
        <f t="shared" ref="AC58:AC61" si="695">+AJ58+AQ58</f>
        <v>0</v>
      </c>
      <c r="AD58" s="46">
        <f>+COUNTIFS(манзилли!$D:$D,'свод (сектор вилоят)'!$B$57,манзилли!$AB:$AB,"&gt;31.12.2020",манзилли!$AA:$AA,"&gt;31.12.2020",манзилли!$AA:$AA,"&lt;01.01.2022",манзилли!$E:$E,"1")</f>
        <v>0</v>
      </c>
      <c r="AE58" s="47">
        <f>(+SUMIFS(манзилли!$L:$L,манзилли!$D:$D,'свод (сектор вилоят)'!$B$57,манзилли!$AB:$AB,"&gt;31.12.2020",манзилли!$AA:$AA,"&gt;31.12.2020",манзилли!$AA:$AA,"&lt;01.01.2022",манзилли!$E:$E,"1"))</f>
        <v>0</v>
      </c>
      <c r="AF58" s="47">
        <f>(+SUMIFS(манзилли!$N:$N,манзилли!$D:$D,'свод (сектор вилоят)'!$B$57,манзилли!$AB:$AB,"&gt;31.12.2020",манзилли!$AA:$AA,"&gt;31.12.2020",манзилли!$AA:$AA,"&lt;01.01.2022",манзилли!$E:$E,"1"))</f>
        <v>0</v>
      </c>
      <c r="AG58" s="47">
        <f>(+SUMIFS(манзилли!$R:$R,манзилли!$D:$D,'свод (сектор вилоят)'!$B$57,манзилли!$AB:$AB,"&gt;31.12.2020",манзилли!$AA:$AA,"&gt;31.12.2020",манзилли!$AA:$AA,"&lt;01.01.2022",манзилли!$E:$E,"1"))</f>
        <v>0</v>
      </c>
      <c r="AH58" s="47">
        <f>(+SUMIFS(манзилли!$T:$T,манзилли!$D:$D,'свод (сектор вилоят)'!$B$57,манзилли!$AB:$AB,"&gt;31.12.2020",манзилли!$AA:$AA,"&gt;31.12.2020",манзилли!$AA:$AA,"&lt;01.01.2022",манзилли!$E:$E,"1"))</f>
        <v>0</v>
      </c>
      <c r="AI58" s="47">
        <f>(+SUMIFS(манзилли!$V:$V,манзилли!$D:$D,'свод (сектор вилоят)'!$B$57,манзилли!$AB:$AB,"&gt;31.12.2020",манзилли!$AA:$AA,"&gt;31.12.2020",манзилли!$AA:$AA,"&lt;01.01.2022",манзилли!$E:$E,"1"))</f>
        <v>0</v>
      </c>
      <c r="AJ58" s="48">
        <f>+SUMIFS(манзилли!$Z:$Z,манзилли!$D:$D,'свод (сектор вилоят)'!$B$57,манзилли!$AB:$AB,"&gt;31.12.2020",манзилли!$AA:$AA,"&gt;31.12.2020",манзилли!$AA:$AA,"&lt;01.01.2022",манзилли!$E:$E,"1")</f>
        <v>0</v>
      </c>
      <c r="AK58" s="46">
        <f>+COUNTIFS('Қўшимча ишга тушган'!$D:$D,'свод (сектор вилоят)'!B57,'Қўшимча ишга тушган'!$AO:$AO,"&lt;01.10.2023",манзилли!$E:$E,"1")</f>
        <v>0</v>
      </c>
      <c r="AL58" s="47">
        <f>(+SUMIFS('Қўшимча ишга тушган'!$T:$T,'Қўшимча ишга тушган'!$D:$D,'свод (сектор вилоят)'!$B$57,'Қўшимча ишга тушган'!$AO:$AO,"&lt;01.10.2023",манзилли!$E:$E,"1"))</f>
        <v>0</v>
      </c>
      <c r="AM58" s="47">
        <f>(+SUMIFS('Қўшимча ишга тушган'!$V:$V,'Қўшимча ишга тушган'!$D:$D,'свод (сектор вилоят)'!$B$57,'Қўшимча ишга тушган'!$AO:$AO,"&lt;01.10.2023",манзилли!$E:$E,"1"))</f>
        <v>0</v>
      </c>
      <c r="AN58" s="47">
        <f>(+SUMIFS('Қўшимча ишга тушган'!$Z:$Z,'Қўшимча ишга тушган'!$D:$D,'свод (сектор вилоят)'!$B$57,'Қўшимча ишга тушган'!$AO:$AO,"&lt;01.10.2023",манзилли!$E:$E,"1"))</f>
        <v>0</v>
      </c>
      <c r="AO58" s="47">
        <f>(+SUMIFS('Қўшимча ишга тушган'!$AB:$AB,'Қўшимча ишга тушган'!$D:$D,'свод (сектор вилоят)'!$B$57,'Қўшимча ишга тушган'!$AO:$AO,"&lt;01.10.2023",манзилли!$E:$E,"1"))</f>
        <v>0</v>
      </c>
      <c r="AP58" s="47">
        <f>(+SUMIFS('Қўшимча ишга тушган'!$AD:$AD,'Қўшимча ишга тушган'!$D:$D,'свод (сектор вилоят)'!$B$57,'Қўшимча ишга тушган'!$AO:$AO,"&lt;01.10.2023",манзилли!$E:$E,"1"))</f>
        <v>0</v>
      </c>
      <c r="AQ58" s="48">
        <f>+SUMIFS('Қўшимча ишга тушган'!$AM:$AM,'Қўшимча ишга тушган'!$D:$D,'свод (сектор вилоят)'!$B$57,'Қўшимча ишга тушган'!$AO:$AO,"&lt;01.10.2023",манзилли!$E:$E,"1")</f>
        <v>0</v>
      </c>
      <c r="AR58" s="46">
        <f>+COUNTIFS(манзилли!$D:$D,'свод (сектор вилоят)'!$B$57,манзилли!$AA:$AA,"&lt;01.02.2021",манзилли!$AB:$AB,"",манзилли!$E:$E,"1")</f>
        <v>0</v>
      </c>
      <c r="AS58" s="47">
        <f>(+SUMIFS(манзилли!$K:$K,манзилли!$D:$D,'свод (сектор вилоят)'!$B$57,манзилли!$AA:$AA,"&lt;01.02.2021",манзилли!$AB:$AB,"",манзилли!$E:$E,"1"))</f>
        <v>0</v>
      </c>
      <c r="AT58" s="47">
        <f>(+SUMIFS(манзилли!$M:$M,манзилли!$D:$D,'свод (сектор вилоят)'!$B$57,манзилли!$AA:$AA,"&lt;01.02.2021",манзилли!$AB:$AB,"",манзилли!$E:$E,"1"))</f>
        <v>0</v>
      </c>
      <c r="AU58" s="47">
        <f>(+SUMIFS(манзилли!$Q:$Q,манзилли!$D:$D,'свод (сектор вилоят)'!$B$57,манзилли!$AA:$AA,"&lt;01.02.2021",манзилли!$AB:$AB,"",манзилли!$E:$E,"1"))</f>
        <v>0</v>
      </c>
      <c r="AV58" s="47">
        <f>(+SUMIFS(манзилли!$S:$S,манзилли!$D:$D,'свод (сектор вилоят)'!$B$57,манзилли!$AA:$AA,"&lt;01.02.2021",манзилли!$AB:$AB,"",манзилли!$E:$E,"1"))</f>
        <v>0</v>
      </c>
      <c r="AW58" s="47">
        <f>(+SUMIFS(манзилли!$U:$U,манзилли!$D:$D,'свод (сектор вилоят)'!$B$57,манзилли!$AA:$AA,"&lt;01.02.2021",манзилли!$AB:$AB,"",манзилли!$E:$E,"1"))</f>
        <v>0</v>
      </c>
      <c r="AX58" s="48">
        <f>+SUMIFS(манзилли!$Y:$Y,манзилли!$D:$D,'свод (сектор вилоят)'!$B$57,манзилли!$AA:$AA,"&lt;01.02.2021",манзилли!$AB:$AB,"",манзилли!$E:$E,"1")</f>
        <v>0</v>
      </c>
      <c r="AY58" s="46">
        <f>+COUNTIFS(манзилли!$D:$D,'свод (сектор вилоят)'!$B$57,манзилли!$AA:$AA,"&lt;01.01.2022",манзилли!$AB:$AB,"",манзилли!$E:$E,"1")</f>
        <v>6</v>
      </c>
      <c r="AZ58" s="47">
        <f>(+SUMIFS(манзилли!$K:$K,манзилли!$D:$D,'свод (сектор вилоят)'!$B$57,манзилли!$AA:$AA,"&lt;01.01.2022",манзилли!$AB:$AB,"",манзилли!$E:$E,"1"))</f>
        <v>211220</v>
      </c>
      <c r="BA58" s="47">
        <f>(+SUMIFS(манзилли!$M:$M,манзилли!$D:$D,'свод (сектор вилоят)'!$B$57,манзилли!$AA:$AA,"&lt;01.01.2022",манзилли!$AB:$AB,"",манзилли!$E:$E,"1"))</f>
        <v>42900</v>
      </c>
      <c r="BB58" s="47">
        <f>(+SUMIFS(манзилли!$Q:$Q,манзилли!$D:$D,'свод (сектор вилоят)'!$B$57,манзилли!$AA:$AA,"&lt;01.01.2022",манзилли!$AB:$AB,"",манзилли!$E:$E,"1"))</f>
        <v>9700</v>
      </c>
      <c r="BC58" s="47">
        <f>(+SUMIFS(манзилли!$S:$S,манзилли!$D:$D,'свод (сектор вилоят)'!$B$57,манзилли!$AA:$AA,"&lt;01.01.2022",манзилли!$AB:$AB,"",манзилли!$E:$E,"1"))</f>
        <v>15400</v>
      </c>
      <c r="BD58" s="47">
        <f>(+SUMIFS(манзилли!$U:$U,манзилли!$D:$D,'свод (сектор вилоят)'!$B$57,манзилли!$AA:$AA,"&lt;01.01.2022",манзилли!$AB:$AB,"",манзилли!$E:$E,"1"))</f>
        <v>0</v>
      </c>
      <c r="BE58" s="48">
        <f>+SUMIFS(манзилли!$Y:$Y,манзилли!$D:$D,'свод (сектор вилоят)'!$B$57,манзилли!$AA:$AA,"&lt;01.01.2022",манзилли!$AB:$AB,"",манзилли!$E:$E,"1")</f>
        <v>300</v>
      </c>
      <c r="BF58" s="46">
        <f>+COUNTIFS(манзилли!$D:$D,'свод (сектор вилоят)'!$B$57,манзилли!$AA:$AA,"&lt;01.01.2023",манзилли!$AA:$AA,"&gt;=01.01.2022",манзилли!$E:$E,"1")</f>
        <v>0</v>
      </c>
      <c r="BG58" s="47">
        <f>(+SUMIFS(манзилли!$K:$K,манзилли!$D:$D,'свод (сектор вилоят)'!$B$57,манзилли!$AA:$AA,"&lt;01.01.2023",манзилли!$AA:$AA,"&gt;=01.01.2022",манзилли!$E:$E,"1"))</f>
        <v>0</v>
      </c>
      <c r="BH58" s="47">
        <f>(+SUMIFS(манзилли!$M:$M,манзилли!$D:$D,'свод (сектор вилоят)'!$B$57,манзилли!$AA:$AA,"&lt;01.01.2023",манзилли!$AA:$AA,"&gt;=01.01.2022",манзилли!$E:$E,"1"))</f>
        <v>0</v>
      </c>
      <c r="BI58" s="47">
        <f>(+SUMIFS(манзилли!$Q:$Q,манзилли!$D:$D,'свод (сектор вилоят)'!$B$57,манзилли!$AA:$AA,"&lt;01.01.2023",манзилли!$AA:$AA,"&gt;=01.01.2022",манзилли!$E:$E,"1"))</f>
        <v>0</v>
      </c>
      <c r="BJ58" s="47">
        <f>(+SUMIFS(манзилли!$S:$S,манзилли!$D:$D,'свод (сектор вилоят)'!$B$57,манзилли!$AA:$AA,"&lt;01.01.2023",манзилли!$AA:$AA,"&gt;=01.01.2022",манзилли!$E:$E,"1"))</f>
        <v>0</v>
      </c>
      <c r="BK58" s="47">
        <f>(+SUMIFS(манзилли!$U:$U,манзилли!$D:$D,'свод (сектор вилоят)'!$B$57,манзилли!$AA:$AA,"&lt;01.01.2023",манзилли!$AA:$AA,"&gt;=01.01.2022",манзилли!$E:$E,"1"))</f>
        <v>0</v>
      </c>
      <c r="BL58" s="48">
        <f>+SUMIFS(манзилли!$Y:$Y,манзилли!$D:$D,'свод (сектор вилоят)'!$B$57,манзилли!$AA:$AA,"&lt;01.01.2023",манзилли!$AA:$AA,"&gt;=01.01.2022",манзилли!$E:$E,"1")</f>
        <v>0</v>
      </c>
    </row>
    <row r="59" spans="1:64" s="3" customFormat="1" ht="39.75" customHeight="1">
      <c r="A59" s="51"/>
      <c r="B59" s="27" t="s">
        <v>1772</v>
      </c>
      <c r="C59" s="28">
        <f>+COUNTIFS(манзилли!$D:$D,'свод (сектор вилоят)'!$B$57,манзилли!$E:$E,"2")</f>
        <v>18</v>
      </c>
      <c r="D59" s="29">
        <f>(+SUMIFS(манзилли!$K:$K,манзилли!$D:$D,'свод (сектор вилоят)'!$B$57,манзилли!$E:$E,"2"))</f>
        <v>388915</v>
      </c>
      <c r="E59" s="29">
        <f>(+SUMIFS(манзилли!$M:$M,манзилли!$D:$D,'свод (сектор вилоят)'!$B$57,манзилли!$E:$E,"2"))</f>
        <v>159153</v>
      </c>
      <c r="F59" s="29">
        <f>(+SUMIFS(манзилли!$Q:$Q,манзилли!$D:$D,'свод (сектор вилоят)'!$B$57,манзилли!$E:$E,"2"))</f>
        <v>7900</v>
      </c>
      <c r="G59" s="29">
        <f>(+SUMIFS(манзилли!$S:$S,манзилли!$D:$D,'свод (сектор вилоят)'!$B$57,манзилли!$E:$E,"2"))</f>
        <v>21540</v>
      </c>
      <c r="H59" s="29">
        <f>(+SUMIFS(манзилли!$U:$U,манзилли!$D:$D,'свод (сектор вилоят)'!$B$57,манзилли!$E:$E,"2"))</f>
        <v>0</v>
      </c>
      <c r="I59" s="30">
        <f>+SUMIFS(манзилли!$Y:$Y,манзилли!$D:$D,'свод (сектор вилоят)'!$B$57,манзилли!$E:$E,"2")</f>
        <v>2507</v>
      </c>
      <c r="J59" s="28">
        <f>(+COUNTIFS(манзилли!$L:$L,"&gt;0",манзилли!$D:$D,'свод (сектор вилоят)'!$B$57,манзилли!$E:$E,"2")+COUNTIFS('Қўшимча ишга тушган'!$T:$T,"&gt;0",'Қўшимча ишга тушган'!$D:$D,'свод (сектор вилоят)'!$B$57,'Қўшимча ишга тушган'!$E:$E,"2"))</f>
        <v>9</v>
      </c>
      <c r="K59" s="30">
        <f>(+SUMIFS(манзилли!$L:$L,манзилли!$D:$D,'свод (сектор вилоят)'!$B$57,манзилли!$E:$E,"2")+SUMIFS('Қўшимча ишга тушган'!$T:$T,'Қўшимча ишга тушган'!$D:$D,'свод (сектор вилоят)'!$B$57,'Қўшимча ишга тушган'!$E:$E,"2"))</f>
        <v>114986.12</v>
      </c>
      <c r="L59" s="31">
        <f>(+SUMIFS(манзилли!$N:$N,манзилли!$D:$D,'свод (сектор вилоят)'!$B$57,манзилли!$E:$E,"2")+SUMIFS('Қўшимча ишга тушган'!$V:$V,'Қўшимча ишга тушган'!$D:$D,'свод (сектор вилоят)'!$B$57,'Қўшимча ишга тушган'!$E:$E,"2"))</f>
        <v>30300</v>
      </c>
      <c r="M59" s="29">
        <f>(+SUMIFS(манзилли!$R:$R,манзилли!$D:$D,'свод (сектор вилоят)'!$B$57,манзилли!$E:$E,"2")+SUMIFS('Қўшимча ишга тушган'!$Z:$Z,'Қўшимча ишга тушган'!$D:$D,'свод (сектор вилоят)'!$B$57,'Қўшимча ишга тушган'!$E:$E,"2"))</f>
        <v>50000</v>
      </c>
      <c r="N59" s="29">
        <f>(+SUMIFS(манзилли!$T:$T,манзилли!$D:$D,'свод (сектор вилоят)'!$B$57,манзилли!$E:$E,"2")+SUMIFS('Қўшимча ишга тушган'!$AB:$AB,'Қўшимча ишга тушган'!$D:$D,'свод (сектор вилоят)'!$B$57,'Қўшимча ишга тушган'!$E:$E,"2"))</f>
        <v>3400.6</v>
      </c>
      <c r="O59" s="30">
        <f>(+SUMIFS(манзилли!$V:$V,манзилли!$D:$D,'свод (сектор вилоят)'!$B$57,манзилли!$E:$E,"2")+SUMIFS('Қўшимча ишга тушган'!$AD:$AD,'Қўшимча ишга тушган'!$D:$D,'свод (сектор вилоят)'!$B$57,'Қўшимча ишга тушган'!$E:$E,"2"))</f>
        <v>0</v>
      </c>
      <c r="P59" s="28">
        <f>+COUNTIFS(манзилли!$D:$D,'свод (сектор вилоят)'!$B$57,манзилли!$AA:$AA,"&gt;31.12.2020",манзилли!$AA:$AA,"&lt;01.01.2022",манзилли!$E:$E,"2")</f>
        <v>13</v>
      </c>
      <c r="Q59" s="29">
        <f>(+SUMIFS(манзилли!$K:$K,манзилли!$D:$D,'свод (сектор вилоят)'!$B$57,манзилли!$AA:$AA,"&gt;31.12.2020",манзилли!$AA:$AA,"&lt;01.01.2022",манзилли!$E:$E,"2"))</f>
        <v>289265</v>
      </c>
      <c r="R59" s="29">
        <f>(+SUMIFS(манзилли!$M:$M,манзилли!$D:$D,'свод (сектор вилоят)'!$B$57,манзилли!$AA:$AA,"&gt;31.12.2020",манзилли!$AA:$AA,"&lt;01.01.2022",манзилли!$E:$E,"2"))</f>
        <v>109253</v>
      </c>
      <c r="S59" s="29">
        <f>(+SUMIFS(манзилли!$Q:$Q,манзилли!$D:$D,'свод (сектор вилоят)'!$B$57,манзилли!$AA:$AA,"&gt;31.12.2020",манзилли!$AA:$AA,"&lt;01.01.2022",манзилли!$E:$E,"2"))</f>
        <v>4500</v>
      </c>
      <c r="T59" s="29">
        <f>(+SUMIFS(манзилли!$S:$S,манзилли!$D:$D,'свод (сектор вилоят)'!$B$57,манзилли!$AA:$AA,"&gt;31.12.2020",манзилли!$AA:$AA,"&lt;01.01.2022",манзилли!$E:$E,"2"))</f>
        <v>17040</v>
      </c>
      <c r="U59" s="29">
        <f>(+SUMIFS(манзилли!$U:$U,манзилли!$D:$D,'свод (сектор вилоят)'!$B$57,манзилли!$AA:$AA,"&gt;31.12.2020",манзилли!$AA:$AA,"&lt;01.01.2022",манзилли!$E:$E,"2"))</f>
        <v>0</v>
      </c>
      <c r="V59" s="30">
        <f>+SUMIFS(манзилли!$Y:$Y,манзилли!$D:$D,'свод (сектор вилоят)'!$B$57,манзилли!$AA:$AA,"&gt;31.12.2020",манзилли!$AA:$AA,"&lt;01.01.2022",манзилли!$E:$E,"2")</f>
        <v>2396</v>
      </c>
      <c r="W59" s="28">
        <f t="shared" ref="W59:W61" si="696">+AD59+AK59</f>
        <v>0</v>
      </c>
      <c r="X59" s="29">
        <f t="shared" si="690"/>
        <v>0</v>
      </c>
      <c r="Y59" s="29">
        <f t="shared" si="691"/>
        <v>0</v>
      </c>
      <c r="Z59" s="29">
        <f t="shared" si="692"/>
        <v>0</v>
      </c>
      <c r="AA59" s="29">
        <f t="shared" si="693"/>
        <v>0</v>
      </c>
      <c r="AB59" s="29">
        <f t="shared" si="694"/>
        <v>0</v>
      </c>
      <c r="AC59" s="30">
        <f t="shared" si="695"/>
        <v>0</v>
      </c>
      <c r="AD59" s="28">
        <f>+COUNTIFS(манзилли!$D:$D,'свод (сектор вилоят)'!$B$57,манзилли!$AB:$AB,"&gt;31.12.2020",манзилли!$AA:$AA,"&gt;31.12.2020",манзилли!$AA:$AA,"&lt;01.01.2022",манзилли!$E:$E,"2")</f>
        <v>0</v>
      </c>
      <c r="AE59" s="29">
        <f>(+SUMIFS(манзилли!$L:$L,манзилли!$D:$D,'свод (сектор вилоят)'!$B$57,манзилли!$AB:$AB,"&gt;31.12.2020",манзилли!$AA:$AA,"&gt;31.12.2020",манзилли!$AA:$AA,"&lt;01.01.2022",манзилли!$E:$E,"2"))</f>
        <v>0</v>
      </c>
      <c r="AF59" s="29">
        <f>(+SUMIFS(манзилли!$N:$N,манзилли!$D:$D,'свод (сектор вилоят)'!$B$57,манзилли!$AB:$AB,"&gt;31.12.2020",манзилли!$AA:$AA,"&gt;31.12.2020",манзилли!$AA:$AA,"&lt;01.01.2022",манзилли!$E:$E,"2"))</f>
        <v>0</v>
      </c>
      <c r="AG59" s="29">
        <f>(+SUMIFS(манзилли!$R:$R,манзилли!$D:$D,'свод (сектор вилоят)'!$B$57,манзилли!$AB:$AB,"&gt;31.12.2020",манзилли!$AA:$AA,"&gt;31.12.2020",манзилли!$AA:$AA,"&lt;01.01.2022",манзилли!$E:$E,"2"))</f>
        <v>0</v>
      </c>
      <c r="AH59" s="29">
        <f>(+SUMIFS(манзилли!$T:$T,манзилли!$D:$D,'свод (сектор вилоят)'!$B$57,манзилли!$AB:$AB,"&gt;31.12.2020",манзилли!$AA:$AA,"&gt;31.12.2020",манзилли!$AA:$AA,"&lt;01.01.2022",манзилли!$E:$E,"2"))</f>
        <v>0</v>
      </c>
      <c r="AI59" s="29">
        <f>(+SUMIFS(манзилли!$V:$V,манзилли!$D:$D,'свод (сектор вилоят)'!$B$57,манзилли!$AB:$AB,"&gt;31.12.2020",манзилли!$AA:$AA,"&gt;31.12.2020",манзилли!$AA:$AA,"&lt;01.01.2022",манзилли!$E:$E,"2"))</f>
        <v>0</v>
      </c>
      <c r="AJ59" s="30">
        <f>+SUMIFS(манзилли!$Z:$Z,манзилли!$D:$D,'свод (сектор вилоят)'!$B$57,манзилли!$AB:$AB,"&gt;31.12.2020",манзилли!$AA:$AA,"&gt;31.12.2020",манзилли!$AA:$AA,"&lt;01.01.2022",манзилли!$E:$E,"2")</f>
        <v>0</v>
      </c>
      <c r="AK59" s="28">
        <f>+COUNTIFS('Қўшимча ишга тушган'!$D:$D,'свод (сектор вилоят)'!B57,'Қўшимча ишга тушган'!$AO:$AO,"&lt;01.10.2023",манзилли!$E:$E,"2")</f>
        <v>0</v>
      </c>
      <c r="AL59" s="29">
        <f>(+SUMIFS('Қўшимча ишга тушган'!$T:$T,'Қўшимча ишга тушган'!$D:$D,'свод (сектор вилоят)'!$B$57,'Қўшимча ишга тушган'!$AO:$AO,"&lt;01.10.2023",манзилли!$E:$E,"2"))</f>
        <v>0</v>
      </c>
      <c r="AM59" s="29">
        <f>(+SUMIFS('Қўшимча ишга тушган'!$V:$V,'Қўшимча ишга тушган'!$D:$D,'свод (сектор вилоят)'!$B$57,'Қўшимча ишга тушган'!$AO:$AO,"&lt;01.10.2023",манзилли!$E:$E,"2"))</f>
        <v>0</v>
      </c>
      <c r="AN59" s="29">
        <f>(+SUMIFS('Қўшимча ишга тушган'!$Z:$Z,'Қўшимча ишга тушган'!$D:$D,'свод (сектор вилоят)'!$B$57,'Қўшимча ишга тушган'!$AO:$AO,"&lt;01.10.2023",манзилли!$E:$E,"2"))</f>
        <v>0</v>
      </c>
      <c r="AO59" s="29">
        <f>(+SUMIFS('Қўшимча ишга тушган'!$AB:$AB,'Қўшимча ишга тушган'!$D:$D,'свод (сектор вилоят)'!$B$57,'Қўшимча ишга тушган'!$AO:$AO,"&lt;01.10.2023",манзилли!$E:$E,"2"))</f>
        <v>0</v>
      </c>
      <c r="AP59" s="29">
        <f>(+SUMIFS('Қўшимча ишга тушган'!$AD:$AD,'Қўшимча ишга тушган'!$D:$D,'свод (сектор вилоят)'!$B$57,'Қўшимча ишга тушган'!$AO:$AO,"&lt;01.10.2023",манзилли!$E:$E,"2"))</f>
        <v>0</v>
      </c>
      <c r="AQ59" s="30">
        <f>+SUMIFS('Қўшимча ишга тушган'!$AM:$AM,'Қўшимча ишга тушган'!$D:$D,'свод (сектор вилоят)'!$B$57,'Қўшимча ишга тушган'!$AO:$AO,"&lt;01.10.2023",манзилли!$E:$E,"2")</f>
        <v>0</v>
      </c>
      <c r="AR59" s="28">
        <f>+COUNTIFS(манзилли!$D:$D,'свод (сектор вилоят)'!$B$57,манзилли!$AA:$AA,"&lt;01.02.2021",манзилли!$AB:$AB,"",манзилли!$E:$E,"2")</f>
        <v>0</v>
      </c>
      <c r="AS59" s="29">
        <f>(+SUMIFS(манзилли!$K:$K,манзилли!$D:$D,'свод (сектор вилоят)'!$B$57,манзилли!$AA:$AA,"&lt;01.02.2021",манзилли!$AB:$AB,"",манзилли!$E:$E,"2"))</f>
        <v>0</v>
      </c>
      <c r="AT59" s="29">
        <f>(+SUMIFS(манзилли!$M:$M,манзилли!$D:$D,'свод (сектор вилоят)'!$B$57,манзилли!$AA:$AA,"&lt;01.02.2021",манзилли!$AB:$AB,"",манзилли!$E:$E,"2"))</f>
        <v>0</v>
      </c>
      <c r="AU59" s="29">
        <f>(+SUMIFS(манзилли!$Q:$Q,манзилли!$D:$D,'свод (сектор вилоят)'!$B$57,манзилли!$AA:$AA,"&lt;01.02.2021",манзилли!$AB:$AB,"",манзилли!$E:$E,"2"))</f>
        <v>0</v>
      </c>
      <c r="AV59" s="29">
        <f>(+SUMIFS(манзилли!$S:$S,манзилли!$D:$D,'свод (сектор вилоят)'!$B$57,манзилли!$AA:$AA,"&lt;01.02.2021",манзилли!$AB:$AB,"",манзилли!$E:$E,"2"))</f>
        <v>0</v>
      </c>
      <c r="AW59" s="29">
        <f>(+SUMIFS(манзилли!$U:$U,манзилли!$D:$D,'свод (сектор вилоят)'!$B$57,манзилли!$AA:$AA,"&lt;01.02.2021",манзилли!$AB:$AB,"",манзилли!$E:$E,"2"))</f>
        <v>0</v>
      </c>
      <c r="AX59" s="30">
        <f>+SUMIFS(манзилли!$Y:$Y,манзилли!$D:$D,'свод (сектор вилоят)'!$B$57,манзилли!$AA:$AA,"&lt;01.02.2021",манзилли!$AB:$AB,"",манзилли!$E:$E,"2")</f>
        <v>0</v>
      </c>
      <c r="AY59" s="28">
        <f>+COUNTIFS(манзилли!$D:$D,'свод (сектор вилоят)'!$B$57,манзилли!$AA:$AA,"&lt;01.01.2022",манзилли!$AB:$AB,"",манзилли!$E:$E,"2")</f>
        <v>13</v>
      </c>
      <c r="AZ59" s="29">
        <f>(+SUMIFS(манзилли!$K:$K,манзилли!$D:$D,'свод (сектор вилоят)'!$B$57,манзилли!$AA:$AA,"&lt;01.01.2022",манзилли!$AB:$AB,"",манзилли!$E:$E,"2"))</f>
        <v>289265</v>
      </c>
      <c r="BA59" s="29">
        <f>(+SUMIFS(манзилли!$M:$M,манзилли!$D:$D,'свод (сектор вилоят)'!$B$57,манзилли!$AA:$AA,"&lt;01.01.2022",манзилли!$AB:$AB,"",манзилли!$E:$E,"2"))</f>
        <v>109253</v>
      </c>
      <c r="BB59" s="29">
        <f>(+SUMIFS(манзилли!$Q:$Q,манзилли!$D:$D,'свод (сектор вилоят)'!$B$57,манзилли!$AA:$AA,"&lt;01.01.2022",манзилли!$AB:$AB,"",манзилли!$E:$E,"2"))</f>
        <v>4500</v>
      </c>
      <c r="BC59" s="29">
        <f>(+SUMIFS(манзилли!$S:$S,манзилли!$D:$D,'свод (сектор вилоят)'!$B$57,манзилли!$AA:$AA,"&lt;01.01.2022",манзилли!$AB:$AB,"",манзилли!$E:$E,"2"))</f>
        <v>17040</v>
      </c>
      <c r="BD59" s="29">
        <f>(+SUMIFS(манзилли!$U:$U,манзилли!$D:$D,'свод (сектор вилоят)'!$B$57,манзилли!$AA:$AA,"&lt;01.01.2022",манзилли!$AB:$AB,"",манзилли!$E:$E,"2"))</f>
        <v>0</v>
      </c>
      <c r="BE59" s="30">
        <f>+SUMIFS(манзилли!$Y:$Y,манзилли!$D:$D,'свод (сектор вилоят)'!$B$57,манзилли!$AA:$AA,"&lt;01.01.2022",манзилли!$AB:$AB,"",манзилли!$E:$E,"2")</f>
        <v>2396</v>
      </c>
      <c r="BF59" s="28">
        <f>+COUNTIFS(манзилли!$D:$D,'свод (сектор вилоят)'!$B$57,манзилли!$AA:$AA,"&lt;01.01.2023",манзилли!$AA:$AA,"&gt;=01.01.2022",манзилли!$E:$E,"2")</f>
        <v>3</v>
      </c>
      <c r="BG59" s="29">
        <f>(+SUMIFS(манзилли!$K:$K,манзилли!$D:$D,'свод (сектор вилоят)'!$B$57,манзилли!$AA:$AA,"&lt;01.01.2023",манзилли!$AA:$AA,"&gt;=01.01.2022",манзилли!$E:$E,"2"))</f>
        <v>65950</v>
      </c>
      <c r="BH59" s="29">
        <f>(+SUMIFS(манзилли!$M:$M,манзилли!$D:$D,'свод (сектор вилоят)'!$B$57,манзилли!$AA:$AA,"&lt;01.01.2023",манзилли!$AA:$AA,"&gt;=01.01.2022",манзилли!$E:$E,"2"))</f>
        <v>19600</v>
      </c>
      <c r="BI59" s="29">
        <f>(+SUMIFS(манзилли!$Q:$Q,манзилли!$D:$D,'свод (сектор вилоят)'!$B$57,манзилли!$AA:$AA,"&lt;01.01.2023",манзилли!$AA:$AA,"&gt;=01.01.2022",манзилли!$E:$E,"2"))</f>
        <v>0</v>
      </c>
      <c r="BJ59" s="29">
        <f>(+SUMIFS(манзилли!$S:$S,манзилли!$D:$D,'свод (сектор вилоят)'!$B$57,манзилли!$AA:$AA,"&lt;01.01.2023",манзилли!$AA:$AA,"&gt;=01.01.2022",манзилли!$E:$E,"2"))</f>
        <v>4500</v>
      </c>
      <c r="BK59" s="29">
        <f>(+SUMIFS(манзилли!$U:$U,манзилли!$D:$D,'свод (сектор вилоят)'!$B$57,манзилли!$AA:$AA,"&lt;01.01.2023",манзилли!$AA:$AA,"&gt;=01.01.2022",манзилли!$E:$E,"2"))</f>
        <v>0</v>
      </c>
      <c r="BL59" s="30">
        <f>+SUMIFS(манзилли!$Y:$Y,манзилли!$D:$D,'свод (сектор вилоят)'!$B$57,манзилли!$AA:$AA,"&lt;01.01.2023",манзилли!$AA:$AA,"&gt;=01.01.2022",манзилли!$E:$E,"2")</f>
        <v>75</v>
      </c>
    </row>
    <row r="60" spans="1:64" s="3" customFormat="1" ht="39.75" customHeight="1">
      <c r="A60" s="51"/>
      <c r="B60" s="27" t="s">
        <v>1773</v>
      </c>
      <c r="C60" s="28">
        <f>+COUNTIFS(манзилли!$D:$D,'свод (сектор вилоят)'!$B$57,манзилли!$E:$E,"3")</f>
        <v>23</v>
      </c>
      <c r="D60" s="29">
        <f>(+SUMIFS(манзилли!$K:$K,манзилли!$D:$D,'свод (сектор вилоят)'!$B$57,манзилли!$E:$E,"3"))</f>
        <v>288323</v>
      </c>
      <c r="E60" s="29">
        <f>(+SUMIFS(манзилли!$M:$M,манзилли!$D:$D,'свод (сектор вилоят)'!$B$57,манзилли!$E:$E,"3"))</f>
        <v>45568</v>
      </c>
      <c r="F60" s="29">
        <f>(+SUMIFS(манзилли!$Q:$Q,манзилли!$D:$D,'свод (сектор вилоят)'!$B$57,манзилли!$E:$E,"3"))</f>
        <v>69200</v>
      </c>
      <c r="G60" s="29">
        <f>(+SUMIFS(манзилли!$S:$S,манзилли!$D:$D,'свод (сектор вилоят)'!$B$57,манзилли!$E:$E,"3"))</f>
        <v>9150</v>
      </c>
      <c r="H60" s="29">
        <f>(+SUMIFS(манзилли!$U:$U,манзилли!$D:$D,'свод (сектор вилоят)'!$B$57,манзилли!$E:$E,"3"))</f>
        <v>7700</v>
      </c>
      <c r="I60" s="30">
        <f>+SUMIFS(манзилли!$Y:$Y,манзилли!$D:$D,'свод (сектор вилоят)'!$B$57,манзилли!$E:$E,"3")</f>
        <v>600</v>
      </c>
      <c r="J60" s="28">
        <f>(+COUNTIFS(манзилли!$L:$L,"&gt;0",манзилли!$D:$D,'свод (сектор вилоят)'!$B$57,манзилли!$E:$E,"3")+COUNTIFS('Қўшимча ишга тушган'!$T:$T,"&gt;0",'Қўшимча ишга тушган'!$D:$D,'свод (сектор вилоят)'!$B$57,'Қўшимча ишга тушган'!$E:$E,"3"))</f>
        <v>9</v>
      </c>
      <c r="K60" s="30">
        <f>(+SUMIFS(манзилли!$L:$L,манзилли!$D:$D,'свод (сектор вилоят)'!$B$57,манзилли!$E:$E,"3")+SUMIFS('Қўшимча ишга тушган'!$T:$T,'Қўшимча ишга тушган'!$D:$D,'свод (сектор вилоят)'!$B$57,'Қўшимча ишга тушган'!$E:$E,"3"))</f>
        <v>24674</v>
      </c>
      <c r="L60" s="31">
        <f>(+SUMIFS(манзилли!$N:$N,манзилли!$D:$D,'свод (сектор вилоят)'!$B$57,манзилли!$E:$E,"3")+SUMIFS('Қўшимча ишга тушган'!$V:$V,'Қўшимча ишга тушган'!$D:$D,'свод (сектор вилоят)'!$B$57,'Қўшимча ишга тушган'!$E:$E,"3"))</f>
        <v>4000</v>
      </c>
      <c r="M60" s="29">
        <f>(+SUMIFS(манзилли!$R:$R,манзилли!$D:$D,'свод (сектор вилоят)'!$B$57,манзилли!$E:$E,"3")+SUMIFS('Қўшимча ишга тушган'!$Z:$Z,'Қўшимча ишга тушган'!$D:$D,'свод (сектор вилоят)'!$B$57,'Қўшимча ишга тушган'!$E:$E,"3"))</f>
        <v>12820</v>
      </c>
      <c r="N60" s="29">
        <f>(+SUMIFS(манзилли!$T:$T,манзилли!$D:$D,'свод (сектор вилоят)'!$B$57,манзилли!$E:$E,"3")+SUMIFS('Қўшимча ишга тушган'!$AB:$AB,'Қўшимча ишга тушган'!$D:$D,'свод (сектор вилоят)'!$B$57,'Қўшимча ишга тушган'!$E:$E,"3"))</f>
        <v>770</v>
      </c>
      <c r="O60" s="30">
        <f>(+SUMIFS(манзилли!$V:$V,манзилли!$D:$D,'свод (сектор вилоят)'!$B$57,манзилли!$E:$E,"3")+SUMIFS('Қўшимча ишга тушган'!$AD:$AD,'Қўшимча ишга тушган'!$D:$D,'свод (сектор вилоят)'!$B$57,'Қўшимча ишга тушган'!$E:$E,"3"))</f>
        <v>0</v>
      </c>
      <c r="P60" s="28">
        <f>+COUNTIFS(манзилли!$D:$D,'свод (сектор вилоят)'!$B$57,манзилли!$AA:$AA,"&gt;31.12.2020",манзилли!$AA:$AA,"&lt;01.01.2022",манзилли!$E:$E,"3")</f>
        <v>20</v>
      </c>
      <c r="Q60" s="29">
        <f>(+SUMIFS(манзилли!$K:$K,манзилли!$D:$D,'свод (сектор вилоят)'!$B$57,манзилли!$AA:$AA,"&gt;31.12.2020",манзилли!$AA:$AA,"&lt;01.01.2022",манзилли!$E:$E,"3"))</f>
        <v>250936</v>
      </c>
      <c r="R60" s="29">
        <f>(+SUMIFS(манзилли!$M:$M,манзилли!$D:$D,'свод (сектор вилоят)'!$B$57,манзилли!$AA:$AA,"&gt;31.12.2020",манзилли!$AA:$AA,"&lt;01.01.2022",манзилли!$E:$E,"3"))</f>
        <v>35468</v>
      </c>
      <c r="S60" s="29">
        <f>(+SUMIFS(манзилли!$Q:$Q,манзилли!$D:$D,'свод (сектор вилоят)'!$B$57,манзилли!$AA:$AA,"&gt;31.12.2020",манзилли!$AA:$AA,"&lt;01.01.2022",манзилли!$E:$E,"3"))</f>
        <v>55200</v>
      </c>
      <c r="T60" s="29">
        <f>(+SUMIFS(манзилли!$S:$S,манзилли!$D:$D,'свод (сектор вилоят)'!$B$57,манзилли!$AA:$AA,"&gt;31.12.2020",манзилли!$AA:$AA,"&lt;01.01.2022",манзилли!$E:$E,"3"))</f>
        <v>7860</v>
      </c>
      <c r="U60" s="29">
        <f>(+SUMIFS(манзилли!$U:$U,манзилли!$D:$D,'свод (сектор вилоят)'!$B$57,манзилли!$AA:$AA,"&gt;31.12.2020",манзилли!$AA:$AA,"&lt;01.01.2022",манзилли!$E:$E,"3"))</f>
        <v>7700</v>
      </c>
      <c r="V60" s="30">
        <f>+SUMIFS(манзилли!$Y:$Y,манзилли!$D:$D,'свод (сектор вилоят)'!$B$57,манзилли!$AA:$AA,"&gt;31.12.2020",манзилли!$AA:$AA,"&lt;01.01.2022",манзилли!$E:$E,"3")</f>
        <v>560</v>
      </c>
      <c r="W60" s="28">
        <f t="shared" si="696"/>
        <v>0</v>
      </c>
      <c r="X60" s="29">
        <f t="shared" si="690"/>
        <v>0</v>
      </c>
      <c r="Y60" s="29">
        <f t="shared" si="691"/>
        <v>0</v>
      </c>
      <c r="Z60" s="29">
        <f t="shared" si="692"/>
        <v>0</v>
      </c>
      <c r="AA60" s="29">
        <f t="shared" si="693"/>
        <v>0</v>
      </c>
      <c r="AB60" s="29">
        <f t="shared" si="694"/>
        <v>0</v>
      </c>
      <c r="AC60" s="30">
        <f t="shared" si="695"/>
        <v>0</v>
      </c>
      <c r="AD60" s="28">
        <f>+COUNTIFS(манзилли!$D:$D,'свод (сектор вилоят)'!$B$57,манзилли!$AB:$AB,"&gt;31.12.2020",манзилли!$AA:$AA,"&gt;31.12.2020",манзилли!$AA:$AA,"&lt;01.01.2022",манзилли!$E:$E,"3")</f>
        <v>0</v>
      </c>
      <c r="AE60" s="29">
        <f>(+SUMIFS(манзилли!$L:$L,манзилли!$D:$D,'свод (сектор вилоят)'!$B$57,манзилли!$AB:$AB,"&gt;31.12.2020",манзилли!$AA:$AA,"&gt;31.12.2020",манзилли!$AA:$AA,"&lt;01.01.2022",манзилли!$E:$E,"3"))</f>
        <v>0</v>
      </c>
      <c r="AF60" s="29">
        <f>(+SUMIFS(манзилли!$N:$N,манзилли!$D:$D,'свод (сектор вилоят)'!$B$57,манзилли!$AB:$AB,"&gt;31.12.2020",манзилли!$AA:$AA,"&gt;31.12.2020",манзилли!$AA:$AA,"&lt;01.01.2022",манзилли!$E:$E,"3"))</f>
        <v>0</v>
      </c>
      <c r="AG60" s="29">
        <f>(+SUMIFS(манзилли!$R:$R,манзилли!$D:$D,'свод (сектор вилоят)'!$B$57,манзилли!$AB:$AB,"&gt;31.12.2020",манзилли!$AA:$AA,"&gt;31.12.2020",манзилли!$AA:$AA,"&lt;01.01.2022",манзилли!$E:$E,"3"))</f>
        <v>0</v>
      </c>
      <c r="AH60" s="29">
        <f>(+SUMIFS(манзилли!$T:$T,манзилли!$D:$D,'свод (сектор вилоят)'!$B$57,манзилли!$AB:$AB,"&gt;31.12.2020",манзилли!$AA:$AA,"&gt;31.12.2020",манзилли!$AA:$AA,"&lt;01.01.2022",манзилли!$E:$E,"3"))</f>
        <v>0</v>
      </c>
      <c r="AI60" s="29">
        <f>(+SUMIFS(манзилли!$V:$V,манзилли!$D:$D,'свод (сектор вилоят)'!$B$57,манзилли!$AB:$AB,"&gt;31.12.2020",манзилли!$AA:$AA,"&gt;31.12.2020",манзилли!$AA:$AA,"&lt;01.01.2022",манзилли!$E:$E,"3"))</f>
        <v>0</v>
      </c>
      <c r="AJ60" s="30">
        <f>+SUMIFS(манзилли!$Z:$Z,манзилли!$D:$D,'свод (сектор вилоят)'!$B$57,манзилли!$AB:$AB,"&gt;31.12.2020",манзилли!$AA:$AA,"&gt;31.12.2020",манзилли!$AA:$AA,"&lt;01.01.2022",манзилли!$E:$E,"3")</f>
        <v>0</v>
      </c>
      <c r="AK60" s="28">
        <f>+COUNTIFS('Қўшимча ишга тушган'!$D:$D,'свод (сектор вилоят)'!B57,'Қўшимча ишга тушган'!$AO:$AO,"&lt;01.10.2023",манзилли!$E:$E,"3")</f>
        <v>0</v>
      </c>
      <c r="AL60" s="29">
        <f>(+SUMIFS('Қўшимча ишга тушган'!$T:$T,'Қўшимча ишга тушган'!$D:$D,'свод (сектор вилоят)'!$B$57,'Қўшимча ишга тушган'!$AO:$AO,"&lt;01.10.2023",манзилли!$E:$E,"3"))</f>
        <v>0</v>
      </c>
      <c r="AM60" s="29">
        <f>(+SUMIFS('Қўшимча ишга тушган'!$V:$V,'Қўшимча ишга тушган'!$D:$D,'свод (сектор вилоят)'!$B$57,'Қўшимча ишга тушган'!$AO:$AO,"&lt;01.10.2023",манзилли!$E:$E,"3"))</f>
        <v>0</v>
      </c>
      <c r="AN60" s="29">
        <f>(+SUMIFS('Қўшимча ишга тушган'!$Z:$Z,'Қўшимча ишга тушган'!$D:$D,'свод (сектор вилоят)'!$B$57,'Қўшимча ишга тушган'!$AO:$AO,"&lt;01.10.2023",манзилли!$E:$E,"3"))</f>
        <v>0</v>
      </c>
      <c r="AO60" s="29">
        <f>(+SUMIFS('Қўшимча ишга тушган'!$AB:$AB,'Қўшимча ишга тушган'!$D:$D,'свод (сектор вилоят)'!$B$57,'Қўшимча ишга тушган'!$AO:$AO,"&lt;01.10.2023",манзилли!$E:$E,"3"))</f>
        <v>0</v>
      </c>
      <c r="AP60" s="29">
        <f>(+SUMIFS('Қўшимча ишга тушган'!$AD:$AD,'Қўшимча ишга тушган'!$D:$D,'свод (сектор вилоят)'!$B$57,'Қўшимча ишга тушган'!$AO:$AO,"&lt;01.10.2023",манзилли!$E:$E,"3"))</f>
        <v>0</v>
      </c>
      <c r="AQ60" s="30">
        <f>+SUMIFS('Қўшимча ишга тушган'!$AM:$AM,'Қўшимча ишга тушган'!$D:$D,'свод (сектор вилоят)'!$B$57,'Қўшимча ишга тушган'!$AO:$AO,"&lt;01.10.2023",манзилли!$E:$E,"3")</f>
        <v>0</v>
      </c>
      <c r="AR60" s="28">
        <f>+COUNTIFS(манзилли!$D:$D,'свод (сектор вилоят)'!$B$57,манзилли!$AA:$AA,"&lt;01.02.2021",манзилли!$AB:$AB,"",манзилли!$E:$E,"3")</f>
        <v>0</v>
      </c>
      <c r="AS60" s="29">
        <f>(+SUMIFS(манзилли!$K:$K,манзилли!$D:$D,'свод (сектор вилоят)'!$B$57,манзилли!$AA:$AA,"&lt;01.02.2021",манзилли!$AB:$AB,"",манзилли!$E:$E,"3"))</f>
        <v>0</v>
      </c>
      <c r="AT60" s="29">
        <f>(+SUMIFS(манзилли!$M:$M,манзилли!$D:$D,'свод (сектор вилоят)'!$B$57,манзилли!$AA:$AA,"&lt;01.02.2021",манзилли!$AB:$AB,"",манзилли!$E:$E,"3"))</f>
        <v>0</v>
      </c>
      <c r="AU60" s="29">
        <f>(+SUMIFS(манзилли!$Q:$Q,манзилли!$D:$D,'свод (сектор вилоят)'!$B$57,манзилли!$AA:$AA,"&lt;01.02.2021",манзилли!$AB:$AB,"",манзилли!$E:$E,"3"))</f>
        <v>0</v>
      </c>
      <c r="AV60" s="29">
        <f>(+SUMIFS(манзилли!$S:$S,манзилли!$D:$D,'свод (сектор вилоят)'!$B$57,манзилли!$AA:$AA,"&lt;01.02.2021",манзилли!$AB:$AB,"",манзилли!$E:$E,"3"))</f>
        <v>0</v>
      </c>
      <c r="AW60" s="29">
        <f>(+SUMIFS(манзилли!$U:$U,манзилли!$D:$D,'свод (сектор вилоят)'!$B$57,манзилли!$AA:$AA,"&lt;01.02.2021",манзилли!$AB:$AB,"",манзилли!$E:$E,"3"))</f>
        <v>0</v>
      </c>
      <c r="AX60" s="30">
        <f>+SUMIFS(манзилли!$Y:$Y,манзилли!$D:$D,'свод (сектор вилоят)'!$B$57,манзилли!$AA:$AA,"&lt;01.02.2021",манзилли!$AB:$AB,"",манзилли!$E:$E,"3")</f>
        <v>0</v>
      </c>
      <c r="AY60" s="28">
        <f>+COUNTIFS(манзилли!$D:$D,'свод (сектор вилоят)'!$B$57,манзилли!$AA:$AA,"&lt;01.01.2022",манзилли!$AB:$AB,"",манзилли!$E:$E,"3")</f>
        <v>20</v>
      </c>
      <c r="AZ60" s="29">
        <f>(+SUMIFS(манзилли!$K:$K,манзилли!$D:$D,'свод (сектор вилоят)'!$B$57,манзилли!$AA:$AA,"&lt;01.01.2022",манзилли!$AB:$AB,"",манзилли!$E:$E,"3"))</f>
        <v>250936</v>
      </c>
      <c r="BA60" s="29">
        <f>(+SUMIFS(манзилли!$M:$M,манзилли!$D:$D,'свод (сектор вилоят)'!$B$57,манзилли!$AA:$AA,"&lt;01.01.2022",манзилли!$AB:$AB,"",манзилли!$E:$E,"3"))</f>
        <v>35468</v>
      </c>
      <c r="BB60" s="29">
        <f>(+SUMIFS(манзилли!$Q:$Q,манзилли!$D:$D,'свод (сектор вилоят)'!$B$57,манзилли!$AA:$AA,"&lt;01.01.2022",манзилли!$AB:$AB,"",манзилли!$E:$E,"3"))</f>
        <v>55200</v>
      </c>
      <c r="BC60" s="29">
        <f>(+SUMIFS(манзилли!$S:$S,манзилли!$D:$D,'свод (сектор вилоят)'!$B$57,манзилли!$AA:$AA,"&lt;01.01.2022",манзилли!$AB:$AB,"",манзилли!$E:$E,"3"))</f>
        <v>7860</v>
      </c>
      <c r="BD60" s="29">
        <f>(+SUMIFS(манзилли!$U:$U,манзилли!$D:$D,'свод (сектор вилоят)'!$B$57,манзилли!$AA:$AA,"&lt;01.01.2022",манзилли!$AB:$AB,"",манзилли!$E:$E,"3"))</f>
        <v>7700</v>
      </c>
      <c r="BE60" s="30">
        <f>+SUMIFS(манзилли!$Y:$Y,манзилли!$D:$D,'свод (сектор вилоят)'!$B$57,манзилли!$AA:$AA,"&lt;01.01.2022",манзилли!$AB:$AB,"",манзилли!$E:$E,"3")</f>
        <v>560</v>
      </c>
      <c r="BF60" s="28">
        <f>+COUNTIFS(манзилли!$D:$D,'свод (сектор вилоят)'!$B$57,манзилли!$AA:$AA,"&lt;01.01.2023",манзилли!$AA:$AA,"&gt;=01.01.2022",манзилли!$E:$E,"3")</f>
        <v>2</v>
      </c>
      <c r="BG60" s="29">
        <f>(+SUMIFS(манзилли!$K:$K,манзилли!$D:$D,'свод (сектор вилоят)'!$B$57,манзилли!$AA:$AA,"&lt;01.01.2023",манзилли!$AA:$AA,"&gt;=01.01.2022",манзилли!$E:$E,"3"))</f>
        <v>27387</v>
      </c>
      <c r="BH60" s="29">
        <f>(+SUMIFS(манзилли!$M:$M,манзилли!$D:$D,'свод (сектор вилоят)'!$B$57,манзилли!$AA:$AA,"&lt;01.01.2023",манзилли!$AA:$AA,"&gt;=01.01.2022",манзилли!$E:$E,"3"))</f>
        <v>6100</v>
      </c>
      <c r="BI60" s="29">
        <f>(+SUMIFS(манзилли!$Q:$Q,манзилли!$D:$D,'свод (сектор вилоят)'!$B$57,манзилли!$AA:$AA,"&lt;01.01.2023",манзилли!$AA:$AA,"&gt;=01.01.2022",манзилли!$E:$E,"3"))</f>
        <v>8000</v>
      </c>
      <c r="BJ60" s="29">
        <f>(+SUMIFS(манзилли!$S:$S,манзилли!$D:$D,'свод (сектор вилоят)'!$B$57,манзилли!$AA:$AA,"&lt;01.01.2023",манзилли!$AA:$AA,"&gt;=01.01.2022",манзилли!$E:$E,"3"))</f>
        <v>1290</v>
      </c>
      <c r="BK60" s="29">
        <f>(+SUMIFS(манзилли!$U:$U,манзилли!$D:$D,'свод (сектор вилоят)'!$B$57,манзилли!$AA:$AA,"&lt;01.01.2023",манзилли!$AA:$AA,"&gt;=01.01.2022",манзилли!$E:$E,"3"))</f>
        <v>0</v>
      </c>
      <c r="BL60" s="30">
        <f>+SUMIFS(манзилли!$Y:$Y,манзилли!$D:$D,'свод (сектор вилоят)'!$B$57,манзилли!$AA:$AA,"&lt;01.01.2023",манзилли!$AA:$AA,"&gt;=01.01.2022",манзилли!$E:$E,"3")</f>
        <v>30</v>
      </c>
    </row>
    <row r="61" spans="1:64" s="3" customFormat="1" ht="39.75" customHeight="1" thickBot="1">
      <c r="A61" s="55"/>
      <c r="B61" s="36" t="s">
        <v>1774</v>
      </c>
      <c r="C61" s="37">
        <f>+COUNTIFS(манзилли!$D:$D,'свод (сектор вилоят)'!$B$57,манзилли!$E:$E,"4")</f>
        <v>7</v>
      </c>
      <c r="D61" s="38">
        <f>(+SUMIFS(манзилли!$K:$K,манзилли!$D:$D,'свод (сектор вилоят)'!$B$57,манзилли!$E:$E,"4"))</f>
        <v>31010</v>
      </c>
      <c r="E61" s="38">
        <f>(+SUMIFS(манзилли!$M:$M,манзилли!$D:$D,'свод (сектор вилоят)'!$B$57,манзилли!$E:$E,"4"))</f>
        <v>8270</v>
      </c>
      <c r="F61" s="38">
        <f>(+SUMIFS(манзилли!$Q:$Q,манзилли!$D:$D,'свод (сектор вилоят)'!$B$57,манзилли!$E:$E,"4"))</f>
        <v>20680</v>
      </c>
      <c r="G61" s="38">
        <f>(+SUMIFS(манзилли!$S:$S,манзилли!$D:$D,'свод (сектор вилоят)'!$B$57,манзилли!$E:$E,"4"))</f>
        <v>200</v>
      </c>
      <c r="H61" s="38">
        <f>(+SUMIFS(манзилли!$U:$U,манзилли!$D:$D,'свод (сектор вилоят)'!$B$57,манзилли!$E:$E,"4"))</f>
        <v>0</v>
      </c>
      <c r="I61" s="39">
        <f>+SUMIFS(манзилли!$Y:$Y,манзилли!$D:$D,'свод (сектор вилоят)'!$B$57,манзилли!$E:$E,"4")</f>
        <v>136</v>
      </c>
      <c r="J61" s="37">
        <f>(+COUNTIFS(манзилли!$L:$L,"&gt;0",манзилли!$D:$D,'свод (сектор вилоят)'!$B$57,манзилли!$E:$E,"4")+COUNTIFS('Қўшимча ишга тушган'!$T:$T,"&gt;0",'Қўшимча ишга тушган'!$D:$D,'свод (сектор вилоят)'!$B$57,'Қўшимча ишга тушган'!$E:$E,"4"))</f>
        <v>6</v>
      </c>
      <c r="K61" s="39">
        <f>(+SUMIFS(манзилли!$L:$L,манзилли!$D:$D,'свод (сектор вилоят)'!$B$57,манзилли!$E:$E,"4")+SUMIFS('Қўшимча ишга тушган'!$T:$T,'Қўшимча ишга тушган'!$D:$D,'свод (сектор вилоят)'!$B$57,'Қўшимча ишга тушган'!$E:$E,"4"))</f>
        <v>14971.599999999999</v>
      </c>
      <c r="L61" s="40">
        <f>(+SUMIFS(манзилли!$N:$N,манзилли!$D:$D,'свод (сектор вилоят)'!$B$57,манзилли!$E:$E,"4")+SUMIFS('Қўшимча ишга тушган'!$V:$V,'Қўшимча ишга тушган'!$D:$D,'свод (сектор вилоят)'!$B$57,'Қўшимча ишга тушган'!$E:$E,"4"))</f>
        <v>400</v>
      </c>
      <c r="M61" s="38">
        <f>(+SUMIFS(манзилли!$R:$R,манзилли!$D:$D,'свод (сектор вилоят)'!$B$57,манзилли!$E:$E,"4")+SUMIFS('Қўшимча ишга тушган'!$Z:$Z,'Қўшимча ишга тушган'!$D:$D,'свод (сектор вилоят)'!$B$57,'Қўшимча ишга тушган'!$E:$E,"4"))</f>
        <v>4800</v>
      </c>
      <c r="N61" s="38">
        <f>(+SUMIFS(манзилли!$T:$T,манзилли!$D:$D,'свод (сектор вилоят)'!$B$57,манзилли!$E:$E,"4")+SUMIFS('Қўшимча ишга тушган'!$AB:$AB,'Қўшимча ишга тушган'!$D:$D,'свод (сектор вилоят)'!$B$57,'Қўшимча ишга тушган'!$E:$E,"4"))</f>
        <v>958</v>
      </c>
      <c r="O61" s="39">
        <f>(+SUMIFS(манзилли!$V:$V,манзилли!$D:$D,'свод (сектор вилоят)'!$B$57,манзилли!$E:$E,"4")+SUMIFS('Қўшимча ишга тушган'!$AD:$AD,'Қўшимча ишга тушган'!$D:$D,'свод (сектор вилоят)'!$B$57,'Қўшимча ишга тушган'!$E:$E,"4"))</f>
        <v>0</v>
      </c>
      <c r="P61" s="37">
        <f>+COUNTIFS(манзилли!$D:$D,'свод (сектор вилоят)'!$B$57,манзилли!$AA:$AA,"&gt;31.12.2020",манзилли!$AA:$AA,"&lt;01.01.2022",манзилли!$E:$E,"4")</f>
        <v>6</v>
      </c>
      <c r="Q61" s="38">
        <f>(+SUMIFS(манзилли!$K:$K,манзилли!$D:$D,'свод (сектор вилоят)'!$B$57,манзилли!$AA:$AA,"&gt;31.12.2020",манзилли!$AA:$AA,"&lt;01.01.2022",манзилли!$E:$E,"4"))</f>
        <v>27810</v>
      </c>
      <c r="R61" s="38">
        <f>(+SUMIFS(манзилли!$M:$M,манзилли!$D:$D,'свод (сектор вилоят)'!$B$57,манзилли!$AA:$AA,"&gt;31.12.2020",манзилли!$AA:$AA,"&lt;01.01.2022",манзилли!$E:$E,"4"))</f>
        <v>8070</v>
      </c>
      <c r="S61" s="38">
        <f>(+SUMIFS(манзилли!$Q:$Q,манзилли!$D:$D,'свод (сектор вилоят)'!$B$57,манзилли!$AA:$AA,"&gt;31.12.2020",манзилли!$AA:$AA,"&lt;01.01.2022",манзилли!$E:$E,"4"))</f>
        <v>17680</v>
      </c>
      <c r="T61" s="38">
        <f>(+SUMIFS(манзилли!$S:$S,манзилли!$D:$D,'свод (сектор вилоят)'!$B$57,манзилли!$AA:$AA,"&gt;31.12.2020",манзилли!$AA:$AA,"&lt;01.01.2022",манзилли!$E:$E,"4"))</f>
        <v>200</v>
      </c>
      <c r="U61" s="38">
        <f>(+SUMIFS(манзилли!$U:$U,манзилли!$D:$D,'свод (сектор вилоят)'!$B$57,манзилли!$AA:$AA,"&gt;31.12.2020",манзилли!$AA:$AA,"&lt;01.01.2022",манзилли!$E:$E,"4"))</f>
        <v>0</v>
      </c>
      <c r="V61" s="39">
        <f>+SUMIFS(манзилли!$Y:$Y,манзилли!$D:$D,'свод (сектор вилоят)'!$B$57,манзилли!$AA:$AA,"&gt;31.12.2020",манзилли!$AA:$AA,"&lt;01.01.2022",манзилли!$E:$E,"4")</f>
        <v>121</v>
      </c>
      <c r="W61" s="37">
        <f t="shared" si="696"/>
        <v>1</v>
      </c>
      <c r="X61" s="38">
        <f t="shared" si="690"/>
        <v>850</v>
      </c>
      <c r="Y61" s="38">
        <f t="shared" si="691"/>
        <v>400</v>
      </c>
      <c r="Z61" s="38">
        <f t="shared" si="692"/>
        <v>450</v>
      </c>
      <c r="AA61" s="38">
        <f t="shared" si="693"/>
        <v>0</v>
      </c>
      <c r="AB61" s="38">
        <f t="shared" si="694"/>
        <v>0</v>
      </c>
      <c r="AC61" s="39">
        <f t="shared" si="695"/>
        <v>8</v>
      </c>
      <c r="AD61" s="37">
        <f>+COUNTIFS(манзилли!$D:$D,'свод (сектор вилоят)'!$B$57,манзилли!$AB:$AB,"&gt;31.12.2020",манзилли!$AA:$AA,"&gt;31.12.2020",манзилли!$AA:$AA,"&lt;01.01.2022",манзилли!$E:$E,"4")</f>
        <v>1</v>
      </c>
      <c r="AE61" s="38">
        <f>(+SUMIFS(манзилли!$L:$L,манзилли!$D:$D,'свод (сектор вилоят)'!$B$57,манзилли!$AB:$AB,"&gt;31.12.2020",манзилли!$AA:$AA,"&gt;31.12.2020",манзилли!$AA:$AA,"&lt;01.01.2022",манзилли!$E:$E,"4"))</f>
        <v>850</v>
      </c>
      <c r="AF61" s="38">
        <f>(+SUMIFS(манзилли!$N:$N,манзилли!$D:$D,'свод (сектор вилоят)'!$B$57,манзилли!$AB:$AB,"&gt;31.12.2020",манзилли!$AA:$AA,"&gt;31.12.2020",манзилли!$AA:$AA,"&lt;01.01.2022",манзилли!$E:$E,"4"))</f>
        <v>400</v>
      </c>
      <c r="AG61" s="38">
        <f>(+SUMIFS(манзилли!$R:$R,манзилли!$D:$D,'свод (сектор вилоят)'!$B$57,манзилли!$AB:$AB,"&gt;31.12.2020",манзилли!$AA:$AA,"&gt;31.12.2020",манзилли!$AA:$AA,"&lt;01.01.2022",манзилли!$E:$E,"4"))</f>
        <v>450</v>
      </c>
      <c r="AH61" s="38">
        <f>(+SUMIFS(манзилли!$T:$T,манзилли!$D:$D,'свод (сектор вилоят)'!$B$57,манзилли!$AB:$AB,"&gt;31.12.2020",манзилли!$AA:$AA,"&gt;31.12.2020",манзилли!$AA:$AA,"&lt;01.01.2022",манзилли!$E:$E,"4"))</f>
        <v>0</v>
      </c>
      <c r="AI61" s="38">
        <f>(+SUMIFS(манзилли!$V:$V,манзилли!$D:$D,'свод (сектор вилоят)'!$B$57,манзилли!$AB:$AB,"&gt;31.12.2020",манзилли!$AA:$AA,"&gt;31.12.2020",манзилли!$AA:$AA,"&lt;01.01.2022",манзилли!$E:$E,"4"))</f>
        <v>0</v>
      </c>
      <c r="AJ61" s="39">
        <f>+SUMIFS(манзилли!$Z:$Z,манзилли!$D:$D,'свод (сектор вилоят)'!$B$57,манзилли!$AB:$AB,"&gt;31.12.2020",манзилли!$AA:$AA,"&gt;31.12.2020",манзилли!$AA:$AA,"&lt;01.01.2022",манзилли!$E:$E,"4")</f>
        <v>8</v>
      </c>
      <c r="AK61" s="37">
        <f>+COUNTIFS('Қўшимча ишга тушган'!$D:$D,'свод (сектор вилоят)'!B57,'Қўшимча ишга тушган'!$AO:$AO,"&lt;01.10.2023",манзилли!$E:$E,"4")</f>
        <v>0</v>
      </c>
      <c r="AL61" s="38">
        <f>(+SUMIFS('Қўшимча ишга тушган'!$T:$T,'Қўшимча ишга тушган'!$D:$D,'свод (сектор вилоят)'!$B$57,'Қўшимча ишга тушган'!$AO:$AO,"&lt;01.10.2023",манзилли!$E:$E,"4"))</f>
        <v>0</v>
      </c>
      <c r="AM61" s="38">
        <f>(+SUMIFS('Қўшимча ишга тушган'!$V:$V,'Қўшимча ишга тушган'!$D:$D,'свод (сектор вилоят)'!$B$57,'Қўшимча ишга тушган'!$AO:$AO,"&lt;01.10.2023",манзилли!$E:$E,"4"))</f>
        <v>0</v>
      </c>
      <c r="AN61" s="38">
        <f>(+SUMIFS('Қўшимча ишга тушган'!$Z:$Z,'Қўшимча ишга тушган'!$D:$D,'свод (сектор вилоят)'!$B$57,'Қўшимча ишга тушган'!$AO:$AO,"&lt;01.10.2023",манзилли!$E:$E,"4"))</f>
        <v>0</v>
      </c>
      <c r="AO61" s="38">
        <f>(+SUMIFS('Қўшимча ишга тушган'!$AB:$AB,'Қўшимча ишга тушган'!$D:$D,'свод (сектор вилоят)'!$B$57,'Қўшимча ишга тушган'!$AO:$AO,"&lt;01.10.2023",манзилли!$E:$E,"4"))</f>
        <v>0</v>
      </c>
      <c r="AP61" s="38">
        <f>(+SUMIFS('Қўшимча ишга тушган'!$AD:$AD,'Қўшимча ишга тушган'!$D:$D,'свод (сектор вилоят)'!$B$57,'Қўшимча ишга тушган'!$AO:$AO,"&lt;01.10.2023",манзилли!$E:$E,"4"))</f>
        <v>0</v>
      </c>
      <c r="AQ61" s="39">
        <f>+SUMIFS('Қўшимча ишга тушган'!$AM:$AM,'Қўшимча ишга тушган'!$D:$D,'свод (сектор вилоят)'!$B$57,'Қўшимча ишга тушган'!$AO:$AO,"&lt;01.10.2023",манзилли!$E:$E,"4")</f>
        <v>0</v>
      </c>
      <c r="AR61" s="37">
        <f>+COUNTIFS(манзилли!$D:$D,'свод (сектор вилоят)'!$B$57,манзилли!$AA:$AA,"&lt;01.02.2021",манзилли!$AB:$AB,"",манзилли!$E:$E,"4")</f>
        <v>0</v>
      </c>
      <c r="AS61" s="38">
        <f>(+SUMIFS(манзилли!$K:$K,манзилли!$D:$D,'свод (сектор вилоят)'!$B$57,манзилли!$AA:$AA,"&lt;01.02.2021",манзилли!$AB:$AB,"",манзилли!$E:$E,"4"))</f>
        <v>0</v>
      </c>
      <c r="AT61" s="38">
        <f>(+SUMIFS(манзилли!$M:$M,манзилли!$D:$D,'свод (сектор вилоят)'!$B$57,манзилли!$AA:$AA,"&lt;01.02.2021",манзилли!$AB:$AB,"",манзилли!$E:$E,"4"))</f>
        <v>0</v>
      </c>
      <c r="AU61" s="38">
        <f>(+SUMIFS(манзилли!$Q:$Q,манзилли!$D:$D,'свод (сектор вилоят)'!$B$57,манзилли!$AA:$AA,"&lt;01.02.2021",манзилли!$AB:$AB,"",манзилли!$E:$E,"4"))</f>
        <v>0</v>
      </c>
      <c r="AV61" s="38">
        <f>(+SUMIFS(манзилли!$S:$S,манзилли!$D:$D,'свод (сектор вилоят)'!$B$57,манзилли!$AA:$AA,"&lt;01.02.2021",манзилли!$AB:$AB,"",манзилли!$E:$E,"4"))</f>
        <v>0</v>
      </c>
      <c r="AW61" s="38">
        <f>(+SUMIFS(манзилли!$U:$U,манзилли!$D:$D,'свод (сектор вилоят)'!$B$57,манзилли!$AA:$AA,"&lt;01.02.2021",манзилли!$AB:$AB,"",манзилли!$E:$E,"4"))</f>
        <v>0</v>
      </c>
      <c r="AX61" s="39">
        <f>+SUMIFS(манзилли!$Y:$Y,манзилли!$D:$D,'свод (сектор вилоят)'!$B$57,манзилли!$AA:$AA,"&lt;01.02.2021",манзилли!$AB:$AB,"",манзилли!$E:$E,"4")</f>
        <v>0</v>
      </c>
      <c r="AY61" s="37">
        <f>+COUNTIFS(манзилли!$D:$D,'свод (сектор вилоят)'!$B$57,манзилли!$AA:$AA,"&lt;01.01.2022",манзилли!$AB:$AB,"",манзилли!$E:$E,"4")</f>
        <v>5</v>
      </c>
      <c r="AZ61" s="38">
        <f>(+SUMIFS(манзилли!$K:$K,манзилли!$D:$D,'свод (сектор вилоят)'!$B$57,манзилли!$AA:$AA,"&lt;01.01.2022",манзилли!$AB:$AB,"",манзилли!$E:$E,"4"))</f>
        <v>26310</v>
      </c>
      <c r="BA61" s="38">
        <f>(+SUMIFS(манзилли!$M:$M,манзилли!$D:$D,'свод (сектор вилоят)'!$B$57,манзилли!$AA:$AA,"&lt;01.01.2022",манзилли!$AB:$AB,"",манзилли!$E:$E,"4"))</f>
        <v>7670</v>
      </c>
      <c r="BB61" s="38">
        <f>(+SUMIFS(манзилли!$Q:$Q,манзилли!$D:$D,'свод (сектор вилоят)'!$B$57,манзилли!$AA:$AA,"&lt;01.01.2022",манзилли!$AB:$AB,"",манзилли!$E:$E,"4"))</f>
        <v>16580</v>
      </c>
      <c r="BC61" s="38">
        <f>(+SUMIFS(манзилли!$S:$S,манзилли!$D:$D,'свод (сектор вилоят)'!$B$57,манзилли!$AA:$AA,"&lt;01.01.2022",манзилли!$AB:$AB,"",манзилли!$E:$E,"4"))</f>
        <v>200</v>
      </c>
      <c r="BD61" s="38">
        <f>(+SUMIFS(манзилли!$U:$U,манзилли!$D:$D,'свод (сектор вилоят)'!$B$57,манзилли!$AA:$AA,"&lt;01.01.2022",манзилли!$AB:$AB,"",манзилли!$E:$E,"4"))</f>
        <v>0</v>
      </c>
      <c r="BE61" s="39">
        <f>+SUMIFS(манзилли!$Y:$Y,манзилли!$D:$D,'свод (сектор вилоят)'!$B$57,манзилли!$AA:$AA,"&lt;01.01.2022",манзилли!$AB:$AB,"",манзилли!$E:$E,"4")</f>
        <v>113</v>
      </c>
      <c r="BF61" s="37">
        <f>+COUNTIFS(манзилли!$D:$D,'свод (сектор вилоят)'!$B$57,манзилли!$AA:$AA,"&lt;01.01.2023",манзилли!$AA:$AA,"&gt;=01.01.2022",манзилли!$E:$E,"4")</f>
        <v>1</v>
      </c>
      <c r="BG61" s="38">
        <f>(+SUMIFS(манзилли!$K:$K,манзилли!$D:$D,'свод (сектор вилоят)'!$B$57,манзилли!$AA:$AA,"&lt;01.01.2023",манзилли!$AA:$AA,"&gt;=01.01.2022",манзилли!$E:$E,"4"))</f>
        <v>3200</v>
      </c>
      <c r="BH61" s="38">
        <f>(+SUMIFS(манзилли!$M:$M,манзилли!$D:$D,'свод (сектор вилоят)'!$B$57,манзилли!$AA:$AA,"&lt;01.01.2023",манзилли!$AA:$AA,"&gt;=01.01.2022",манзилли!$E:$E,"4"))</f>
        <v>200</v>
      </c>
      <c r="BI61" s="38">
        <f>(+SUMIFS(манзилли!$Q:$Q,манзилли!$D:$D,'свод (сектор вилоят)'!$B$57,манзилли!$AA:$AA,"&lt;01.01.2023",манзилли!$AA:$AA,"&gt;=01.01.2022",манзилли!$E:$E,"4"))</f>
        <v>3000</v>
      </c>
      <c r="BJ61" s="38">
        <f>(+SUMIFS(манзилли!$S:$S,манзилли!$D:$D,'свод (сектор вилоят)'!$B$57,манзилли!$AA:$AA,"&lt;01.01.2023",манзилли!$AA:$AA,"&gt;=01.01.2022",манзилли!$E:$E,"4"))</f>
        <v>0</v>
      </c>
      <c r="BK61" s="38">
        <f>(+SUMIFS(манзилли!$U:$U,манзилли!$D:$D,'свод (сектор вилоят)'!$B$57,манзилли!$AA:$AA,"&lt;01.01.2023",манзилли!$AA:$AA,"&gt;=01.01.2022",манзилли!$E:$E,"4"))</f>
        <v>0</v>
      </c>
      <c r="BL61" s="39">
        <f>+SUMIFS(манзилли!$Y:$Y,манзилли!$D:$D,'свод (сектор вилоят)'!$B$57,манзилли!$AA:$AA,"&lt;01.01.2023",манзилли!$AA:$AA,"&gt;=01.01.2022",манзилли!$E:$E,"4")</f>
        <v>15</v>
      </c>
    </row>
    <row r="62" spans="1:64" s="3" customFormat="1" ht="39.75" customHeight="1" thickBot="1">
      <c r="A62" s="53">
        <v>12</v>
      </c>
      <c r="B62" s="54" t="s">
        <v>326</v>
      </c>
      <c r="C62" s="41">
        <f>+SUM(C63:C66)</f>
        <v>46</v>
      </c>
      <c r="D62" s="41">
        <f t="shared" ref="D62" si="697">+SUM(D63:D66)</f>
        <v>855336.23157894739</v>
      </c>
      <c r="E62" s="41">
        <f t="shared" ref="E62" si="698">+SUM(E63:E66)</f>
        <v>313097.13157894736</v>
      </c>
      <c r="F62" s="41">
        <f t="shared" ref="F62" si="699">+SUM(F63:F66)</f>
        <v>115850</v>
      </c>
      <c r="G62" s="41">
        <f t="shared" ref="G62" si="700">+SUM(G63:G66)</f>
        <v>16397</v>
      </c>
      <c r="H62" s="41">
        <f t="shared" ref="H62" si="701">+SUM(H63:H66)</f>
        <v>25000</v>
      </c>
      <c r="I62" s="41">
        <f t="shared" ref="I62" si="702">+SUM(I63:I66)</f>
        <v>1154</v>
      </c>
      <c r="J62" s="41">
        <f t="shared" ref="J62" si="703">+SUM(J63:J66)</f>
        <v>28</v>
      </c>
      <c r="K62" s="41">
        <f t="shared" ref="K62" si="704">+SUM(K63:K66)</f>
        <v>255630.24</v>
      </c>
      <c r="L62" s="41">
        <f t="shared" ref="L62" si="705">+SUM(L63:L66)</f>
        <v>138392</v>
      </c>
      <c r="M62" s="41">
        <f t="shared" ref="M62" si="706">+SUM(M63:M66)</f>
        <v>74386</v>
      </c>
      <c r="N62" s="41">
        <f t="shared" ref="N62" si="707">+SUM(N63:N66)</f>
        <v>4201.2</v>
      </c>
      <c r="O62" s="41">
        <f t="shared" ref="O62" si="708">+SUM(O63:O66)</f>
        <v>0</v>
      </c>
      <c r="P62" s="41">
        <f t="shared" ref="P62" si="709">+SUM(P63:P66)</f>
        <v>34</v>
      </c>
      <c r="Q62" s="41">
        <f t="shared" ref="Q62" si="710">+SUM(Q63:Q66)</f>
        <v>715856.23157894739</v>
      </c>
      <c r="R62" s="41">
        <f t="shared" ref="R62" si="711">+SUM(R63:R66)</f>
        <v>291727.13157894736</v>
      </c>
      <c r="S62" s="41">
        <f t="shared" ref="S62" si="712">+SUM(S63:S66)</f>
        <v>97650</v>
      </c>
      <c r="T62" s="41">
        <f t="shared" ref="T62" si="713">+SUM(T63:T66)</f>
        <v>15197</v>
      </c>
      <c r="U62" s="41">
        <f t="shared" ref="U62" si="714">+SUM(U63:U66)</f>
        <v>16500</v>
      </c>
      <c r="V62" s="41">
        <f t="shared" ref="V62" si="715">+SUM(V63:V66)</f>
        <v>978</v>
      </c>
      <c r="W62" s="41">
        <f t="shared" ref="W62" si="716">+SUM(W63:W66)</f>
        <v>2</v>
      </c>
      <c r="X62" s="41">
        <f t="shared" ref="X62" si="717">+SUM(X63:X66)</f>
        <v>14060</v>
      </c>
      <c r="Y62" s="41">
        <f t="shared" ref="Y62" si="718">+SUM(Y63:Y66)</f>
        <v>6000</v>
      </c>
      <c r="Z62" s="41">
        <f t="shared" ref="Z62" si="719">+SUM(Z63:Z66)</f>
        <v>8060</v>
      </c>
      <c r="AA62" s="41">
        <f t="shared" ref="AA62" si="720">+SUM(AA63:AA66)</f>
        <v>0</v>
      </c>
      <c r="AB62" s="41">
        <f t="shared" ref="AB62" si="721">+SUM(AB63:AB66)</f>
        <v>0</v>
      </c>
      <c r="AC62" s="41">
        <f t="shared" ref="AC62" si="722">+SUM(AC63:AC66)</f>
        <v>40</v>
      </c>
      <c r="AD62" s="41">
        <f t="shared" ref="AD62" si="723">+SUM(AD63:AD66)</f>
        <v>2</v>
      </c>
      <c r="AE62" s="41">
        <f t="shared" ref="AE62" si="724">+SUM(AE63:AE66)</f>
        <v>14060</v>
      </c>
      <c r="AF62" s="41">
        <f t="shared" ref="AF62" si="725">+SUM(AF63:AF66)</f>
        <v>6000</v>
      </c>
      <c r="AG62" s="41">
        <f t="shared" ref="AG62" si="726">+SUM(AG63:AG66)</f>
        <v>8060</v>
      </c>
      <c r="AH62" s="41">
        <f t="shared" ref="AH62" si="727">+SUM(AH63:AH66)</f>
        <v>0</v>
      </c>
      <c r="AI62" s="41">
        <f t="shared" ref="AI62" si="728">+SUM(AI63:AI66)</f>
        <v>0</v>
      </c>
      <c r="AJ62" s="41">
        <f t="shared" ref="AJ62" si="729">+SUM(AJ63:AJ66)</f>
        <v>40</v>
      </c>
      <c r="AK62" s="41">
        <f t="shared" ref="AK62" si="730">+SUM(AK63:AK66)</f>
        <v>0</v>
      </c>
      <c r="AL62" s="41">
        <f t="shared" ref="AL62" si="731">+SUM(AL63:AL66)</f>
        <v>0</v>
      </c>
      <c r="AM62" s="41">
        <f t="shared" ref="AM62" si="732">+SUM(AM63:AM66)</f>
        <v>0</v>
      </c>
      <c r="AN62" s="41">
        <f t="shared" ref="AN62" si="733">+SUM(AN63:AN66)</f>
        <v>0</v>
      </c>
      <c r="AO62" s="41">
        <f t="shared" ref="AO62" si="734">+SUM(AO63:AO66)</f>
        <v>0</v>
      </c>
      <c r="AP62" s="41">
        <f t="shared" ref="AP62" si="735">+SUM(AP63:AP66)</f>
        <v>0</v>
      </c>
      <c r="AQ62" s="41">
        <f t="shared" ref="AQ62" si="736">+SUM(AQ63:AQ66)</f>
        <v>0</v>
      </c>
      <c r="AR62" s="41">
        <f t="shared" ref="AR62" si="737">+SUM(AR63:AR66)</f>
        <v>0</v>
      </c>
      <c r="AS62" s="41">
        <f t="shared" ref="AS62" si="738">+SUM(AS63:AS66)</f>
        <v>0</v>
      </c>
      <c r="AT62" s="41">
        <f t="shared" ref="AT62" si="739">+SUM(AT63:AT66)</f>
        <v>0</v>
      </c>
      <c r="AU62" s="41">
        <f t="shared" ref="AU62" si="740">+SUM(AU63:AU66)</f>
        <v>0</v>
      </c>
      <c r="AV62" s="41">
        <f t="shared" ref="AV62" si="741">+SUM(AV63:AV66)</f>
        <v>0</v>
      </c>
      <c r="AW62" s="41">
        <f t="shared" ref="AW62" si="742">+SUM(AW63:AW66)</f>
        <v>0</v>
      </c>
      <c r="AX62" s="41">
        <f t="shared" ref="AX62" si="743">+SUM(AX63:AX66)</f>
        <v>0</v>
      </c>
      <c r="AY62" s="41">
        <f t="shared" ref="AY62" si="744">+SUM(AY63:AY66)</f>
        <v>27</v>
      </c>
      <c r="AZ62" s="41">
        <f t="shared" ref="AZ62" si="745">+SUM(AZ63:AZ66)</f>
        <v>556984.23157894739</v>
      </c>
      <c r="BA62" s="41">
        <f t="shared" ref="BA62" si="746">+SUM(BA63:BA66)</f>
        <v>161555.13157894736</v>
      </c>
      <c r="BB62" s="41">
        <f t="shared" ref="BB62" si="747">+SUM(BB63:BB66)</f>
        <v>68950</v>
      </c>
      <c r="BC62" s="41">
        <f t="shared" ref="BC62" si="748">+SUM(BC63:BC66)</f>
        <v>15197</v>
      </c>
      <c r="BD62" s="41">
        <f t="shared" ref="BD62" si="749">+SUM(BD63:BD66)</f>
        <v>16500</v>
      </c>
      <c r="BE62" s="41">
        <f t="shared" ref="BE62" si="750">+SUM(BE63:BE66)</f>
        <v>734</v>
      </c>
      <c r="BF62" s="41">
        <f t="shared" ref="BF62" si="751">+SUM(BF63:BF66)</f>
        <v>7</v>
      </c>
      <c r="BG62" s="41">
        <f t="shared" ref="BG62" si="752">+SUM(BG63:BG66)</f>
        <v>134960</v>
      </c>
      <c r="BH62" s="41">
        <f t="shared" ref="BH62" si="753">+SUM(BH63:BH66)</f>
        <v>19900</v>
      </c>
      <c r="BI62" s="41">
        <f t="shared" ref="BI62" si="754">+SUM(BI63:BI66)</f>
        <v>15150</v>
      </c>
      <c r="BJ62" s="41">
        <f t="shared" ref="BJ62" si="755">+SUM(BJ63:BJ66)</f>
        <v>1200</v>
      </c>
      <c r="BK62" s="41">
        <f t="shared" ref="BK62" si="756">+SUM(BK63:BK66)</f>
        <v>8500</v>
      </c>
      <c r="BL62" s="43">
        <f t="shared" ref="BL62" si="757">+SUM(BL63:BL66)</f>
        <v>155</v>
      </c>
    </row>
    <row r="63" spans="1:64" s="3" customFormat="1" ht="39.75" customHeight="1">
      <c r="A63" s="52"/>
      <c r="B63" s="50" t="s">
        <v>1771</v>
      </c>
      <c r="C63" s="46">
        <f>+COUNTIFS(манзилли!$D:$D,'свод (сектор вилоят)'!$B$62,манзилли!$E:$E,"1")</f>
        <v>11</v>
      </c>
      <c r="D63" s="47">
        <f>(+SUMIFS(манзилли!$K:$K,манзилли!$D:$D,'свод (сектор вилоят)'!$B$62,манзилли!$E:$E,"1"))</f>
        <v>196672</v>
      </c>
      <c r="E63" s="47">
        <f>(+SUMIFS(манзилли!$M:$M,манзилли!$D:$D,'свод (сектор вилоят)'!$B$62,манзилли!$E:$E,"1"))</f>
        <v>172422</v>
      </c>
      <c r="F63" s="47">
        <f>(+SUMIFS(манзилли!$Q:$Q,манзилли!$D:$D,'свод (сектор вилоят)'!$B$62,манзилли!$E:$E,"1"))</f>
        <v>24250</v>
      </c>
      <c r="G63" s="47">
        <f>(+SUMIFS(манзилли!$S:$S,манзилли!$D:$D,'свод (сектор вилоят)'!$B$62,манзилли!$E:$E,"1"))</f>
        <v>0</v>
      </c>
      <c r="H63" s="47">
        <f>(+SUMIFS(манзилли!$U:$U,манзилли!$D:$D,'свод (сектор вилоят)'!$B$62,манзилли!$E:$E,"1"))</f>
        <v>0</v>
      </c>
      <c r="I63" s="48">
        <f>+SUMIFS(манзилли!$Y:$Y,манзилли!$D:$D,'свод (сектор вилоят)'!$B$62,манзилли!$E:$E,"1")</f>
        <v>407</v>
      </c>
      <c r="J63" s="46">
        <f>(+COUNTIFS(манзилли!$L:$L,"&gt;0",манзилли!$D:$D,'свод (сектор вилоят)'!$B$62,манзилли!$E:$E,"1")+COUNTIFS('Қўшимча ишга тушган'!$T:$T,"&gt;0",'Қўшимча ишга тушган'!$D:$D,'свод (сектор вилоят)'!$B$62,'Қўшимча ишга тушган'!$E:$E,"1"))</f>
        <v>7</v>
      </c>
      <c r="K63" s="48">
        <f>(+SUMIFS(манзилли!$L:$L,манзилли!$D:$D,'свод (сектор вилоят)'!$B$62,манзилли!$E:$E,"1")+SUMIFS('Қўшимча ишга тушган'!$T:$T,'Қўшимча ишга тушган'!$D:$D,'свод (сектор вилоят)'!$B$62,'Қўшимча ишга тушган'!$E:$E,"1"))</f>
        <v>104152</v>
      </c>
      <c r="L63" s="49">
        <f>(+SUMIFS(манзилли!$N:$N,манзилли!$D:$D,'свод (сектор вилоят)'!$B$62,манзилли!$E:$E,"1")+SUMIFS('Қўшимча ишга тушган'!$V:$V,'Қўшимча ишга тушган'!$D:$D,'свод (сектор вилоят)'!$B$62,'Қўшимча ишга тушган'!$E:$E,"1"))</f>
        <v>85922</v>
      </c>
      <c r="M63" s="47">
        <f>(+SUMIFS(манзилли!$R:$R,манзилли!$D:$D,'свод (сектор вилоят)'!$B$62,манзилли!$E:$E,"1")+SUMIFS('Қўшимча ишга тушган'!$Z:$Z,'Қўшимча ишга тушган'!$D:$D,'свод (сектор вилоят)'!$B$62,'Қўшимча ишга тушган'!$E:$E,"1"))</f>
        <v>18230</v>
      </c>
      <c r="N63" s="47">
        <f>(+SUMIFS(манзилли!$T:$T,манзилли!$D:$D,'свод (сектор вилоят)'!$B$62,манзилли!$E:$E,"1")+SUMIFS('Қўшимча ишга тушган'!$AB:$AB,'Қўшимча ишга тушган'!$D:$D,'свод (сектор вилоят)'!$B$62,'Қўшимча ишга тушган'!$E:$E,"1"))</f>
        <v>0</v>
      </c>
      <c r="O63" s="48">
        <f>(+SUMIFS(манзилли!$V:$V,манзилли!$D:$D,'свод (сектор вилоят)'!$B$62,манзилли!$E:$E,"1")+SUMIFS('Қўшимча ишга тушган'!$AD:$AD,'Қўшимча ишга тушган'!$D:$D,'свод (сектор вилоят)'!$B$62,'Қўшимча ишга тушган'!$E:$E,"1"))</f>
        <v>0</v>
      </c>
      <c r="P63" s="46">
        <f>+COUNTIFS(манзилли!$D:$D,'свод (сектор вилоят)'!$B$62,манзилли!$AA:$AA,"&gt;31.12.2020",манзилли!$AA:$AA,"&lt;01.01.2022",манзилли!$E:$E,"1")</f>
        <v>8</v>
      </c>
      <c r="Q63" s="47">
        <f>(+SUMIFS(манзилли!$K:$K,манзилли!$D:$D,'свод (сектор вилоят)'!$B$62,манзилли!$AA:$AA,"&gt;31.12.2020",манзилли!$AA:$AA,"&lt;01.01.2022",манзилли!$E:$E,"1"))</f>
        <v>182422</v>
      </c>
      <c r="R63" s="47">
        <f>(+SUMIFS(манзилли!$M:$M,манзилли!$D:$D,'свод (сектор вилоят)'!$B$62,манзилли!$AA:$AA,"&gt;31.12.2020",манзилли!$AA:$AA,"&lt;01.01.2022",манзилли!$E:$E,"1"))</f>
        <v>164672</v>
      </c>
      <c r="S63" s="47">
        <f>(+SUMIFS(манзилли!$Q:$Q,манзилли!$D:$D,'свод (сектор вилоят)'!$B$62,манзилли!$AA:$AA,"&gt;31.12.2020",манзилли!$AA:$AA,"&lt;01.01.2022",манзилли!$E:$E,"1"))</f>
        <v>17750</v>
      </c>
      <c r="T63" s="47">
        <f>(+SUMIFS(манзилли!$S:$S,манзилли!$D:$D,'свод (сектор вилоят)'!$B$62,манзилли!$AA:$AA,"&gt;31.12.2020",манзилли!$AA:$AA,"&lt;01.01.2022",манзилли!$E:$E,"1"))</f>
        <v>0</v>
      </c>
      <c r="U63" s="47">
        <f>(+SUMIFS(манзилли!$U:$U,манзилли!$D:$D,'свод (сектор вилоят)'!$B$62,манзилли!$AA:$AA,"&gt;31.12.2020",манзилли!$AA:$AA,"&lt;01.01.2022",манзилли!$E:$E,"1"))</f>
        <v>0</v>
      </c>
      <c r="V63" s="48">
        <f>+SUMIFS(манзилли!$Y:$Y,манзилли!$D:$D,'свод (сектор вилоят)'!$B$62,манзилли!$AA:$AA,"&gt;31.12.2020",манзилли!$AA:$AA,"&lt;01.01.2022",манзилли!$E:$E,"1")</f>
        <v>375</v>
      </c>
      <c r="W63" s="46">
        <f>+AD63+AK63</f>
        <v>1</v>
      </c>
      <c r="X63" s="47">
        <f t="shared" ref="X63:X66" si="758">+AE63+AL63</f>
        <v>2560</v>
      </c>
      <c r="Y63" s="47">
        <f t="shared" ref="Y63:Y66" si="759">+AF63+AM63</f>
        <v>500</v>
      </c>
      <c r="Z63" s="47">
        <f t="shared" ref="Z63:Z66" si="760">+AG63+AN63</f>
        <v>2060</v>
      </c>
      <c r="AA63" s="47">
        <f t="shared" ref="AA63:AA66" si="761">+AH63+AO63</f>
        <v>0</v>
      </c>
      <c r="AB63" s="47">
        <f t="shared" ref="AB63:AB66" si="762">+AI63+AP63</f>
        <v>0</v>
      </c>
      <c r="AC63" s="48">
        <f t="shared" ref="AC63:AC66" si="763">+AJ63+AQ63</f>
        <v>20</v>
      </c>
      <c r="AD63" s="46">
        <f>+COUNTIFS(манзилли!$D:$D,'свод (сектор вилоят)'!$B$62,манзилли!$AB:$AB,"&gt;31.12.2020",манзилли!$AA:$AA,"&gt;31.12.2020",манзилли!$AA:$AA,"&lt;01.01.2022",манзилли!$E:$E,"1")</f>
        <v>1</v>
      </c>
      <c r="AE63" s="47">
        <f>(+SUMIFS(манзилли!$L:$L,манзилли!$D:$D,'свод (сектор вилоят)'!$B$62,манзилли!$AB:$AB,"&gt;31.12.2020",манзилли!$AA:$AA,"&gt;31.12.2020",манзилли!$AA:$AA,"&lt;01.01.2022",манзилли!$E:$E,"1"))</f>
        <v>2560</v>
      </c>
      <c r="AF63" s="47">
        <f>(+SUMIFS(манзилли!$N:$N,манзилли!$D:$D,'свод (сектор вилоят)'!$B$62,манзилли!$AB:$AB,"&gt;31.12.2020",манзилли!$AA:$AA,"&gt;31.12.2020",манзилли!$AA:$AA,"&lt;01.01.2022",манзилли!$E:$E,"1"))</f>
        <v>500</v>
      </c>
      <c r="AG63" s="47">
        <f>(+SUMIFS(манзилли!$R:$R,манзилли!$D:$D,'свод (сектор вилоят)'!$B$62,манзилли!$AB:$AB,"&gt;31.12.2020",манзилли!$AA:$AA,"&gt;31.12.2020",манзилли!$AA:$AA,"&lt;01.01.2022",манзилли!$E:$E,"1"))</f>
        <v>2060</v>
      </c>
      <c r="AH63" s="47">
        <f>(+SUMIFS(манзилли!$T:$T,манзилли!$D:$D,'свод (сектор вилоят)'!$B$62,манзилли!$AB:$AB,"&gt;31.12.2020",манзилли!$AA:$AA,"&gt;31.12.2020",манзилли!$AA:$AA,"&lt;01.01.2022",манзилли!$E:$E,"1"))</f>
        <v>0</v>
      </c>
      <c r="AI63" s="47">
        <f>(+SUMIFS(манзилли!$V:$V,манзилли!$D:$D,'свод (сектор вилоят)'!$B$62,манзилли!$AB:$AB,"&gt;31.12.2020",манзилли!$AA:$AA,"&gt;31.12.2020",манзилли!$AA:$AA,"&lt;01.01.2022",манзилли!$E:$E,"1"))</f>
        <v>0</v>
      </c>
      <c r="AJ63" s="48">
        <f>+SUMIFS(манзилли!$Z:$Z,манзилли!$D:$D,'свод (сектор вилоят)'!$B$62,манзилли!$AB:$AB,"&gt;31.12.2020",манзилли!$AA:$AA,"&gt;31.12.2020",манзилли!$AA:$AA,"&lt;01.01.2022",манзилли!$E:$E,"1")</f>
        <v>20</v>
      </c>
      <c r="AK63" s="46">
        <f>+COUNTIFS('Қўшимча ишга тушган'!$D:$D,'свод (сектор вилоят)'!B62,'Қўшимча ишга тушган'!$AO:$AO,"&lt;01.10.2023",манзилли!$E:$E,"1")</f>
        <v>0</v>
      </c>
      <c r="AL63" s="47">
        <f>(+SUMIFS('Қўшимча ишга тушган'!$T:$T,'Қўшимча ишга тушган'!$D:$D,'свод (сектор вилоят)'!$B$62,'Қўшимча ишга тушган'!$AO:$AO,"&lt;01.10.2023",манзилли!$E:$E,"1"))</f>
        <v>0</v>
      </c>
      <c r="AM63" s="47">
        <f>(+SUMIFS('Қўшимча ишга тушган'!$V:$V,'Қўшимча ишга тушган'!$D:$D,'свод (сектор вилоят)'!$B$62,'Қўшимча ишга тушган'!$AO:$AO,"&lt;01.10.2023",манзилли!$E:$E,"1"))</f>
        <v>0</v>
      </c>
      <c r="AN63" s="47">
        <f>(+SUMIFS('Қўшимча ишга тушган'!$Z:$Z,'Қўшимча ишга тушган'!$D:$D,'свод (сектор вилоят)'!$B$62,'Қўшимча ишга тушган'!$AO:$AO,"&lt;01.10.2023",манзилли!$E:$E,"1"))</f>
        <v>0</v>
      </c>
      <c r="AO63" s="47">
        <f>(+SUMIFS('Қўшимча ишга тушган'!$AB:$AB,'Қўшимча ишга тушган'!$D:$D,'свод (сектор вилоят)'!$B$62,'Қўшимча ишга тушган'!$AO:$AO,"&lt;01.10.2023",манзилли!$E:$E,"1"))</f>
        <v>0</v>
      </c>
      <c r="AP63" s="47">
        <f>(+SUMIFS('Қўшимча ишга тушган'!$AD:$AD,'Қўшимча ишга тушган'!$D:$D,'свод (сектор вилоят)'!$B$62,'Қўшимча ишга тушган'!$AO:$AO,"&lt;01.10.2023",манзилли!$E:$E,"1"))</f>
        <v>0</v>
      </c>
      <c r="AQ63" s="48">
        <f>+SUMIFS('Қўшимча ишга тушган'!$AM:$AM,'Қўшимча ишга тушган'!$D:$D,'свод (сектор вилоят)'!$B$62,'Қўшимча ишга тушган'!$AO:$AO,"&lt;01.10.2023",манзилли!$E:$E,"1")</f>
        <v>0</v>
      </c>
      <c r="AR63" s="46">
        <f>+COUNTIFS(манзилли!$D:$D,'свод (сектор вилоят)'!$B$62,манзилли!$AA:$AA,"&lt;01.02.2021",манзилли!$AB:$AB,"",манзилли!$E:$E,"1")</f>
        <v>0</v>
      </c>
      <c r="AS63" s="47">
        <f>(+SUMIFS(манзилли!$K:$K,манзилли!$D:$D,'свод (сектор вилоят)'!$B$62,манзилли!$AA:$AA,"&lt;01.02.2021",манзилли!$AB:$AB,"",манзилли!$E:$E,"1"))</f>
        <v>0</v>
      </c>
      <c r="AT63" s="47">
        <f>(+SUMIFS(манзилли!$M:$M,манзилли!$D:$D,'свод (сектор вилоят)'!$B$62,манзилли!$AA:$AA,"&lt;01.02.2021",манзилли!$AB:$AB,"",манзилли!$E:$E,"1"))</f>
        <v>0</v>
      </c>
      <c r="AU63" s="47">
        <f>(+SUMIFS(манзилли!$Q:$Q,манзилли!$D:$D,'свод (сектор вилоят)'!$B$62,манзилли!$AA:$AA,"&lt;01.02.2021",манзилли!$AB:$AB,"",манзилли!$E:$E,"1"))</f>
        <v>0</v>
      </c>
      <c r="AV63" s="47">
        <f>(+SUMIFS(манзилли!$S:$S,манзилли!$D:$D,'свод (сектор вилоят)'!$B$62,манзилли!$AA:$AA,"&lt;01.02.2021",манзилли!$AB:$AB,"",манзилли!$E:$E,"1"))</f>
        <v>0</v>
      </c>
      <c r="AW63" s="47">
        <f>(+SUMIFS(манзилли!$U:$U,манзилли!$D:$D,'свод (сектор вилоят)'!$B$62,манзилли!$AA:$AA,"&lt;01.02.2021",манзилли!$AB:$AB,"",манзилли!$E:$E,"1"))</f>
        <v>0</v>
      </c>
      <c r="AX63" s="48">
        <f>+SUMIFS(манзилли!$Y:$Y,манзилли!$D:$D,'свод (сектор вилоят)'!$B$62,манзилли!$AA:$AA,"&lt;01.02.2021",манзилли!$AB:$AB,"",манзилли!$E:$E,"1")</f>
        <v>0</v>
      </c>
      <c r="AY63" s="46">
        <f>+COUNTIFS(манзилли!$D:$D,'свод (сектор вилоят)'!$B$62,манзилли!$AA:$AA,"&lt;01.01.2022",манзилли!$AB:$AB,"",манзилли!$E:$E,"1")</f>
        <v>6</v>
      </c>
      <c r="AZ63" s="47">
        <f>(+SUMIFS(манзилли!$K:$K,манзилли!$D:$D,'свод (сектор вилоят)'!$B$62,манзилли!$AA:$AA,"&lt;01.01.2022",манзилли!$AB:$AB,"",манзилли!$E:$E,"1"))</f>
        <v>95250</v>
      </c>
      <c r="BA63" s="47">
        <f>(+SUMIFS(манзилли!$M:$M,манзилли!$D:$D,'свод (сектор вилоят)'!$B$62,манзилли!$AA:$AA,"&lt;01.01.2022",манзилли!$AB:$AB,"",манзилли!$E:$E,"1"))</f>
        <v>79500</v>
      </c>
      <c r="BB63" s="47">
        <f>(+SUMIFS(манзилли!$Q:$Q,манзилли!$D:$D,'свод (сектор вилоят)'!$B$62,манзилли!$AA:$AA,"&lt;01.01.2022",манзилли!$AB:$AB,"",манзилли!$E:$E,"1"))</f>
        <v>15750</v>
      </c>
      <c r="BC63" s="47">
        <f>(+SUMIFS(манзилли!$S:$S,манзилли!$D:$D,'свод (сектор вилоят)'!$B$62,манзилли!$AA:$AA,"&lt;01.01.2022",манзилли!$AB:$AB,"",манзилли!$E:$E,"1"))</f>
        <v>0</v>
      </c>
      <c r="BD63" s="47">
        <f>(+SUMIFS(манзилли!$U:$U,манзилли!$D:$D,'свод (сектор вилоят)'!$B$62,манзилли!$AA:$AA,"&lt;01.01.2022",манзилли!$AB:$AB,"",манзилли!$E:$E,"1"))</f>
        <v>0</v>
      </c>
      <c r="BE63" s="48">
        <f>+SUMIFS(манзилли!$Y:$Y,манзилли!$D:$D,'свод (сектор вилоят)'!$B$62,манзилли!$AA:$AA,"&lt;01.01.2022",манзилли!$AB:$AB,"",манзилли!$E:$E,"1")</f>
        <v>205</v>
      </c>
      <c r="BF63" s="46">
        <f>+COUNTIFS(манзилли!$D:$D,'свод (сектор вилоят)'!$B$62,манзилли!$AA:$AA,"&lt;01.01.2023",манзилли!$AA:$AA,"&gt;=01.01.2022",манзилли!$E:$E,"1")</f>
        <v>1</v>
      </c>
      <c r="BG63" s="47">
        <f>(+SUMIFS(манзилли!$K:$K,манзилли!$D:$D,'свод (сектор вилоят)'!$B$62,манзилли!$AA:$AA,"&lt;01.01.2023",манзилли!$AA:$AA,"&gt;=01.01.2022",манзилли!$E:$E,"1"))</f>
        <v>12000</v>
      </c>
      <c r="BH63" s="47">
        <f>(+SUMIFS(манзилли!$M:$M,манзилли!$D:$D,'свод (сектор вилоят)'!$B$62,манзилли!$AA:$AA,"&lt;01.01.2023",манзилли!$AA:$AA,"&gt;=01.01.2022",манзилли!$E:$E,"1"))</f>
        <v>7000</v>
      </c>
      <c r="BI63" s="47">
        <f>(+SUMIFS(манзилли!$Q:$Q,манзилли!$D:$D,'свод (сектор вилоят)'!$B$62,манзилли!$AA:$AA,"&lt;01.01.2023",манзилли!$AA:$AA,"&gt;=01.01.2022",манзилли!$E:$E,"1"))</f>
        <v>5000</v>
      </c>
      <c r="BJ63" s="47">
        <f>(+SUMIFS(манзилли!$S:$S,манзилли!$D:$D,'свод (сектор вилоят)'!$B$62,манзилли!$AA:$AA,"&lt;01.01.2023",манзилли!$AA:$AA,"&gt;=01.01.2022",манзилли!$E:$E,"1"))</f>
        <v>0</v>
      </c>
      <c r="BK63" s="47">
        <f>(+SUMIFS(манзилли!$U:$U,манзилли!$D:$D,'свод (сектор вилоят)'!$B$62,манзилли!$AA:$AA,"&lt;01.01.2023",манзилли!$AA:$AA,"&gt;=01.01.2022",манзилли!$E:$E,"1"))</f>
        <v>0</v>
      </c>
      <c r="BL63" s="48">
        <f>+SUMIFS(манзилли!$Y:$Y,манзилли!$D:$D,'свод (сектор вилоят)'!$B$62,манзилли!$AA:$AA,"&lt;01.01.2023",манзилли!$AA:$AA,"&gt;=01.01.2022",манзилли!$E:$E,"1")</f>
        <v>25</v>
      </c>
    </row>
    <row r="64" spans="1:64" s="3" customFormat="1" ht="39.75" customHeight="1">
      <c r="A64" s="51"/>
      <c r="B64" s="27" t="s">
        <v>1772</v>
      </c>
      <c r="C64" s="28">
        <f>+COUNTIFS(манзилли!$D:$D,'свод (сектор вилоят)'!$B$62,манзилли!$E:$E,"2")</f>
        <v>10</v>
      </c>
      <c r="D64" s="29">
        <f>(+SUMIFS(манзилли!$K:$K,манзилли!$D:$D,'свод (сектор вилоят)'!$B$62,манзилли!$E:$E,"2"))</f>
        <v>69060</v>
      </c>
      <c r="E64" s="29">
        <f>(+SUMIFS(манзилли!$M:$M,манзилли!$D:$D,'свод (сектор вилоят)'!$B$62,манзилли!$E:$E,"2"))</f>
        <v>30900</v>
      </c>
      <c r="F64" s="29">
        <f>(+SUMIFS(манзилли!$Q:$Q,манзилли!$D:$D,'свод (сектор вилоят)'!$B$62,манзилли!$E:$E,"2"))</f>
        <v>15500</v>
      </c>
      <c r="G64" s="29">
        <f>(+SUMIFS(манзилли!$S:$S,манзилли!$D:$D,'свод (сектор вилоят)'!$B$62,манзилли!$E:$E,"2"))</f>
        <v>2200</v>
      </c>
      <c r="H64" s="29">
        <f>(+SUMIFS(манзилли!$U:$U,манзилли!$D:$D,'свод (сектор вилоят)'!$B$62,манзилли!$E:$E,"2"))</f>
        <v>0</v>
      </c>
      <c r="I64" s="30">
        <f>+SUMIFS(манзилли!$Y:$Y,манзилли!$D:$D,'свод (сектор вилоят)'!$B$62,манзилли!$E:$E,"2")</f>
        <v>118</v>
      </c>
      <c r="J64" s="28">
        <f>(+COUNTIFS(манзилли!$L:$L,"&gt;0",манзилли!$D:$D,'свод (сектор вилоят)'!$B$62,манзилли!$E:$E,"2")+COUNTIFS('Қўшимча ишга тушган'!$T:$T,"&gt;0",'Қўшимча ишга тушган'!$D:$D,'свод (сектор вилоят)'!$B$62,'Қўшимча ишга тушган'!$E:$E,"2"))</f>
        <v>7</v>
      </c>
      <c r="K64" s="30">
        <f>(+SUMIFS(манзилли!$L:$L,манзилли!$D:$D,'свод (сектор вилоят)'!$B$62,манзилли!$E:$E,"2")+SUMIFS('Қўшимча ишга тушган'!$T:$T,'Қўшимча ишга тушган'!$D:$D,'свод (сектор вилоят)'!$B$62,'Қўшимча ишга тушган'!$E:$E,"2"))</f>
        <v>19068.239999999998</v>
      </c>
      <c r="L64" s="31">
        <f>(+SUMIFS(манзилли!$N:$N,манзилли!$D:$D,'свод (сектор вилоят)'!$B$62,манзилли!$E:$E,"2")+SUMIFS('Қўшимча ишга тушган'!$V:$V,'Қўшимча ишга тушган'!$D:$D,'свод (сектор вилоят)'!$B$62,'Қўшимча ишга тушган'!$E:$E,"2"))</f>
        <v>600</v>
      </c>
      <c r="M64" s="29">
        <f>(+SUMIFS(манзилли!$R:$R,манзилли!$D:$D,'свод (сектор вилоят)'!$B$62,манзилли!$E:$E,"2")+SUMIFS('Қўшимча ишга тушган'!$Z:$Z,'Қўшимча ишга тушган'!$D:$D,'свод (сектор вилоят)'!$B$62,'Қўшимча ишга тушган'!$E:$E,"2"))</f>
        <v>10806</v>
      </c>
      <c r="N64" s="29">
        <f>(+SUMIFS(манзилли!$T:$T,манзилли!$D:$D,'свод (сектор вилоят)'!$B$62,манзилли!$E:$E,"2")+SUMIFS('Қўшимча ишга тушган'!$AB:$AB,'Қўшимча ишга тушган'!$D:$D,'свод (сектор вилоят)'!$B$62,'Қўшимча ишга тушган'!$E:$E,"2"))</f>
        <v>751.2</v>
      </c>
      <c r="O64" s="30">
        <f>(+SUMIFS(манзилли!$V:$V,манзилли!$D:$D,'свод (сектор вилоят)'!$B$62,манзилли!$E:$E,"2")+SUMIFS('Қўшимча ишга тушган'!$AD:$AD,'Қўшимча ишга тушган'!$D:$D,'свод (сектор вилоят)'!$B$62,'Қўшимча ишга тушган'!$E:$E,"2"))</f>
        <v>0</v>
      </c>
      <c r="P64" s="28">
        <f>+COUNTIFS(манзилли!$D:$D,'свод (сектор вилоят)'!$B$62,манзилли!$AA:$AA,"&gt;31.12.2020",манзилли!$AA:$AA,"&lt;01.01.2022",манзилли!$E:$E,"2")</f>
        <v>8</v>
      </c>
      <c r="Q64" s="29">
        <f>(+SUMIFS(манзилли!$K:$K,манзилли!$D:$D,'свод (сектор вилоят)'!$B$62,манзилли!$AA:$AA,"&gt;31.12.2020",манзилли!$AA:$AA,"&lt;01.01.2022",манзилли!$E:$E,"2"))</f>
        <v>52200</v>
      </c>
      <c r="R64" s="29">
        <f>(+SUMIFS(манзилли!$M:$M,манзилли!$D:$D,'свод (сектор вилоят)'!$B$62,манзилли!$AA:$AA,"&gt;31.12.2020",манзилли!$AA:$AA,"&lt;01.01.2022",манзилли!$E:$E,"2"))</f>
        <v>27400</v>
      </c>
      <c r="S64" s="29">
        <f>(+SUMIFS(манзилли!$Q:$Q,манзилли!$D:$D,'свод (сектор вилоят)'!$B$62,манзилли!$AA:$AA,"&gt;31.12.2020",манзилли!$AA:$AA,"&lt;01.01.2022",манзилли!$E:$E,"2"))</f>
        <v>14500</v>
      </c>
      <c r="T64" s="29">
        <f>(+SUMIFS(манзилли!$S:$S,манзилли!$D:$D,'свод (сектор вилоят)'!$B$62,манзилли!$AA:$AA,"&gt;31.12.2020",манзилли!$AA:$AA,"&lt;01.01.2022",манзилли!$E:$E,"2"))</f>
        <v>1000</v>
      </c>
      <c r="U64" s="29">
        <f>(+SUMIFS(манзилли!$U:$U,манзилли!$D:$D,'свод (сектор вилоят)'!$B$62,манзилли!$AA:$AA,"&gt;31.12.2020",манзилли!$AA:$AA,"&lt;01.01.2022",манзилли!$E:$E,"2"))</f>
        <v>0</v>
      </c>
      <c r="V64" s="30">
        <f>+SUMIFS(манзилли!$Y:$Y,манзилли!$D:$D,'свод (сектор вилоят)'!$B$62,манзилли!$AA:$AA,"&gt;31.12.2020",манзилли!$AA:$AA,"&lt;01.01.2022",манзилли!$E:$E,"2")</f>
        <v>83</v>
      </c>
      <c r="W64" s="28">
        <f t="shared" ref="W64:W66" si="764">+AD64+AK64</f>
        <v>0</v>
      </c>
      <c r="X64" s="29">
        <f t="shared" si="758"/>
        <v>0</v>
      </c>
      <c r="Y64" s="29">
        <f t="shared" si="759"/>
        <v>0</v>
      </c>
      <c r="Z64" s="29">
        <f t="shared" si="760"/>
        <v>0</v>
      </c>
      <c r="AA64" s="29">
        <f t="shared" si="761"/>
        <v>0</v>
      </c>
      <c r="AB64" s="29">
        <f t="shared" si="762"/>
        <v>0</v>
      </c>
      <c r="AC64" s="30">
        <f t="shared" si="763"/>
        <v>0</v>
      </c>
      <c r="AD64" s="28">
        <f>+COUNTIFS(манзилли!$D:$D,'свод (сектор вилоят)'!$B$62,манзилли!$AB:$AB,"&gt;31.12.2020",манзилли!$AA:$AA,"&gt;31.12.2020",манзилли!$AA:$AA,"&lt;01.01.2022",манзилли!$E:$E,"2")</f>
        <v>0</v>
      </c>
      <c r="AE64" s="29">
        <f>(+SUMIFS(манзилли!$L:$L,манзилли!$D:$D,'свод (сектор вилоят)'!$B$62,манзилли!$AB:$AB,"&gt;31.12.2020",манзилли!$AA:$AA,"&gt;31.12.2020",манзилли!$AA:$AA,"&lt;01.01.2022",манзилли!$E:$E,"2"))</f>
        <v>0</v>
      </c>
      <c r="AF64" s="29">
        <f>(+SUMIFS(манзилли!$N:$N,манзилли!$D:$D,'свод (сектор вилоят)'!$B$62,манзилли!$AB:$AB,"&gt;31.12.2020",манзилли!$AA:$AA,"&gt;31.12.2020",манзилли!$AA:$AA,"&lt;01.01.2022",манзилли!$E:$E,"2"))</f>
        <v>0</v>
      </c>
      <c r="AG64" s="29">
        <f>(+SUMIFS(манзилли!$R:$R,манзилли!$D:$D,'свод (сектор вилоят)'!$B$62,манзилли!$AB:$AB,"&gt;31.12.2020",манзилли!$AA:$AA,"&gt;31.12.2020",манзилли!$AA:$AA,"&lt;01.01.2022",манзилли!$E:$E,"2"))</f>
        <v>0</v>
      </c>
      <c r="AH64" s="29">
        <f>(+SUMIFS(манзилли!$T:$T,манзилли!$D:$D,'свод (сектор вилоят)'!$B$62,манзилли!$AB:$AB,"&gt;31.12.2020",манзилли!$AA:$AA,"&gt;31.12.2020",манзилли!$AA:$AA,"&lt;01.01.2022",манзилли!$E:$E,"2"))</f>
        <v>0</v>
      </c>
      <c r="AI64" s="29">
        <f>(+SUMIFS(манзилли!$V:$V,манзилли!$D:$D,'свод (сектор вилоят)'!$B$62,манзилли!$AB:$AB,"&gt;31.12.2020",манзилли!$AA:$AA,"&gt;31.12.2020",манзилли!$AA:$AA,"&lt;01.01.2022",манзилли!$E:$E,"2"))</f>
        <v>0</v>
      </c>
      <c r="AJ64" s="30">
        <f>+SUMIFS(манзилли!$Z:$Z,манзилли!$D:$D,'свод (сектор вилоят)'!$B$62,манзилли!$AB:$AB,"&gt;31.12.2020",манзилли!$AA:$AA,"&gt;31.12.2020",манзилли!$AA:$AA,"&lt;01.01.2022",манзилли!$E:$E,"2")</f>
        <v>0</v>
      </c>
      <c r="AK64" s="28">
        <f>+COUNTIFS('Қўшимча ишга тушган'!$D:$D,'свод (сектор вилоят)'!B62,'Қўшимча ишга тушган'!$AO:$AO,"&lt;01.10.2023",манзилли!$E:$E,"2")</f>
        <v>0</v>
      </c>
      <c r="AL64" s="29">
        <f>(+SUMIFS('Қўшимча ишга тушган'!$T:$T,'Қўшимча ишга тушган'!$D:$D,'свод (сектор вилоят)'!$B$62,'Қўшимча ишга тушган'!$AO:$AO,"&lt;01.10.2023",манзилли!$E:$E,"2"))</f>
        <v>0</v>
      </c>
      <c r="AM64" s="29">
        <f>(+SUMIFS('Қўшимча ишга тушган'!$V:$V,'Қўшимча ишга тушган'!$D:$D,'свод (сектор вилоят)'!$B$62,'Қўшимча ишга тушган'!$AO:$AO,"&lt;01.10.2023",манзилли!$E:$E,"2"))</f>
        <v>0</v>
      </c>
      <c r="AN64" s="29">
        <f>(+SUMIFS('Қўшимча ишга тушган'!$Z:$Z,'Қўшимча ишга тушган'!$D:$D,'свод (сектор вилоят)'!$B$62,'Қўшимча ишга тушган'!$AO:$AO,"&lt;01.10.2023",манзилли!$E:$E,"2"))</f>
        <v>0</v>
      </c>
      <c r="AO64" s="29">
        <f>(+SUMIFS('Қўшимча ишга тушган'!$AB:$AB,'Қўшимча ишга тушган'!$D:$D,'свод (сектор вилоят)'!$B$62,'Қўшимча ишга тушган'!$AO:$AO,"&lt;01.10.2023",манзилли!$E:$E,"2"))</f>
        <v>0</v>
      </c>
      <c r="AP64" s="29">
        <f>(+SUMIFS('Қўшимча ишга тушган'!$AD:$AD,'Қўшимча ишга тушган'!$D:$D,'свод (сектор вилоят)'!$B$62,'Қўшимча ишга тушган'!$AO:$AO,"&lt;01.10.2023",манзилли!$E:$E,"2"))</f>
        <v>0</v>
      </c>
      <c r="AQ64" s="30">
        <f>+SUMIFS('Қўшимча ишга тушган'!$AM:$AM,'Қўшимча ишга тушган'!$D:$D,'свод (сектор вилоят)'!$B$62,'Қўшимча ишга тушган'!$AO:$AO,"&lt;01.10.2023",манзилли!$E:$E,"2")</f>
        <v>0</v>
      </c>
      <c r="AR64" s="28">
        <f>+COUNTIFS(манзилли!$D:$D,'свод (сектор вилоят)'!$B$62,манзилли!$AA:$AA,"&lt;01.02.2021",манзилли!$AB:$AB,"",манзилли!$E:$E,"2")</f>
        <v>0</v>
      </c>
      <c r="AS64" s="29">
        <f>(+SUMIFS(манзилли!$K:$K,манзилли!$D:$D,'свод (сектор вилоят)'!$B$62,манзилли!$AA:$AA,"&lt;01.02.2021",манзилли!$AB:$AB,"",манзилли!$E:$E,"2"))</f>
        <v>0</v>
      </c>
      <c r="AT64" s="29">
        <f>(+SUMIFS(манзилли!$M:$M,манзилли!$D:$D,'свод (сектор вилоят)'!$B$62,манзилли!$AA:$AA,"&lt;01.02.2021",манзилли!$AB:$AB,"",манзилли!$E:$E,"2"))</f>
        <v>0</v>
      </c>
      <c r="AU64" s="29">
        <f>(+SUMIFS(манзилли!$Q:$Q,манзилли!$D:$D,'свод (сектор вилоят)'!$B$62,манзилли!$AA:$AA,"&lt;01.02.2021",манзилли!$AB:$AB,"",манзилли!$E:$E,"2"))</f>
        <v>0</v>
      </c>
      <c r="AV64" s="29">
        <f>(+SUMIFS(манзилли!$S:$S,манзилли!$D:$D,'свод (сектор вилоят)'!$B$62,манзилли!$AA:$AA,"&lt;01.02.2021",манзилли!$AB:$AB,"",манзилли!$E:$E,"2"))</f>
        <v>0</v>
      </c>
      <c r="AW64" s="29">
        <f>(+SUMIFS(манзилли!$U:$U,манзилли!$D:$D,'свод (сектор вилоят)'!$B$62,манзилли!$AA:$AA,"&lt;01.02.2021",манзилли!$AB:$AB,"",манзилли!$E:$E,"2"))</f>
        <v>0</v>
      </c>
      <c r="AX64" s="30">
        <f>+SUMIFS(манзилли!$Y:$Y,манзилли!$D:$D,'свод (сектор вилоят)'!$B$62,манзилли!$AA:$AA,"&lt;01.02.2021",манзилли!$AB:$AB,"",манзилли!$E:$E,"2")</f>
        <v>0</v>
      </c>
      <c r="AY64" s="28">
        <f>+COUNTIFS(манзилли!$D:$D,'свод (сектор вилоят)'!$B$62,манзилли!$AA:$AA,"&lt;01.01.2022",манзилли!$AB:$AB,"",манзилли!$E:$E,"2")</f>
        <v>7</v>
      </c>
      <c r="AZ64" s="29">
        <f>(+SUMIFS(манзилли!$K:$K,манзилли!$D:$D,'свод (сектор вилоят)'!$B$62,манзилли!$AA:$AA,"&lt;01.01.2022",манзилли!$AB:$AB,"",манзилли!$E:$E,"2"))</f>
        <v>51700</v>
      </c>
      <c r="BA64" s="29">
        <f>(+SUMIFS(манзилли!$M:$M,манзилли!$D:$D,'свод (сектор вилоят)'!$B$62,манзилли!$AA:$AA,"&lt;01.01.2022",манзилли!$AB:$AB,"",манзилли!$E:$E,"2"))</f>
        <v>27300</v>
      </c>
      <c r="BB64" s="29">
        <f>(+SUMIFS(манзилли!$Q:$Q,манзилли!$D:$D,'свод (сектор вилоят)'!$B$62,манзилли!$AA:$AA,"&lt;01.01.2022",манзилли!$AB:$AB,"",манзилли!$E:$E,"2"))</f>
        <v>14100</v>
      </c>
      <c r="BC64" s="29">
        <f>(+SUMIFS(манзилли!$S:$S,манзилли!$D:$D,'свод (сектор вилоят)'!$B$62,манзилли!$AA:$AA,"&lt;01.01.2022",манзилли!$AB:$AB,"",манзилли!$E:$E,"2"))</f>
        <v>1000</v>
      </c>
      <c r="BD64" s="29">
        <f>(+SUMIFS(манзилли!$U:$U,манзилли!$D:$D,'свод (сектор вилоят)'!$B$62,манзилли!$AA:$AA,"&lt;01.01.2022",манзилли!$AB:$AB,"",манзилли!$E:$E,"2"))</f>
        <v>0</v>
      </c>
      <c r="BE64" s="30">
        <f>+SUMIFS(манзилли!$Y:$Y,манзилли!$D:$D,'свод (сектор вилоят)'!$B$62,манзилли!$AA:$AA,"&lt;01.01.2022",манзилли!$AB:$AB,"",манзилли!$E:$E,"2")</f>
        <v>79</v>
      </c>
      <c r="BF64" s="28">
        <f>+COUNTIFS(манзилли!$D:$D,'свод (сектор вилоят)'!$B$62,манзилли!$AA:$AA,"&lt;01.01.2023",манзилли!$AA:$AA,"&gt;=01.01.2022",манзилли!$E:$E,"2")</f>
        <v>1</v>
      </c>
      <c r="BG64" s="29">
        <f>(+SUMIFS(манзилли!$K:$K,манзилли!$D:$D,'свод (сектор вилоят)'!$B$62,манзилли!$AA:$AA,"&lt;01.01.2023",манзилли!$AA:$AA,"&gt;=01.01.2022",манзилли!$E:$E,"2"))</f>
        <v>15360</v>
      </c>
      <c r="BH64" s="29">
        <f>(+SUMIFS(манзилли!$M:$M,манзилли!$D:$D,'свод (сектор вилоят)'!$B$62,манзилли!$AA:$AA,"&lt;01.01.2023",манзилли!$AA:$AA,"&gt;=01.01.2022",манзилли!$E:$E,"2"))</f>
        <v>3000</v>
      </c>
      <c r="BI64" s="29">
        <f>(+SUMIFS(манзилли!$Q:$Q,манзилли!$D:$D,'свод (сектор вилоят)'!$B$62,манзилли!$AA:$AA,"&lt;01.01.2023",манзилли!$AA:$AA,"&gt;=01.01.2022",манзилли!$E:$E,"2"))</f>
        <v>0</v>
      </c>
      <c r="BJ64" s="29">
        <f>(+SUMIFS(манзилли!$S:$S,манзилли!$D:$D,'свод (сектор вилоят)'!$B$62,манзилли!$AA:$AA,"&lt;01.01.2023",манзилли!$AA:$AA,"&gt;=01.01.2022",манзилли!$E:$E,"2"))</f>
        <v>1200</v>
      </c>
      <c r="BK64" s="29">
        <f>(+SUMIFS(манзилли!$U:$U,манзилли!$D:$D,'свод (сектор вилоят)'!$B$62,манзилли!$AA:$AA,"&lt;01.01.2023",манзилли!$AA:$AA,"&gt;=01.01.2022",манзилли!$E:$E,"2"))</f>
        <v>0</v>
      </c>
      <c r="BL64" s="30">
        <f>+SUMIFS(манзилли!$Y:$Y,манзилли!$D:$D,'свод (сектор вилоят)'!$B$62,манзилли!$AA:$AA,"&lt;01.01.2023",манзилли!$AA:$AA,"&gt;=01.01.2022",манзилли!$E:$E,"2")</f>
        <v>30</v>
      </c>
    </row>
    <row r="65" spans="1:64" s="3" customFormat="1" ht="39.75" customHeight="1">
      <c r="A65" s="51"/>
      <c r="B65" s="27" t="s">
        <v>1773</v>
      </c>
      <c r="C65" s="28">
        <f>+COUNTIFS(манзилли!$D:$D,'свод (сектор вилоят)'!$B$62,манзилли!$E:$E,"3")</f>
        <v>16</v>
      </c>
      <c r="D65" s="29">
        <f>(+SUMIFS(манзилли!$K:$K,манзилли!$D:$D,'свод (сектор вилоят)'!$B$62,манзилли!$E:$E,"3"))</f>
        <v>400184.23157894739</v>
      </c>
      <c r="E65" s="29">
        <f>(+SUMIFS(манзилли!$M:$M,манзилли!$D:$D,'свод (сектор вилоят)'!$B$62,манзилли!$E:$E,"3"))</f>
        <v>56655.131578947367</v>
      </c>
      <c r="F65" s="29">
        <f>(+SUMIFS(манзилли!$Q:$Q,манзилли!$D:$D,'свод (сектор вилоят)'!$B$62,манзилли!$E:$E,"3"))</f>
        <v>42800</v>
      </c>
      <c r="G65" s="29">
        <f>(+SUMIFS(манзилли!$S:$S,манзилли!$D:$D,'свод (сектор вилоят)'!$B$62,манзилли!$E:$E,"3"))</f>
        <v>14197</v>
      </c>
      <c r="H65" s="29">
        <f>(+SUMIFS(манзилли!$U:$U,манзилли!$D:$D,'свод (сектор вилоят)'!$B$62,манзилли!$E:$E,"3"))</f>
        <v>15000</v>
      </c>
      <c r="I65" s="30">
        <f>+SUMIFS(манзилли!$Y:$Y,манзилли!$D:$D,'свод (сектор вилоят)'!$B$62,манзилли!$E:$E,"3")</f>
        <v>452</v>
      </c>
      <c r="J65" s="28">
        <f>(+COUNTIFS(манзилли!$L:$L,"&gt;0",манзилли!$D:$D,'свод (сектор вилоят)'!$B$62,манзилли!$E:$E,"3")+COUNTIFS('Қўшимча ишга тушган'!$T:$T,"&gt;0",'Қўшимча ишга тушган'!$D:$D,'свод (сектор вилоят)'!$B$62,'Қўшимча ишга тушган'!$E:$E,"3"))</f>
        <v>8</v>
      </c>
      <c r="K65" s="30">
        <f>(+SUMIFS(манзилли!$L:$L,манзилли!$D:$D,'свод (сектор вилоят)'!$B$62,манзилли!$E:$E,"3")+SUMIFS('Қўшимча ишга тушган'!$T:$T,'Қўшимча ишга тушган'!$D:$D,'свод (сектор вилоят)'!$B$62,'Қўшимча ишга тушган'!$E:$E,"3"))</f>
        <v>44490</v>
      </c>
      <c r="L65" s="31">
        <f>(+SUMIFS(манзилли!$N:$N,манзилли!$D:$D,'свод (сектор вилоят)'!$B$62,манзилли!$E:$E,"3")+SUMIFS('Қўшимча ишга тушган'!$V:$V,'Қўшимча ишга тушган'!$D:$D,'свод (сектор вилоят)'!$B$62,'Қўшимча ишга тушган'!$E:$E,"3"))</f>
        <v>3150</v>
      </c>
      <c r="M65" s="29">
        <f>(+SUMIFS(манзилли!$R:$R,манзилли!$D:$D,'свод (сектор вилоят)'!$B$62,манзилли!$E:$E,"3")+SUMIFS('Қўшимча ишга тушган'!$Z:$Z,'Қўшимча ишга тушган'!$D:$D,'свод (сектор вилоят)'!$B$62,'Қўшимча ишга тушган'!$E:$E,"3"))</f>
        <v>6150</v>
      </c>
      <c r="N65" s="29">
        <f>(+SUMIFS(манзилли!$T:$T,манзилли!$D:$D,'свод (сектор вилоят)'!$B$62,манзилли!$E:$E,"3")+SUMIFS('Қўшимча ишга тушган'!$AB:$AB,'Қўшимча ишга тушган'!$D:$D,'свод (сектор вилоят)'!$B$62,'Қўшимча ишга тушган'!$E:$E,"3"))</f>
        <v>3450</v>
      </c>
      <c r="O65" s="30">
        <f>(+SUMIFS(манзилли!$V:$V,манзилли!$D:$D,'свод (сектор вилоят)'!$B$62,манзилли!$E:$E,"3")+SUMIFS('Қўшимча ишга тушган'!$AD:$AD,'Қўшимча ишга тушган'!$D:$D,'свод (сектор вилоят)'!$B$62,'Қўшимча ишга тушган'!$E:$E,"3"))</f>
        <v>0</v>
      </c>
      <c r="P65" s="28">
        <f>+COUNTIFS(манзилли!$D:$D,'свод (сектор вилоят)'!$B$62,манзилли!$AA:$AA,"&gt;31.12.2020",манзилли!$AA:$AA,"&lt;01.01.2022",манзилли!$E:$E,"3")</f>
        <v>13</v>
      </c>
      <c r="Q65" s="29">
        <f>(+SUMIFS(манзилли!$K:$K,манзилли!$D:$D,'свод (сектор вилоят)'!$B$62,манзилли!$AA:$AA,"&gt;31.12.2020",манзилли!$AA:$AA,"&lt;01.01.2022",манзилли!$E:$E,"3"))</f>
        <v>389884.23157894739</v>
      </c>
      <c r="R65" s="29">
        <f>(+SUMIFS(манзилли!$M:$M,манзилли!$D:$D,'свод (сектор вилоят)'!$B$62,манзилли!$AA:$AA,"&gt;31.12.2020",манзилли!$AA:$AA,"&lt;01.01.2022",манзилли!$E:$E,"3"))</f>
        <v>52555.131578947367</v>
      </c>
      <c r="S65" s="29">
        <f>(+SUMIFS(манзилли!$Q:$Q,манзилли!$D:$D,'свод (сектор вилоят)'!$B$62,манзилли!$AA:$AA,"&gt;31.12.2020",манзилли!$AA:$AA,"&lt;01.01.2022",манзилли!$E:$E,"3"))</f>
        <v>36600</v>
      </c>
      <c r="T65" s="29">
        <f>(+SUMIFS(манзилли!$S:$S,манзилли!$D:$D,'свод (сектор вилоят)'!$B$62,манзилли!$AA:$AA,"&gt;31.12.2020",манзилли!$AA:$AA,"&lt;01.01.2022",манзилли!$E:$E,"3"))</f>
        <v>14197</v>
      </c>
      <c r="U65" s="29">
        <f>(+SUMIFS(манзилли!$U:$U,манзилли!$D:$D,'свод (сектор вилоят)'!$B$62,манзилли!$AA:$AA,"&gt;31.12.2020",манзилли!$AA:$AA,"&lt;01.01.2022",манзилли!$E:$E,"3"))</f>
        <v>15000</v>
      </c>
      <c r="V65" s="30">
        <f>+SUMIFS(манзилли!$Y:$Y,манзилли!$D:$D,'свод (сектор вилоят)'!$B$62,манзилли!$AA:$AA,"&gt;31.12.2020",манзилли!$AA:$AA,"&lt;01.01.2022",манзилли!$E:$E,"3")</f>
        <v>430</v>
      </c>
      <c r="W65" s="28">
        <f t="shared" si="764"/>
        <v>0</v>
      </c>
      <c r="X65" s="29">
        <f t="shared" si="758"/>
        <v>0</v>
      </c>
      <c r="Y65" s="29">
        <f t="shared" si="759"/>
        <v>0</v>
      </c>
      <c r="Z65" s="29">
        <f t="shared" si="760"/>
        <v>0</v>
      </c>
      <c r="AA65" s="29">
        <f t="shared" si="761"/>
        <v>0</v>
      </c>
      <c r="AB65" s="29">
        <f t="shared" si="762"/>
        <v>0</v>
      </c>
      <c r="AC65" s="30">
        <f t="shared" si="763"/>
        <v>0</v>
      </c>
      <c r="AD65" s="28">
        <f>+COUNTIFS(манзилли!$D:$D,'свод (сектор вилоят)'!$B$62,манзилли!$AB:$AB,"&gt;31.12.2020",манзилли!$AA:$AA,"&gt;31.12.2020",манзилли!$AA:$AA,"&lt;01.01.2022",манзилли!$E:$E,"3")</f>
        <v>0</v>
      </c>
      <c r="AE65" s="29">
        <f>(+SUMIFS(манзилли!$L:$L,манзилли!$D:$D,'свод (сектор вилоят)'!$B$62,манзилли!$AB:$AB,"&gt;31.12.2020",манзилли!$AA:$AA,"&gt;31.12.2020",манзилли!$AA:$AA,"&lt;01.01.2022",манзилли!$E:$E,"3"))</f>
        <v>0</v>
      </c>
      <c r="AF65" s="29">
        <f>(+SUMIFS(манзилли!$N:$N,манзилли!$D:$D,'свод (сектор вилоят)'!$B$62,манзилли!$AB:$AB,"&gt;31.12.2020",манзилли!$AA:$AA,"&gt;31.12.2020",манзилли!$AA:$AA,"&lt;01.01.2022",манзилли!$E:$E,"3"))</f>
        <v>0</v>
      </c>
      <c r="AG65" s="29">
        <f>(+SUMIFS(манзилли!$R:$R,манзилли!$D:$D,'свод (сектор вилоят)'!$B$62,манзилли!$AB:$AB,"&gt;31.12.2020",манзилли!$AA:$AA,"&gt;31.12.2020",манзилли!$AA:$AA,"&lt;01.01.2022",манзилли!$E:$E,"3"))</f>
        <v>0</v>
      </c>
      <c r="AH65" s="29">
        <f>(+SUMIFS(манзилли!$T:$T,манзилли!$D:$D,'свод (сектор вилоят)'!$B$62,манзилли!$AB:$AB,"&gt;31.12.2020",манзилли!$AA:$AA,"&gt;31.12.2020",манзилли!$AA:$AA,"&lt;01.01.2022",манзилли!$E:$E,"3"))</f>
        <v>0</v>
      </c>
      <c r="AI65" s="29">
        <f>(+SUMIFS(манзилли!$V:$V,манзилли!$D:$D,'свод (сектор вилоят)'!$B$62,манзилли!$AB:$AB,"&gt;31.12.2020",манзилли!$AA:$AA,"&gt;31.12.2020",манзилли!$AA:$AA,"&lt;01.01.2022",манзилли!$E:$E,"3"))</f>
        <v>0</v>
      </c>
      <c r="AJ65" s="30">
        <f>+SUMIFS(манзилли!$Z:$Z,манзилли!$D:$D,'свод (сектор вилоят)'!$B$62,манзилли!$AB:$AB,"&gt;31.12.2020",манзилли!$AA:$AA,"&gt;31.12.2020",манзилли!$AA:$AA,"&lt;01.01.2022",манзилли!$E:$E,"3")</f>
        <v>0</v>
      </c>
      <c r="AK65" s="28">
        <f>+COUNTIFS('Қўшимча ишга тушган'!$D:$D,'свод (сектор вилоят)'!B62,'Қўшимча ишга тушган'!$AO:$AO,"&lt;01.10.2023",манзилли!$E:$E,"3")</f>
        <v>0</v>
      </c>
      <c r="AL65" s="29">
        <f>(+SUMIFS('Қўшимча ишга тушган'!$T:$T,'Қўшимча ишга тушган'!$D:$D,'свод (сектор вилоят)'!$B$62,'Қўшимча ишга тушган'!$AO:$AO,"&lt;01.10.2023",манзилли!$E:$E,"3"))</f>
        <v>0</v>
      </c>
      <c r="AM65" s="29">
        <f>(+SUMIFS('Қўшимча ишга тушган'!$V:$V,'Қўшимча ишга тушган'!$D:$D,'свод (сектор вилоят)'!$B$62,'Қўшимча ишга тушган'!$AO:$AO,"&lt;01.10.2023",манзилли!$E:$E,"3"))</f>
        <v>0</v>
      </c>
      <c r="AN65" s="29">
        <f>(+SUMIFS('Қўшимча ишга тушган'!$Z:$Z,'Қўшимча ишга тушган'!$D:$D,'свод (сектор вилоят)'!$B$62,'Қўшимча ишга тушган'!$AO:$AO,"&lt;01.10.2023",манзилли!$E:$E,"3"))</f>
        <v>0</v>
      </c>
      <c r="AO65" s="29">
        <f>(+SUMIFS('Қўшимча ишга тушган'!$AB:$AB,'Қўшимча ишга тушган'!$D:$D,'свод (сектор вилоят)'!$B$62,'Қўшимча ишга тушган'!$AO:$AO,"&lt;01.10.2023",манзилли!$E:$E,"3"))</f>
        <v>0</v>
      </c>
      <c r="AP65" s="29">
        <f>(+SUMIFS('Қўшимча ишга тушган'!$AD:$AD,'Қўшимча ишга тушган'!$D:$D,'свод (сектор вилоят)'!$B$62,'Қўшимча ишга тушган'!$AO:$AO,"&lt;01.10.2023",манзилли!$E:$E,"3"))</f>
        <v>0</v>
      </c>
      <c r="AQ65" s="30">
        <f>+SUMIFS('Қўшимча ишга тушган'!$AM:$AM,'Қўшимча ишга тушган'!$D:$D,'свод (сектор вилоят)'!$B$62,'Қўшимча ишга тушган'!$AO:$AO,"&lt;01.10.2023",манзилли!$E:$E,"3")</f>
        <v>0</v>
      </c>
      <c r="AR65" s="28">
        <f>+COUNTIFS(манзилли!$D:$D,'свод (сектор вилоят)'!$B$62,манзилли!$AA:$AA,"&lt;01.02.2021",манзилли!$AB:$AB,"",манзилли!$E:$E,"3")</f>
        <v>0</v>
      </c>
      <c r="AS65" s="29">
        <f>(+SUMIFS(манзилли!$K:$K,манзилли!$D:$D,'свод (сектор вилоят)'!$B$62,манзилли!$AA:$AA,"&lt;01.02.2021",манзилли!$AB:$AB,"",манзилли!$E:$E,"3"))</f>
        <v>0</v>
      </c>
      <c r="AT65" s="29">
        <f>(+SUMIFS(манзилли!$M:$M,манзилли!$D:$D,'свод (сектор вилоят)'!$B$62,манзилли!$AA:$AA,"&lt;01.02.2021",манзилли!$AB:$AB,"",манзилли!$E:$E,"3"))</f>
        <v>0</v>
      </c>
      <c r="AU65" s="29">
        <f>(+SUMIFS(манзилли!$Q:$Q,манзилли!$D:$D,'свод (сектор вилоят)'!$B$62,манзилли!$AA:$AA,"&lt;01.02.2021",манзилли!$AB:$AB,"",манзилли!$E:$E,"3"))</f>
        <v>0</v>
      </c>
      <c r="AV65" s="29">
        <f>(+SUMIFS(манзилли!$S:$S,манзилли!$D:$D,'свод (сектор вилоят)'!$B$62,манзилли!$AA:$AA,"&lt;01.02.2021",манзилли!$AB:$AB,"",манзилли!$E:$E,"3"))</f>
        <v>0</v>
      </c>
      <c r="AW65" s="29">
        <f>(+SUMIFS(манзилли!$U:$U,манзилли!$D:$D,'свод (сектор вилоят)'!$B$62,манзилли!$AA:$AA,"&lt;01.02.2021",манзилли!$AB:$AB,"",манзилли!$E:$E,"3"))</f>
        <v>0</v>
      </c>
      <c r="AX65" s="30">
        <f>+SUMIFS(манзилли!$Y:$Y,манзилли!$D:$D,'свод (сектор вилоят)'!$B$62,манзилли!$AA:$AA,"&lt;01.02.2021",манзилли!$AB:$AB,"",манзилли!$E:$E,"3")</f>
        <v>0</v>
      </c>
      <c r="AY65" s="28">
        <f>+COUNTIFS(манзилли!$D:$D,'свод (сектор вилоят)'!$B$62,манзилли!$AA:$AA,"&lt;01.01.2022",манзилли!$AB:$AB,"",манзилли!$E:$E,"3")</f>
        <v>11</v>
      </c>
      <c r="AZ65" s="29">
        <f>(+SUMIFS(манзилли!$K:$K,манзилли!$D:$D,'свод (сектор вилоят)'!$B$62,манзилли!$AA:$AA,"&lt;01.01.2022",манзилли!$AB:$AB,"",манзилли!$E:$E,"3"))</f>
        <v>382384.23157894739</v>
      </c>
      <c r="BA65" s="29">
        <f>(+SUMIFS(манзилли!$M:$M,манзилли!$D:$D,'свод (сектор вилоят)'!$B$62,манзилли!$AA:$AA,"&lt;01.01.2022",манзилли!$AB:$AB,"",манзилли!$E:$E,"3"))</f>
        <v>50355.131578947367</v>
      </c>
      <c r="BB65" s="29">
        <f>(+SUMIFS(манзилли!$Q:$Q,манзилли!$D:$D,'свод (сектор вилоят)'!$B$62,манзилли!$AA:$AA,"&lt;01.01.2022",манзилли!$AB:$AB,"",манзилли!$E:$E,"3"))</f>
        <v>31300</v>
      </c>
      <c r="BC65" s="29">
        <f>(+SUMIFS(манзилли!$S:$S,манзилли!$D:$D,'свод (сектор вилоят)'!$B$62,манзилли!$AA:$AA,"&lt;01.01.2022",манзилли!$AB:$AB,"",манзилли!$E:$E,"3"))</f>
        <v>14197</v>
      </c>
      <c r="BD65" s="29">
        <f>(+SUMIFS(манзилли!$U:$U,манзилли!$D:$D,'свод (сектор вилоят)'!$B$62,манзилли!$AA:$AA,"&lt;01.01.2022",манзилли!$AB:$AB,"",манзилли!$E:$E,"3"))</f>
        <v>15000</v>
      </c>
      <c r="BE65" s="30">
        <f>+SUMIFS(манзилли!$Y:$Y,манзилли!$D:$D,'свод (сектор вилоят)'!$B$62,манзилли!$AA:$AA,"&lt;01.01.2022",манзилли!$AB:$AB,"",манзилли!$E:$E,"3")</f>
        <v>395</v>
      </c>
      <c r="BF65" s="28">
        <f>+COUNTIFS(манзилли!$D:$D,'свод (сектор вилоят)'!$B$62,манзилли!$AA:$AA,"&lt;01.01.2023",манзилли!$AA:$AA,"&gt;=01.01.2022",манзилли!$E:$E,"3")</f>
        <v>2</v>
      </c>
      <c r="BG65" s="29">
        <f>(+SUMIFS(манзилли!$K:$K,манзилли!$D:$D,'свод (сектор вилоят)'!$B$62,манзилли!$AA:$AA,"&lt;01.01.2023",манзилли!$AA:$AA,"&gt;=01.01.2022",манзилли!$E:$E,"3"))</f>
        <v>10050</v>
      </c>
      <c r="BH65" s="29">
        <f>(+SUMIFS(манзилли!$M:$M,манзилли!$D:$D,'свод (сектор вилоят)'!$B$62,манзилли!$AA:$AA,"&lt;01.01.2023",манзилли!$AA:$AA,"&gt;=01.01.2022",манзилли!$E:$E,"3"))</f>
        <v>4000</v>
      </c>
      <c r="BI65" s="29">
        <f>(+SUMIFS(манзилли!$Q:$Q,манзилли!$D:$D,'свод (сектор вилоят)'!$B$62,манзилли!$AA:$AA,"&lt;01.01.2023",манзилли!$AA:$AA,"&gt;=01.01.2022",манзилли!$E:$E,"3"))</f>
        <v>6050</v>
      </c>
      <c r="BJ65" s="29">
        <f>(+SUMIFS(манзилли!$S:$S,манзилли!$D:$D,'свод (сектор вилоят)'!$B$62,манзилли!$AA:$AA,"&lt;01.01.2023",манзилли!$AA:$AA,"&gt;=01.01.2022",манзилли!$E:$E,"3"))</f>
        <v>0</v>
      </c>
      <c r="BK65" s="29">
        <f>(+SUMIFS(манзилли!$U:$U,манзилли!$D:$D,'свод (сектор вилоят)'!$B$62,манзилли!$AA:$AA,"&lt;01.01.2023",манзилли!$AA:$AA,"&gt;=01.01.2022",манзилли!$E:$E,"3"))</f>
        <v>0</v>
      </c>
      <c r="BL65" s="30">
        <f>+SUMIFS(манзилли!$Y:$Y,манзилли!$D:$D,'свод (сектор вилоят)'!$B$62,манзилли!$AA:$AA,"&lt;01.01.2023",манзилли!$AA:$AA,"&gt;=01.01.2022",манзилли!$E:$E,"3")</f>
        <v>18</v>
      </c>
    </row>
    <row r="66" spans="1:64" s="3" customFormat="1" ht="39.75" customHeight="1" thickBot="1">
      <c r="A66" s="55"/>
      <c r="B66" s="36" t="s">
        <v>1774</v>
      </c>
      <c r="C66" s="37">
        <f>+COUNTIFS(манзилли!$D:$D,'свод (сектор вилоят)'!$B$62,манзилли!$E:$E,"4")</f>
        <v>9</v>
      </c>
      <c r="D66" s="38">
        <f>(+SUMIFS(манзилли!$K:$K,манзилли!$D:$D,'свод (сектор вилоят)'!$B$62,манзилли!$E:$E,"4"))</f>
        <v>189420</v>
      </c>
      <c r="E66" s="38">
        <f>(+SUMIFS(манзилли!$M:$M,манзилли!$D:$D,'свод (сектор вилоят)'!$B$62,манзилли!$E:$E,"4"))</f>
        <v>53120</v>
      </c>
      <c r="F66" s="38">
        <f>(+SUMIFS(манзилли!$Q:$Q,манзилли!$D:$D,'свод (сектор вилоят)'!$B$62,манзилли!$E:$E,"4"))</f>
        <v>33300</v>
      </c>
      <c r="G66" s="38">
        <f>(+SUMIFS(манзилли!$S:$S,манзилли!$D:$D,'свод (сектор вилоят)'!$B$62,манзилли!$E:$E,"4"))</f>
        <v>0</v>
      </c>
      <c r="H66" s="38">
        <f>(+SUMIFS(манзилли!$U:$U,манзилли!$D:$D,'свод (сектор вилоят)'!$B$62,манзилли!$E:$E,"4"))</f>
        <v>10000</v>
      </c>
      <c r="I66" s="39">
        <f>+SUMIFS(манзилли!$Y:$Y,манзилли!$D:$D,'свод (сектор вилоят)'!$B$62,манзилли!$E:$E,"4")</f>
        <v>177</v>
      </c>
      <c r="J66" s="37">
        <f>(+COUNTIFS(манзилли!$L:$L,"&gt;0",манзилли!$D:$D,'свод (сектор вилоят)'!$B$62,манзилли!$E:$E,"4")+COUNTIFS('Қўшимча ишга тушган'!$T:$T,"&gt;0",'Қўшимча ишга тушган'!$D:$D,'свод (сектор вилоят)'!$B$62,'Қўшимча ишга тушган'!$E:$E,"4"))</f>
        <v>6</v>
      </c>
      <c r="K66" s="39">
        <f>(+SUMIFS(манзилли!$L:$L,манзилли!$D:$D,'свод (сектор вилоят)'!$B$62,манзилли!$E:$E,"4")+SUMIFS('Қўшимча ишга тушган'!$T:$T,'Қўшимча ишга тушган'!$D:$D,'свод (сектор вилоят)'!$B$62,'Қўшимча ишга тушган'!$E:$E,"4"))</f>
        <v>87920</v>
      </c>
      <c r="L66" s="40">
        <f>(+SUMIFS(манзилли!$N:$N,манзилли!$D:$D,'свод (сектор вилоят)'!$B$62,манзилли!$E:$E,"4")+SUMIFS('Қўшимча ишга тушган'!$V:$V,'Қўшимча ишга тушган'!$D:$D,'свод (сектор вилоят)'!$B$62,'Қўшимча ишга тушган'!$E:$E,"4"))</f>
        <v>48720</v>
      </c>
      <c r="M66" s="38">
        <f>(+SUMIFS(манзилли!$R:$R,манзилли!$D:$D,'свод (сектор вилоят)'!$B$62,манзилли!$E:$E,"4")+SUMIFS('Қўшимча ишга тушган'!$Z:$Z,'Қўшимча ишга тушган'!$D:$D,'свод (сектор вилоят)'!$B$62,'Қўшимча ишга тушган'!$E:$E,"4"))</f>
        <v>39200</v>
      </c>
      <c r="N66" s="38">
        <f>(+SUMIFS(манзилли!$T:$T,манзилли!$D:$D,'свод (сектор вилоят)'!$B$62,манзилли!$E:$E,"4")+SUMIFS('Қўшимча ишга тушган'!$AB:$AB,'Қўшимча ишга тушган'!$D:$D,'свод (сектор вилоят)'!$B$62,'Қўшимча ишга тушган'!$E:$E,"4"))</f>
        <v>0</v>
      </c>
      <c r="O66" s="39">
        <f>(+SUMIFS(манзилли!$V:$V,манзилли!$D:$D,'свод (сектор вилоят)'!$B$62,манзилли!$E:$E,"4")+SUMIFS('Қўшимча ишга тушган'!$AD:$AD,'Қўшимча ишга тушган'!$D:$D,'свод (сектор вилоят)'!$B$62,'Қўшимча ишга тушган'!$E:$E,"4"))</f>
        <v>0</v>
      </c>
      <c r="P66" s="37">
        <f>+COUNTIFS(манзилли!$D:$D,'свод (сектор вилоят)'!$B$62,манзилли!$AA:$AA,"&gt;31.12.2020",манзилли!$AA:$AA,"&lt;01.01.2022",манзилли!$E:$E,"4")</f>
        <v>5</v>
      </c>
      <c r="Q66" s="38">
        <f>(+SUMIFS(манзилли!$K:$K,манзилли!$D:$D,'свод (сектор вилоят)'!$B$62,манзилли!$AA:$AA,"&gt;31.12.2020",манзилли!$AA:$AA,"&lt;01.01.2022",манзилли!$E:$E,"4"))</f>
        <v>91350</v>
      </c>
      <c r="R66" s="38">
        <f>(+SUMIFS(манзилли!$M:$M,манзилли!$D:$D,'свод (сектор вилоят)'!$B$62,манзилли!$AA:$AA,"&gt;31.12.2020",манзилли!$AA:$AA,"&lt;01.01.2022",манзилли!$E:$E,"4"))</f>
        <v>47100</v>
      </c>
      <c r="S66" s="38">
        <f>(+SUMIFS(манзилли!$Q:$Q,манзилли!$D:$D,'свод (сектор вилоят)'!$B$62,манзилли!$AA:$AA,"&gt;31.12.2020",манзилли!$AA:$AA,"&lt;01.01.2022",манзилли!$E:$E,"4"))</f>
        <v>28800</v>
      </c>
      <c r="T66" s="38">
        <f>(+SUMIFS(манзилли!$S:$S,манзилли!$D:$D,'свод (сектор вилоят)'!$B$62,манзилли!$AA:$AA,"&gt;31.12.2020",манзилли!$AA:$AA,"&lt;01.01.2022",манзилли!$E:$E,"4"))</f>
        <v>0</v>
      </c>
      <c r="U66" s="38">
        <f>(+SUMIFS(манзилли!$U:$U,манзилли!$D:$D,'свод (сектор вилоят)'!$B$62,манзилли!$AA:$AA,"&gt;31.12.2020",манзилли!$AA:$AA,"&lt;01.01.2022",манзилли!$E:$E,"4"))</f>
        <v>1500</v>
      </c>
      <c r="V66" s="39">
        <f>+SUMIFS(манзилли!$Y:$Y,манзилли!$D:$D,'свод (сектор вилоят)'!$B$62,манзилли!$AA:$AA,"&gt;31.12.2020",манзилли!$AA:$AA,"&lt;01.01.2022",манзилли!$E:$E,"4")</f>
        <v>90</v>
      </c>
      <c r="W66" s="37">
        <f t="shared" si="764"/>
        <v>1</v>
      </c>
      <c r="X66" s="38">
        <f t="shared" si="758"/>
        <v>11500</v>
      </c>
      <c r="Y66" s="38">
        <f t="shared" si="759"/>
        <v>5500</v>
      </c>
      <c r="Z66" s="38">
        <f t="shared" si="760"/>
        <v>6000</v>
      </c>
      <c r="AA66" s="38">
        <f t="shared" si="761"/>
        <v>0</v>
      </c>
      <c r="AB66" s="38">
        <f t="shared" si="762"/>
        <v>0</v>
      </c>
      <c r="AC66" s="39">
        <f t="shared" si="763"/>
        <v>20</v>
      </c>
      <c r="AD66" s="37">
        <f>+COUNTIFS(манзилли!$D:$D,'свод (сектор вилоят)'!$B$62,манзилли!$AB:$AB,"&gt;31.12.2020",манзилли!$AA:$AA,"&gt;31.12.2020",манзилли!$AA:$AA,"&lt;01.01.2022",манзилли!$E:$E,"4")</f>
        <v>1</v>
      </c>
      <c r="AE66" s="38">
        <f>(+SUMIFS(манзилли!$L:$L,манзилли!$D:$D,'свод (сектор вилоят)'!$B$62,манзилли!$AB:$AB,"&gt;31.12.2020",манзилли!$AA:$AA,"&gt;31.12.2020",манзилли!$AA:$AA,"&lt;01.01.2022",манзилли!$E:$E,"4"))</f>
        <v>11500</v>
      </c>
      <c r="AF66" s="38">
        <f>(+SUMIFS(манзилли!$N:$N,манзилли!$D:$D,'свод (сектор вилоят)'!$B$62,манзилли!$AB:$AB,"&gt;31.12.2020",манзилли!$AA:$AA,"&gt;31.12.2020",манзилли!$AA:$AA,"&lt;01.01.2022",манзилли!$E:$E,"4"))</f>
        <v>5500</v>
      </c>
      <c r="AG66" s="38">
        <f>(+SUMIFS(манзилли!$R:$R,манзилли!$D:$D,'свод (сектор вилоят)'!$B$62,манзилли!$AB:$AB,"&gt;31.12.2020",манзилли!$AA:$AA,"&gt;31.12.2020",манзилли!$AA:$AA,"&lt;01.01.2022",манзилли!$E:$E,"4"))</f>
        <v>6000</v>
      </c>
      <c r="AH66" s="38">
        <f>(+SUMIFS(манзилли!$T:$T,манзилли!$D:$D,'свод (сектор вилоят)'!$B$62,манзилли!$AB:$AB,"&gt;31.12.2020",манзилли!$AA:$AA,"&gt;31.12.2020",манзилли!$AA:$AA,"&lt;01.01.2022",манзилли!$E:$E,"4"))</f>
        <v>0</v>
      </c>
      <c r="AI66" s="38">
        <f>(+SUMIFS(манзилли!$V:$V,манзилли!$D:$D,'свод (сектор вилоят)'!$B$62,манзилли!$AB:$AB,"&gt;31.12.2020",манзилли!$AA:$AA,"&gt;31.12.2020",манзилли!$AA:$AA,"&lt;01.01.2022",манзилли!$E:$E,"4"))</f>
        <v>0</v>
      </c>
      <c r="AJ66" s="39">
        <f>+SUMIFS(манзилли!$Z:$Z,манзилли!$D:$D,'свод (сектор вилоят)'!$B$62,манзилли!$AB:$AB,"&gt;31.12.2020",манзилли!$AA:$AA,"&gt;31.12.2020",манзилли!$AA:$AA,"&lt;01.01.2022",манзилли!$E:$E,"4")</f>
        <v>20</v>
      </c>
      <c r="AK66" s="37">
        <f>+COUNTIFS('Қўшимча ишга тушган'!$D:$D,'свод (сектор вилоят)'!B62,'Қўшимча ишга тушган'!$AO:$AO,"&lt;01.10.2023",манзилли!$E:$E,"4")</f>
        <v>0</v>
      </c>
      <c r="AL66" s="38">
        <f>(+SUMIFS('Қўшимча ишга тушган'!$T:$T,'Қўшимча ишга тушган'!$D:$D,'свод (сектор вилоят)'!$B$62,'Қўшимча ишга тушган'!$AO:$AO,"&lt;01.10.2023",манзилли!$E:$E,"4"))</f>
        <v>0</v>
      </c>
      <c r="AM66" s="38">
        <f>(+SUMIFS('Қўшимча ишга тушган'!$V:$V,'Қўшимча ишга тушган'!$D:$D,'свод (сектор вилоят)'!$B$62,'Қўшимча ишга тушган'!$AO:$AO,"&lt;01.10.2023",манзилли!$E:$E,"4"))</f>
        <v>0</v>
      </c>
      <c r="AN66" s="38">
        <f>(+SUMIFS('Қўшимча ишга тушган'!$Z:$Z,'Қўшимча ишга тушган'!$D:$D,'свод (сектор вилоят)'!$B$62,'Қўшимча ишга тушган'!$AO:$AO,"&lt;01.10.2023",манзилли!$E:$E,"4"))</f>
        <v>0</v>
      </c>
      <c r="AO66" s="38">
        <f>(+SUMIFS('Қўшимча ишга тушган'!$AB:$AB,'Қўшимча ишга тушган'!$D:$D,'свод (сектор вилоят)'!$B$62,'Қўшимча ишга тушган'!$AO:$AO,"&lt;01.10.2023",манзилли!$E:$E,"4"))</f>
        <v>0</v>
      </c>
      <c r="AP66" s="38">
        <f>(+SUMIFS('Қўшимча ишга тушган'!$AD:$AD,'Қўшимча ишга тушган'!$D:$D,'свод (сектор вилоят)'!$B$62,'Қўшимча ишга тушган'!$AO:$AO,"&lt;01.10.2023",манзилли!$E:$E,"4"))</f>
        <v>0</v>
      </c>
      <c r="AQ66" s="39">
        <f>+SUMIFS('Қўшимча ишга тушган'!$AM:$AM,'Қўшимча ишга тушган'!$D:$D,'свод (сектор вилоят)'!$B$62,'Қўшимча ишга тушган'!$AO:$AO,"&lt;01.10.2023",манзилли!$E:$E,"4")</f>
        <v>0</v>
      </c>
      <c r="AR66" s="37">
        <f>+COUNTIFS(манзилли!$D:$D,'свод (сектор вилоят)'!$B$62,манзилли!$AA:$AA,"&lt;01.02.2021",манзилли!$AB:$AB,"",манзилли!$E:$E,"4")</f>
        <v>0</v>
      </c>
      <c r="AS66" s="38">
        <f>(+SUMIFS(манзилли!$K:$K,манзилли!$D:$D,'свод (сектор вилоят)'!$B$62,манзилли!$AA:$AA,"&lt;01.02.2021",манзилли!$AB:$AB,"",манзилли!$E:$E,"4"))</f>
        <v>0</v>
      </c>
      <c r="AT66" s="38">
        <f>(+SUMIFS(манзилли!$M:$M,манзилли!$D:$D,'свод (сектор вилоят)'!$B$62,манзилли!$AA:$AA,"&lt;01.02.2021",манзилли!$AB:$AB,"",манзилли!$E:$E,"4"))</f>
        <v>0</v>
      </c>
      <c r="AU66" s="38">
        <f>(+SUMIFS(манзилли!$Q:$Q,манзилли!$D:$D,'свод (сектор вилоят)'!$B$62,манзилли!$AA:$AA,"&lt;01.02.2021",манзилли!$AB:$AB,"",манзилли!$E:$E,"4"))</f>
        <v>0</v>
      </c>
      <c r="AV66" s="38">
        <f>(+SUMIFS(манзилли!$S:$S,манзилли!$D:$D,'свод (сектор вилоят)'!$B$62,манзилли!$AA:$AA,"&lt;01.02.2021",манзилли!$AB:$AB,"",манзилли!$E:$E,"4"))</f>
        <v>0</v>
      </c>
      <c r="AW66" s="38">
        <f>(+SUMIFS(манзилли!$U:$U,манзилли!$D:$D,'свод (сектор вилоят)'!$B$62,манзилли!$AA:$AA,"&lt;01.02.2021",манзилли!$AB:$AB,"",манзилли!$E:$E,"4"))</f>
        <v>0</v>
      </c>
      <c r="AX66" s="39">
        <f>+SUMIFS(манзилли!$Y:$Y,манзилли!$D:$D,'свод (сектор вилоят)'!$B$62,манзилли!$AA:$AA,"&lt;01.02.2021",манзилли!$AB:$AB,"",манзилли!$E:$E,"4")</f>
        <v>0</v>
      </c>
      <c r="AY66" s="37">
        <f>+COUNTIFS(манзилли!$D:$D,'свод (сектор вилоят)'!$B$62,манзилли!$AA:$AA,"&lt;01.01.2022",манзилли!$AB:$AB,"",манзилли!$E:$E,"4")</f>
        <v>3</v>
      </c>
      <c r="AZ66" s="38">
        <f>(+SUMIFS(манзилли!$K:$K,манзилли!$D:$D,'свод (сектор вилоят)'!$B$62,манзилли!$AA:$AA,"&lt;01.01.2022",манзилли!$AB:$AB,"",манзилли!$E:$E,"4"))</f>
        <v>27650</v>
      </c>
      <c r="BA66" s="38">
        <f>(+SUMIFS(манзилли!$M:$M,манзилли!$D:$D,'свод (сектор вилоят)'!$B$62,манзилли!$AA:$AA,"&lt;01.01.2022",манзилли!$AB:$AB,"",манзилли!$E:$E,"4"))</f>
        <v>4400</v>
      </c>
      <c r="BB66" s="38">
        <f>(+SUMIFS(манзилли!$Q:$Q,манзилли!$D:$D,'свод (сектор вилоят)'!$B$62,манзилли!$AA:$AA,"&lt;01.01.2022",манзилли!$AB:$AB,"",манзилли!$E:$E,"4"))</f>
        <v>7800</v>
      </c>
      <c r="BC66" s="38">
        <f>(+SUMIFS(манзилли!$S:$S,манзилли!$D:$D,'свод (сектор вилоят)'!$B$62,манзилли!$AA:$AA,"&lt;01.01.2022",манзилли!$AB:$AB,"",манзилли!$E:$E,"4"))</f>
        <v>0</v>
      </c>
      <c r="BD66" s="38">
        <f>(+SUMIFS(манзилли!$U:$U,манзилли!$D:$D,'свод (сектор вилоят)'!$B$62,манзилли!$AA:$AA,"&lt;01.01.2022",манзилли!$AB:$AB,"",манзилли!$E:$E,"4"))</f>
        <v>1500</v>
      </c>
      <c r="BE66" s="39">
        <f>+SUMIFS(манзилли!$Y:$Y,манзилли!$D:$D,'свод (сектор вилоят)'!$B$62,манзилли!$AA:$AA,"&lt;01.01.2022",манзилли!$AB:$AB,"",манзилли!$E:$E,"4")</f>
        <v>55</v>
      </c>
      <c r="BF66" s="37">
        <f>+COUNTIFS(манзилли!$D:$D,'свод (сектор вилоят)'!$B$62,манзилли!$AA:$AA,"&lt;01.01.2023",манзилли!$AA:$AA,"&gt;=01.01.2022",манзилли!$E:$E,"4")</f>
        <v>3</v>
      </c>
      <c r="BG66" s="38">
        <f>(+SUMIFS(манзилли!$K:$K,манзилли!$D:$D,'свод (сектор вилоят)'!$B$62,манзилли!$AA:$AA,"&lt;01.01.2023",манзилли!$AA:$AA,"&gt;=01.01.2022",манзилли!$E:$E,"4"))</f>
        <v>97550</v>
      </c>
      <c r="BH66" s="38">
        <f>(+SUMIFS(манзилли!$M:$M,манзилли!$D:$D,'свод (сектор вилоят)'!$B$62,манзилли!$AA:$AA,"&lt;01.01.2023",манзилли!$AA:$AA,"&gt;=01.01.2022",манзилли!$E:$E,"4"))</f>
        <v>5900</v>
      </c>
      <c r="BI66" s="38">
        <f>(+SUMIFS(манзилли!$Q:$Q,манзилли!$D:$D,'свод (сектор вилоят)'!$B$62,манзилли!$AA:$AA,"&lt;01.01.2023",манзилли!$AA:$AA,"&gt;=01.01.2022",манзилли!$E:$E,"4"))</f>
        <v>4100</v>
      </c>
      <c r="BJ66" s="38">
        <f>(+SUMIFS(манзилли!$S:$S,манзилли!$D:$D,'свод (сектор вилоят)'!$B$62,манзилли!$AA:$AA,"&lt;01.01.2023",манзилли!$AA:$AA,"&gt;=01.01.2022",манзилли!$E:$E,"4"))</f>
        <v>0</v>
      </c>
      <c r="BK66" s="38">
        <f>(+SUMIFS(манзилли!$U:$U,манзилли!$D:$D,'свод (сектор вилоят)'!$B$62,манзилли!$AA:$AA,"&lt;01.01.2023",манзилли!$AA:$AA,"&gt;=01.01.2022",манзилли!$E:$E,"4"))</f>
        <v>8500</v>
      </c>
      <c r="BL66" s="39">
        <f>+SUMIFS(манзилли!$Y:$Y,манзилли!$D:$D,'свод (сектор вилоят)'!$B$62,манзилли!$AA:$AA,"&lt;01.01.2023",манзилли!$AA:$AA,"&gt;=01.01.2022",манзилли!$E:$E,"4")</f>
        <v>82</v>
      </c>
    </row>
    <row r="67" spans="1:64" s="3" customFormat="1" ht="39.75" customHeight="1" thickBot="1">
      <c r="A67" s="53">
        <v>13</v>
      </c>
      <c r="B67" s="54" t="s">
        <v>360</v>
      </c>
      <c r="C67" s="41">
        <f>+SUM(C68:C71)</f>
        <v>51</v>
      </c>
      <c r="D67" s="41">
        <f t="shared" ref="D67" si="765">+SUM(D68:D71)</f>
        <v>296513.59999999998</v>
      </c>
      <c r="E67" s="41">
        <f t="shared" ref="E67" si="766">+SUM(E68:E71)</f>
        <v>130077</v>
      </c>
      <c r="F67" s="41">
        <f t="shared" ref="F67" si="767">+SUM(F68:F71)</f>
        <v>74540</v>
      </c>
      <c r="G67" s="41">
        <f t="shared" ref="G67" si="768">+SUM(G68:G71)</f>
        <v>5622</v>
      </c>
      <c r="H67" s="41">
        <f t="shared" ref="H67" si="769">+SUM(H68:H71)</f>
        <v>3300</v>
      </c>
      <c r="I67" s="41">
        <f t="shared" ref="I67" si="770">+SUM(I68:I71)</f>
        <v>885</v>
      </c>
      <c r="J67" s="41">
        <f t="shared" ref="J67" si="771">+SUM(J68:J71)</f>
        <v>29</v>
      </c>
      <c r="K67" s="41">
        <f t="shared" ref="K67" si="772">+SUM(K68:K71)</f>
        <v>46783</v>
      </c>
      <c r="L67" s="41">
        <f t="shared" ref="L67" si="773">+SUM(L68:L71)</f>
        <v>8328</v>
      </c>
      <c r="M67" s="41">
        <f t="shared" ref="M67" si="774">+SUM(M68:M71)</f>
        <v>31213</v>
      </c>
      <c r="N67" s="41">
        <f t="shared" ref="N67" si="775">+SUM(N68:N71)</f>
        <v>710</v>
      </c>
      <c r="O67" s="41">
        <f t="shared" ref="O67" si="776">+SUM(O68:O71)</f>
        <v>0</v>
      </c>
      <c r="P67" s="41">
        <f t="shared" ref="P67" si="777">+SUM(P68:P71)</f>
        <v>37</v>
      </c>
      <c r="Q67" s="41">
        <f t="shared" ref="Q67" si="778">+SUM(Q68:Q71)</f>
        <v>200808.6</v>
      </c>
      <c r="R67" s="41">
        <f t="shared" ref="R67" si="779">+SUM(R68:R71)</f>
        <v>84437</v>
      </c>
      <c r="S67" s="41">
        <f t="shared" ref="S67" si="780">+SUM(S68:S71)</f>
        <v>52800</v>
      </c>
      <c r="T67" s="41">
        <f t="shared" ref="T67" si="781">+SUM(T68:T71)</f>
        <v>2872</v>
      </c>
      <c r="U67" s="41">
        <f t="shared" ref="U67" si="782">+SUM(U68:U71)</f>
        <v>3300</v>
      </c>
      <c r="V67" s="41">
        <f t="shared" ref="V67" si="783">+SUM(V68:V71)</f>
        <v>527</v>
      </c>
      <c r="W67" s="41">
        <f t="shared" ref="W67" si="784">+SUM(W68:W71)</f>
        <v>1</v>
      </c>
      <c r="X67" s="41">
        <f t="shared" ref="X67" si="785">+SUM(X68:X71)</f>
        <v>1200</v>
      </c>
      <c r="Y67" s="41">
        <f t="shared" ref="Y67" si="786">+SUM(Y68:Y71)</f>
        <v>800</v>
      </c>
      <c r="Z67" s="41">
        <f t="shared" ref="Z67" si="787">+SUM(Z68:Z71)</f>
        <v>400</v>
      </c>
      <c r="AA67" s="41">
        <f t="shared" ref="AA67" si="788">+SUM(AA68:AA71)</f>
        <v>0</v>
      </c>
      <c r="AB67" s="41">
        <f t="shared" ref="AB67" si="789">+SUM(AB68:AB71)</f>
        <v>0</v>
      </c>
      <c r="AC67" s="41">
        <f t="shared" ref="AC67" si="790">+SUM(AC68:AC71)</f>
        <v>5</v>
      </c>
      <c r="AD67" s="41">
        <f t="shared" ref="AD67" si="791">+SUM(AD68:AD71)</f>
        <v>1</v>
      </c>
      <c r="AE67" s="41">
        <f t="shared" ref="AE67" si="792">+SUM(AE68:AE71)</f>
        <v>1200</v>
      </c>
      <c r="AF67" s="41">
        <f t="shared" ref="AF67" si="793">+SUM(AF68:AF71)</f>
        <v>800</v>
      </c>
      <c r="AG67" s="41">
        <f t="shared" ref="AG67" si="794">+SUM(AG68:AG71)</f>
        <v>400</v>
      </c>
      <c r="AH67" s="41">
        <f t="shared" ref="AH67" si="795">+SUM(AH68:AH71)</f>
        <v>0</v>
      </c>
      <c r="AI67" s="41">
        <f t="shared" ref="AI67" si="796">+SUM(AI68:AI71)</f>
        <v>0</v>
      </c>
      <c r="AJ67" s="41">
        <f t="shared" ref="AJ67" si="797">+SUM(AJ68:AJ71)</f>
        <v>5</v>
      </c>
      <c r="AK67" s="41">
        <f t="shared" ref="AK67" si="798">+SUM(AK68:AK71)</f>
        <v>0</v>
      </c>
      <c r="AL67" s="41">
        <f t="shared" ref="AL67" si="799">+SUM(AL68:AL71)</f>
        <v>0</v>
      </c>
      <c r="AM67" s="41">
        <f t="shared" ref="AM67" si="800">+SUM(AM68:AM71)</f>
        <v>0</v>
      </c>
      <c r="AN67" s="41">
        <f t="shared" ref="AN67" si="801">+SUM(AN68:AN71)</f>
        <v>0</v>
      </c>
      <c r="AO67" s="41">
        <f t="shared" ref="AO67" si="802">+SUM(AO68:AO71)</f>
        <v>0</v>
      </c>
      <c r="AP67" s="41">
        <f t="shared" ref="AP67" si="803">+SUM(AP68:AP71)</f>
        <v>0</v>
      </c>
      <c r="AQ67" s="41">
        <f t="shared" ref="AQ67" si="804">+SUM(AQ68:AQ71)</f>
        <v>0</v>
      </c>
      <c r="AR67" s="41">
        <f t="shared" ref="AR67" si="805">+SUM(AR68:AR71)</f>
        <v>0</v>
      </c>
      <c r="AS67" s="41">
        <f t="shared" ref="AS67" si="806">+SUM(AS68:AS71)</f>
        <v>0</v>
      </c>
      <c r="AT67" s="41">
        <f t="shared" ref="AT67" si="807">+SUM(AT68:AT71)</f>
        <v>0</v>
      </c>
      <c r="AU67" s="41">
        <f t="shared" ref="AU67" si="808">+SUM(AU68:AU71)</f>
        <v>0</v>
      </c>
      <c r="AV67" s="41">
        <f t="shared" ref="AV67" si="809">+SUM(AV68:AV71)</f>
        <v>0</v>
      </c>
      <c r="AW67" s="41">
        <f t="shared" ref="AW67" si="810">+SUM(AW68:AW71)</f>
        <v>0</v>
      </c>
      <c r="AX67" s="41">
        <f t="shared" ref="AX67" si="811">+SUM(AX68:AX71)</f>
        <v>0</v>
      </c>
      <c r="AY67" s="41">
        <f t="shared" ref="AY67" si="812">+SUM(AY68:AY71)</f>
        <v>31</v>
      </c>
      <c r="AZ67" s="41">
        <f t="shared" ref="AZ67" si="813">+SUM(AZ68:AZ71)</f>
        <v>189358.6</v>
      </c>
      <c r="BA67" s="41">
        <f t="shared" ref="BA67" si="814">+SUM(BA68:BA71)</f>
        <v>81687</v>
      </c>
      <c r="BB67" s="41">
        <f t="shared" ref="BB67" si="815">+SUM(BB68:BB71)</f>
        <v>44100</v>
      </c>
      <c r="BC67" s="41">
        <f t="shared" ref="BC67" si="816">+SUM(BC68:BC71)</f>
        <v>2872</v>
      </c>
      <c r="BD67" s="41">
        <f t="shared" ref="BD67" si="817">+SUM(BD68:BD71)</f>
        <v>3300</v>
      </c>
      <c r="BE67" s="41">
        <f t="shared" ref="BE67" si="818">+SUM(BE68:BE71)</f>
        <v>474</v>
      </c>
      <c r="BF67" s="41">
        <f t="shared" ref="BF67" si="819">+SUM(BF68:BF71)</f>
        <v>7</v>
      </c>
      <c r="BG67" s="41">
        <f t="shared" ref="BG67" si="820">+SUM(BG68:BG71)</f>
        <v>85525</v>
      </c>
      <c r="BH67" s="41">
        <f t="shared" ref="BH67" si="821">+SUM(BH68:BH71)</f>
        <v>40400</v>
      </c>
      <c r="BI67" s="41">
        <f t="shared" ref="BI67" si="822">+SUM(BI68:BI71)</f>
        <v>16800</v>
      </c>
      <c r="BJ67" s="41">
        <f t="shared" ref="BJ67" si="823">+SUM(BJ68:BJ71)</f>
        <v>2750</v>
      </c>
      <c r="BK67" s="41">
        <f t="shared" ref="BK67" si="824">+SUM(BK68:BK71)</f>
        <v>0</v>
      </c>
      <c r="BL67" s="43">
        <f t="shared" ref="BL67" si="825">+SUM(BL68:BL71)</f>
        <v>319</v>
      </c>
    </row>
    <row r="68" spans="1:64" s="3" customFormat="1" ht="39.75" customHeight="1">
      <c r="A68" s="52"/>
      <c r="B68" s="50" t="s">
        <v>1771</v>
      </c>
      <c r="C68" s="46">
        <f>+COUNTIFS(манзилли!$D:$D,'свод (сектор вилоят)'!$B$67,манзилли!$E:$E,"1")</f>
        <v>8</v>
      </c>
      <c r="D68" s="47">
        <f>(+SUMIFS(манзилли!$K:$K,манзилли!$D:$D,'свод (сектор вилоят)'!$B$67,манзилли!$E:$E,"1"))</f>
        <v>56700</v>
      </c>
      <c r="E68" s="47">
        <f>(+SUMIFS(манзилли!$M:$M,манзилли!$D:$D,'свод (сектор вилоят)'!$B$67,манзилли!$E:$E,"1"))</f>
        <v>10400</v>
      </c>
      <c r="F68" s="47">
        <f>(+SUMIFS(манзилли!$Q:$Q,манзилли!$D:$D,'свод (сектор вилоят)'!$B$67,манзилли!$E:$E,"1"))</f>
        <v>15400</v>
      </c>
      <c r="G68" s="47">
        <f>(+SUMIFS(манзилли!$S:$S,манзилли!$D:$D,'свод (сектор вилоят)'!$B$67,манзилли!$E:$E,"1"))</f>
        <v>0</v>
      </c>
      <c r="H68" s="47">
        <f>(+SUMIFS(манзилли!$U:$U,манзилли!$D:$D,'свод (сектор вилоят)'!$B$67,манзилли!$E:$E,"1"))</f>
        <v>3000</v>
      </c>
      <c r="I68" s="48">
        <f>+SUMIFS(манзилли!$Y:$Y,манзилли!$D:$D,'свод (сектор вилоят)'!$B$67,манзилли!$E:$E,"1")</f>
        <v>113</v>
      </c>
      <c r="J68" s="46">
        <f>(+COUNTIFS(манзилли!$L:$L,"&gt;0",манзилли!$D:$D,'свод (сектор вилоят)'!$B$67,манзилли!$E:$E,"1")+COUNTIFS('Қўшимча ишга тушган'!$T:$T,"&gt;0",'Қўшимча ишга тушган'!$D:$D,'свод (сектор вилоят)'!$B$67,'Қўшимча ишга тушган'!$E:$E,"1"))</f>
        <v>6</v>
      </c>
      <c r="K68" s="48">
        <f>(+SUMIFS(манзилли!$L:$L,манзилли!$D:$D,'свод (сектор вилоят)'!$B$67,манзилли!$E:$E,"1")+SUMIFS('Қўшимча ишга тушган'!$T:$T,'Қўшимча ишга тушган'!$D:$D,'свод (сектор вилоят)'!$B$67,'Қўшимча ишга тушган'!$E:$E,"1"))</f>
        <v>10264</v>
      </c>
      <c r="L68" s="49">
        <f>(+SUMIFS(манзилли!$N:$N,манзилли!$D:$D,'свод (сектор вилоят)'!$B$67,манзилли!$E:$E,"1")+SUMIFS('Қўшимча ишга тушган'!$V:$V,'Қўшимча ишга тушган'!$D:$D,'свод (сектор вилоят)'!$B$67,'Қўшимча ишга тушган'!$E:$E,"1"))</f>
        <v>2300</v>
      </c>
      <c r="M68" s="47">
        <f>(+SUMIFS(манзилли!$R:$R,манзилли!$D:$D,'свод (сектор вилоят)'!$B$67,манзилли!$E:$E,"1")+SUMIFS('Қўшимча ишга тушган'!$Z:$Z,'Қўшимча ишга тушган'!$D:$D,'свод (сектор вилоят)'!$B$67,'Қўшимча ишга тушган'!$E:$E,"1"))</f>
        <v>7964</v>
      </c>
      <c r="N68" s="47">
        <f>(+SUMIFS(манзилли!$T:$T,манзилли!$D:$D,'свод (сектор вилоят)'!$B$67,манзилли!$E:$E,"1")+SUMIFS('Қўшимча ишга тушган'!$AB:$AB,'Қўшимча ишга тушган'!$D:$D,'свод (сектор вилоят)'!$B$67,'Қўшимча ишга тушган'!$E:$E,"1"))</f>
        <v>0</v>
      </c>
      <c r="O68" s="48">
        <f>(+SUMIFS(манзилли!$V:$V,манзилли!$D:$D,'свод (сектор вилоят)'!$B$67,манзилли!$E:$E,"1")+SUMIFS('Қўшимча ишга тушган'!$AD:$AD,'Қўшимча ишга тушган'!$D:$D,'свод (сектор вилоят)'!$B$67,'Қўшимча ишга тушган'!$E:$E,"1"))</f>
        <v>0</v>
      </c>
      <c r="P68" s="46">
        <f>+COUNTIFS(манзилли!$D:$D,'свод (сектор вилоят)'!$B$67,манзилли!$AA:$AA,"&gt;31.12.2020",манзилли!$AA:$AA,"&lt;01.01.2022",манзилли!$E:$E,"1")</f>
        <v>7</v>
      </c>
      <c r="Q68" s="47">
        <f>(+SUMIFS(манзилли!$K:$K,манзилли!$D:$D,'свод (сектор вилоят)'!$B$67,манзилли!$AA:$AA,"&gt;31.12.2020",манзилли!$AA:$AA,"&lt;01.01.2022",манзилли!$E:$E,"1"))</f>
        <v>55500</v>
      </c>
      <c r="R68" s="47">
        <f>(+SUMIFS(манзилли!$M:$M,манзилли!$D:$D,'свод (сектор вилоят)'!$B$67,манзилли!$AA:$AA,"&gt;31.12.2020",манзилли!$AA:$AA,"&lt;01.01.2022",манзилли!$E:$E,"1"))</f>
        <v>10000</v>
      </c>
      <c r="S68" s="47">
        <f>(+SUMIFS(манзилли!$Q:$Q,манзилли!$D:$D,'свод (сектор вилоят)'!$B$67,манзилли!$AA:$AA,"&gt;31.12.2020",манзилли!$AA:$AA,"&lt;01.01.2022",манзилли!$E:$E,"1"))</f>
        <v>14600</v>
      </c>
      <c r="T68" s="47">
        <f>(+SUMIFS(манзилли!$S:$S,манзилли!$D:$D,'свод (сектор вилоят)'!$B$67,манзилли!$AA:$AA,"&gt;31.12.2020",манзилли!$AA:$AA,"&lt;01.01.2022",манзилли!$E:$E,"1"))</f>
        <v>0</v>
      </c>
      <c r="U68" s="47">
        <f>(+SUMIFS(манзилли!$U:$U,манзилли!$D:$D,'свод (сектор вилоят)'!$B$67,манзилли!$AA:$AA,"&gt;31.12.2020",манзилли!$AA:$AA,"&lt;01.01.2022",манзилли!$E:$E,"1"))</f>
        <v>3000</v>
      </c>
      <c r="V68" s="48">
        <f>+SUMIFS(манзилли!$Y:$Y,манзилли!$D:$D,'свод (сектор вилоят)'!$B$67,манзилли!$AA:$AA,"&gt;31.12.2020",манзилли!$AA:$AA,"&lt;01.01.2022",манзилли!$E:$E,"1")</f>
        <v>109</v>
      </c>
      <c r="W68" s="46">
        <f>+AD68+AK68</f>
        <v>0</v>
      </c>
      <c r="X68" s="47">
        <f t="shared" ref="X68:X71" si="826">+AE68+AL68</f>
        <v>0</v>
      </c>
      <c r="Y68" s="47">
        <f t="shared" ref="Y68:Y71" si="827">+AF68+AM68</f>
        <v>0</v>
      </c>
      <c r="Z68" s="47">
        <f t="shared" ref="Z68:Z71" si="828">+AG68+AN68</f>
        <v>0</v>
      </c>
      <c r="AA68" s="47">
        <f t="shared" ref="AA68:AA71" si="829">+AH68+AO68</f>
        <v>0</v>
      </c>
      <c r="AB68" s="47">
        <f t="shared" ref="AB68:AB71" si="830">+AI68+AP68</f>
        <v>0</v>
      </c>
      <c r="AC68" s="48">
        <f t="shared" ref="AC68:AC71" si="831">+AJ68+AQ68</f>
        <v>0</v>
      </c>
      <c r="AD68" s="46">
        <f>+COUNTIFS(манзилли!$D:$D,'свод (сектор вилоят)'!$B$67,манзилли!$AB:$AB,"&gt;31.12.2020",манзилли!$AA:$AA,"&gt;31.12.2020",манзилли!$AA:$AA,"&lt;01.01.2022",манзилли!$E:$E,"1")</f>
        <v>0</v>
      </c>
      <c r="AE68" s="47">
        <f>(+SUMIFS(манзилли!$L:$L,манзилли!$D:$D,'свод (сектор вилоят)'!$B$67,манзилли!$AB:$AB,"&gt;31.12.2020",манзилли!$AA:$AA,"&gt;31.12.2020",манзилли!$AA:$AA,"&lt;01.01.2022",манзилли!$E:$E,"1"))</f>
        <v>0</v>
      </c>
      <c r="AF68" s="47">
        <f>(+SUMIFS(манзилли!$N:$N,манзилли!$D:$D,'свод (сектор вилоят)'!$B$67,манзилли!$AB:$AB,"&gt;31.12.2020",манзилли!$AA:$AA,"&gt;31.12.2020",манзилли!$AA:$AA,"&lt;01.01.2022",манзилли!$E:$E,"1"))</f>
        <v>0</v>
      </c>
      <c r="AG68" s="47">
        <f>(+SUMIFS(манзилли!$R:$R,манзилли!$D:$D,'свод (сектор вилоят)'!$B$67,манзилли!$AB:$AB,"&gt;31.12.2020",манзилли!$AA:$AA,"&gt;31.12.2020",манзилли!$AA:$AA,"&lt;01.01.2022",манзилли!$E:$E,"1"))</f>
        <v>0</v>
      </c>
      <c r="AH68" s="47">
        <f>(+SUMIFS(манзилли!$T:$T,манзилли!$D:$D,'свод (сектор вилоят)'!$B$67,манзилли!$AB:$AB,"&gt;31.12.2020",манзилли!$AA:$AA,"&gt;31.12.2020",манзилли!$AA:$AA,"&lt;01.01.2022",манзилли!$E:$E,"1"))</f>
        <v>0</v>
      </c>
      <c r="AI68" s="47">
        <f>(+SUMIFS(манзилли!$V:$V,манзилли!$D:$D,'свод (сектор вилоят)'!$B$67,манзилли!$AB:$AB,"&gt;31.12.2020",манзилли!$AA:$AA,"&gt;31.12.2020",манзилли!$AA:$AA,"&lt;01.01.2022",манзилли!$E:$E,"1"))</f>
        <v>0</v>
      </c>
      <c r="AJ68" s="48">
        <f>+SUMIFS(манзилли!$Z:$Z,манзилли!$D:$D,'свод (сектор вилоят)'!$B$67,манзилли!$AB:$AB,"&gt;31.12.2020",манзилли!$AA:$AA,"&gt;31.12.2020",манзилли!$AA:$AA,"&lt;01.01.2022",манзилли!$E:$E,"1")</f>
        <v>0</v>
      </c>
      <c r="AK68" s="46">
        <f>+COUNTIFS('Қўшимча ишга тушган'!$D:$D,'свод (сектор вилоят)'!B67,'Қўшимча ишга тушган'!$AO:$AO,"&lt;01.10.2023",манзилли!$E:$E,"1")</f>
        <v>0</v>
      </c>
      <c r="AL68" s="47">
        <f>(+SUMIFS('Қўшимча ишга тушган'!$T:$T,'Қўшимча ишга тушган'!$D:$D,'свод (сектор вилоят)'!$B$67,'Қўшимча ишга тушган'!$AO:$AO,"&lt;01.10.2023",манзилли!$E:$E,"1"))</f>
        <v>0</v>
      </c>
      <c r="AM68" s="47">
        <f>(+SUMIFS('Қўшимча ишга тушган'!$V:$V,'Қўшимча ишга тушган'!$D:$D,'свод (сектор вилоят)'!$B$67,'Қўшимча ишга тушган'!$AO:$AO,"&lt;01.10.2023",манзилли!$E:$E,"1"))</f>
        <v>0</v>
      </c>
      <c r="AN68" s="47">
        <f>(+SUMIFS('Қўшимча ишга тушган'!$Z:$Z,'Қўшимча ишга тушган'!$D:$D,'свод (сектор вилоят)'!$B$67,'Қўшимча ишга тушган'!$AO:$AO,"&lt;01.10.2023",манзилли!$E:$E,"1"))</f>
        <v>0</v>
      </c>
      <c r="AO68" s="47">
        <f>(+SUMIFS('Қўшимча ишга тушган'!$AB:$AB,'Қўшимча ишга тушган'!$D:$D,'свод (сектор вилоят)'!$B$67,'Қўшимча ишга тушган'!$AO:$AO,"&lt;01.10.2023",манзилли!$E:$E,"1"))</f>
        <v>0</v>
      </c>
      <c r="AP68" s="47">
        <f>(+SUMIFS('Қўшимча ишга тушган'!$AD:$AD,'Қўшимча ишга тушган'!$D:$D,'свод (сектор вилоят)'!$B$67,'Қўшимча ишга тушган'!$AO:$AO,"&lt;01.10.2023",манзилли!$E:$E,"1"))</f>
        <v>0</v>
      </c>
      <c r="AQ68" s="48">
        <f>+SUMIFS('Қўшимча ишга тушган'!$AM:$AM,'Қўшимча ишга тушган'!$D:$D,'свод (сектор вилоят)'!$B$67,'Қўшимча ишга тушган'!$AO:$AO,"&lt;01.10.2023",манзилли!$E:$E,"1")</f>
        <v>0</v>
      </c>
      <c r="AR68" s="46">
        <f>+COUNTIFS(манзилли!$D:$D,'свод (сектор вилоят)'!$B$67,манзилли!$AA:$AA,"&lt;01.02.2021",манзилли!$AB:$AB,"",манзилли!$E:$E,"1")</f>
        <v>0</v>
      </c>
      <c r="AS68" s="47">
        <f>(+SUMIFS(манзилли!$K:$K,манзилли!$D:$D,'свод (сектор вилоят)'!$B$67,манзилли!$AA:$AA,"&lt;01.02.2021",манзилли!$AB:$AB,"",манзилли!$E:$E,"1"))</f>
        <v>0</v>
      </c>
      <c r="AT68" s="47">
        <f>(+SUMIFS(манзилли!$M:$M,манзилли!$D:$D,'свод (сектор вилоят)'!$B$67,манзилли!$AA:$AA,"&lt;01.02.2021",манзилли!$AB:$AB,"",манзилли!$E:$E,"1"))</f>
        <v>0</v>
      </c>
      <c r="AU68" s="47">
        <f>(+SUMIFS(манзилли!$Q:$Q,манзилли!$D:$D,'свод (сектор вилоят)'!$B$67,манзилли!$AA:$AA,"&lt;01.02.2021",манзилли!$AB:$AB,"",манзилли!$E:$E,"1"))</f>
        <v>0</v>
      </c>
      <c r="AV68" s="47">
        <f>(+SUMIFS(манзилли!$S:$S,манзилли!$D:$D,'свод (сектор вилоят)'!$B$67,манзилли!$AA:$AA,"&lt;01.02.2021",манзилли!$AB:$AB,"",манзилли!$E:$E,"1"))</f>
        <v>0</v>
      </c>
      <c r="AW68" s="47">
        <f>(+SUMIFS(манзилли!$U:$U,манзилли!$D:$D,'свод (сектор вилоят)'!$B$67,манзилли!$AA:$AA,"&lt;01.02.2021",манзилли!$AB:$AB,"",манзилли!$E:$E,"1"))</f>
        <v>0</v>
      </c>
      <c r="AX68" s="48">
        <f>+SUMIFS(манзилли!$Y:$Y,манзилли!$D:$D,'свод (сектор вилоят)'!$B$67,манзилли!$AA:$AA,"&lt;01.02.2021",манзилли!$AB:$AB,"",манзилли!$E:$E,"1")</f>
        <v>0</v>
      </c>
      <c r="AY68" s="46">
        <f>+COUNTIFS(манзилли!$D:$D,'свод (сектор вилоят)'!$B$67,манзилли!$AA:$AA,"&lt;01.01.2022",манзилли!$AB:$AB,"",манзилли!$E:$E,"1")</f>
        <v>5</v>
      </c>
      <c r="AZ68" s="47">
        <f>(+SUMIFS(манзилли!$K:$K,манзилли!$D:$D,'свод (сектор вилоят)'!$B$67,манзилли!$AA:$AA,"&lt;01.01.2022",манзилли!$AB:$AB,"",манзилли!$E:$E,"1"))</f>
        <v>53000</v>
      </c>
      <c r="BA68" s="47">
        <f>(+SUMIFS(манзилли!$M:$M,манзилли!$D:$D,'свод (сектор вилоят)'!$B$67,манзилли!$AA:$AA,"&lt;01.01.2022",манзилли!$AB:$AB,"",манзилли!$E:$E,"1"))</f>
        <v>8700</v>
      </c>
      <c r="BB68" s="47">
        <f>(+SUMIFS(манзилли!$Q:$Q,манзилли!$D:$D,'свод (сектор вилоят)'!$B$67,манзилли!$AA:$AA,"&lt;01.01.2022",манзилли!$AB:$AB,"",манзилли!$E:$E,"1"))</f>
        <v>13400</v>
      </c>
      <c r="BC68" s="47">
        <f>(+SUMIFS(манзилли!$S:$S,манзилли!$D:$D,'свод (сектор вилоят)'!$B$67,манзилли!$AA:$AA,"&lt;01.01.2022",манзилли!$AB:$AB,"",манзилли!$E:$E,"1"))</f>
        <v>0</v>
      </c>
      <c r="BD68" s="47">
        <f>(+SUMIFS(манзилли!$U:$U,манзилли!$D:$D,'свод (сектор вилоят)'!$B$67,манзилли!$AA:$AA,"&lt;01.01.2022",манзилли!$AB:$AB,"",манзилли!$E:$E,"1"))</f>
        <v>3000</v>
      </c>
      <c r="BE68" s="48">
        <f>+SUMIFS(манзилли!$Y:$Y,манзилли!$D:$D,'свод (сектор вилоят)'!$B$67,манзилли!$AA:$AA,"&lt;01.01.2022",манзилли!$AB:$AB,"",манзилли!$E:$E,"1")</f>
        <v>94</v>
      </c>
      <c r="BF68" s="46">
        <f>+COUNTIFS(манзилли!$D:$D,'свод (сектор вилоят)'!$B$67,манзилли!$AA:$AA,"&lt;01.01.2023",манзилли!$AA:$AA,"&gt;=01.01.2022",манзилли!$E:$E,"1")</f>
        <v>1</v>
      </c>
      <c r="BG68" s="47">
        <f>(+SUMIFS(манзилли!$K:$K,манзилли!$D:$D,'свод (сектор вилоят)'!$B$67,манзилли!$AA:$AA,"&lt;01.01.2023",манзилли!$AA:$AA,"&gt;=01.01.2022",манзилли!$E:$E,"1"))</f>
        <v>1200</v>
      </c>
      <c r="BH68" s="47">
        <f>(+SUMIFS(манзилли!$M:$M,манзилли!$D:$D,'свод (сектор вилоят)'!$B$67,манзилли!$AA:$AA,"&lt;01.01.2023",манзилли!$AA:$AA,"&gt;=01.01.2022",манзилли!$E:$E,"1"))</f>
        <v>400</v>
      </c>
      <c r="BI68" s="47">
        <f>(+SUMIFS(манзилли!$Q:$Q,манзилли!$D:$D,'свод (сектор вилоят)'!$B$67,манзилли!$AA:$AA,"&lt;01.01.2023",манзилли!$AA:$AA,"&gt;=01.01.2022",манзилли!$E:$E,"1"))</f>
        <v>800</v>
      </c>
      <c r="BJ68" s="47">
        <f>(+SUMIFS(манзилли!$S:$S,манзилли!$D:$D,'свод (сектор вилоят)'!$B$67,манзилли!$AA:$AA,"&lt;01.01.2023",манзилли!$AA:$AA,"&gt;=01.01.2022",манзилли!$E:$E,"1"))</f>
        <v>0</v>
      </c>
      <c r="BK68" s="47">
        <f>(+SUMIFS(манзилли!$U:$U,манзилли!$D:$D,'свод (сектор вилоят)'!$B$67,манзилли!$AA:$AA,"&lt;01.01.2023",манзилли!$AA:$AA,"&gt;=01.01.2022",манзилли!$E:$E,"1"))</f>
        <v>0</v>
      </c>
      <c r="BL68" s="48">
        <f>+SUMIFS(манзилли!$Y:$Y,манзилли!$D:$D,'свод (сектор вилоят)'!$B$67,манзилли!$AA:$AA,"&lt;01.01.2023",манзилли!$AA:$AA,"&gt;=01.01.2022",манзилли!$E:$E,"1")</f>
        <v>4</v>
      </c>
    </row>
    <row r="69" spans="1:64" s="3" customFormat="1" ht="39.75" customHeight="1">
      <c r="A69" s="51"/>
      <c r="B69" s="27" t="s">
        <v>1772</v>
      </c>
      <c r="C69" s="28">
        <f>+COUNTIFS(манзилли!$D:$D,'свод (сектор вилоят)'!$B$67,манзилли!$E:$E,"2")</f>
        <v>26</v>
      </c>
      <c r="D69" s="29">
        <f>(+SUMIFS(манзилли!$K:$K,манзилли!$D:$D,'свод (сектор вилоят)'!$B$67,манзилли!$E:$E,"2"))</f>
        <v>160315</v>
      </c>
      <c r="E69" s="29">
        <f>(+SUMIFS(манзилли!$M:$M,манзилли!$D:$D,'свод (сектор вилоят)'!$B$67,манзилли!$E:$E,"2"))</f>
        <v>75100</v>
      </c>
      <c r="F69" s="29">
        <f>(+SUMIFS(манзилли!$Q:$Q,манзилли!$D:$D,'свод (сектор вилоят)'!$B$67,манзилли!$E:$E,"2"))</f>
        <v>41440</v>
      </c>
      <c r="G69" s="29">
        <f>(+SUMIFS(манзилли!$S:$S,манзилли!$D:$D,'свод (сектор вилоят)'!$B$67,манзилли!$E:$E,"2"))</f>
        <v>3950</v>
      </c>
      <c r="H69" s="29">
        <f>(+SUMIFS(манзилли!$U:$U,манзилли!$D:$D,'свод (сектор вилоят)'!$B$67,манзилли!$E:$E,"2"))</f>
        <v>300</v>
      </c>
      <c r="I69" s="30">
        <f>+SUMIFS(манзилли!$Y:$Y,манзилли!$D:$D,'свод (сектор вилоят)'!$B$67,манзилли!$E:$E,"2")</f>
        <v>543</v>
      </c>
      <c r="J69" s="28">
        <f>(+COUNTIFS(манзилли!$L:$L,"&gt;0",манзилли!$D:$D,'свод (сектор вилоят)'!$B$67,манзилли!$E:$E,"2")+COUNTIFS('Қўшимча ишга тушган'!$T:$T,"&gt;0",'Қўшимча ишга тушган'!$D:$D,'свод (сектор вилоят)'!$B$67,'Қўшимча ишга тушган'!$E:$E,"2"))</f>
        <v>13</v>
      </c>
      <c r="K69" s="30">
        <f>(+SUMIFS(манзилли!$L:$L,манзилли!$D:$D,'свод (сектор вилоят)'!$B$67,манзилли!$E:$E,"2")+SUMIFS('Қўшимча ишга тушган'!$T:$T,'Қўшимча ишга тушган'!$D:$D,'свод (сектор вилоят)'!$B$67,'Қўшимча ишга тушган'!$E:$E,"2"))</f>
        <v>18689</v>
      </c>
      <c r="L69" s="31">
        <f>(+SUMIFS(манзилли!$N:$N,манзилли!$D:$D,'свод (сектор вилоят)'!$B$67,манзилли!$E:$E,"2")+SUMIFS('Қўшимча ишга тушган'!$V:$V,'Қўшимча ишга тушган'!$D:$D,'свод (сектор вилоят)'!$B$67,'Қўшимча ишга тушган'!$E:$E,"2"))</f>
        <v>4200</v>
      </c>
      <c r="M69" s="29">
        <f>(+SUMIFS(манзилли!$R:$R,манзилли!$D:$D,'свод (сектор вилоят)'!$B$67,манзилли!$E:$E,"2")+SUMIFS('Қўшимча ишга тушган'!$Z:$Z,'Қўшимча ишга тушган'!$D:$D,'свод (сектор вилоят)'!$B$67,'Қўшимча ишга тушган'!$E:$E,"2"))</f>
        <v>11939</v>
      </c>
      <c r="N69" s="29">
        <f>(+SUMIFS(манзилли!$T:$T,манзилли!$D:$D,'свод (сектор вилоят)'!$B$67,манзилли!$E:$E,"2")+SUMIFS('Қўшимча ишга тушган'!$AB:$AB,'Қўшимча ишга тушган'!$D:$D,'свод (сектор вилоят)'!$B$67,'Қўшимча ишга тушган'!$E:$E,"2"))</f>
        <v>250</v>
      </c>
      <c r="O69" s="30">
        <f>(+SUMIFS(манзилли!$V:$V,манзилли!$D:$D,'свод (сектор вилоят)'!$B$67,манзилли!$E:$E,"2")+SUMIFS('Қўшимча ишга тушган'!$AD:$AD,'Қўшимча ишга тушган'!$D:$D,'свод (сектор вилоят)'!$B$67,'Қўшимча ишга тушган'!$E:$E,"2"))</f>
        <v>0</v>
      </c>
      <c r="P69" s="28">
        <f>+COUNTIFS(манзилли!$D:$D,'свод (сектор вилоят)'!$B$67,манзилли!$AA:$AA,"&gt;31.12.2020",манзилли!$AA:$AA,"&lt;01.01.2022",манзилли!$E:$E,"2")</f>
        <v>18</v>
      </c>
      <c r="Q69" s="29">
        <f>(+SUMIFS(манзилли!$K:$K,манзилли!$D:$D,'свод (сектор вилоят)'!$B$67,манзилли!$AA:$AA,"&gt;31.12.2020",манзилли!$AA:$AA,"&lt;01.01.2022",манзилли!$E:$E,"2"))</f>
        <v>83550</v>
      </c>
      <c r="R69" s="29">
        <f>(+SUMIFS(манзилли!$M:$M,манзилли!$D:$D,'свод (сектор вилоят)'!$B$67,манзилли!$AA:$AA,"&gt;31.12.2020",манзилли!$AA:$AA,"&lt;01.01.2022",манзилли!$E:$E,"2"))</f>
        <v>36600</v>
      </c>
      <c r="S69" s="29">
        <f>(+SUMIFS(манзилли!$Q:$Q,манзилли!$D:$D,'свод (сектор вилоят)'!$B$67,манзилли!$AA:$AA,"&gt;31.12.2020",манзилли!$AA:$AA,"&lt;01.01.2022",манзилли!$E:$E,"2"))</f>
        <v>31500</v>
      </c>
      <c r="T69" s="29">
        <f>(+SUMIFS(манзилли!$S:$S,манзилли!$D:$D,'свод (сектор вилоят)'!$B$67,манзилли!$AA:$AA,"&gt;31.12.2020",манзилли!$AA:$AA,"&lt;01.01.2022",манзилли!$E:$E,"2"))</f>
        <v>1200</v>
      </c>
      <c r="U69" s="29">
        <f>(+SUMIFS(манзилли!$U:$U,манзилли!$D:$D,'свод (сектор вилоят)'!$B$67,манзилли!$AA:$AA,"&gt;31.12.2020",манзилли!$AA:$AA,"&lt;01.01.2022",манзилли!$E:$E,"2"))</f>
        <v>300</v>
      </c>
      <c r="V69" s="30">
        <f>+SUMIFS(манзилли!$Y:$Y,манзилли!$D:$D,'свод (сектор вилоят)'!$B$67,манзилли!$AA:$AA,"&gt;31.12.2020",манзилли!$AA:$AA,"&lt;01.01.2022",манзилли!$E:$E,"2")</f>
        <v>232</v>
      </c>
      <c r="W69" s="28">
        <f t="shared" ref="W69:W71" si="832">+AD69+AK69</f>
        <v>1</v>
      </c>
      <c r="X69" s="29">
        <f t="shared" si="826"/>
        <v>1200</v>
      </c>
      <c r="Y69" s="29">
        <f t="shared" si="827"/>
        <v>800</v>
      </c>
      <c r="Z69" s="29">
        <f t="shared" si="828"/>
        <v>400</v>
      </c>
      <c r="AA69" s="29">
        <f t="shared" si="829"/>
        <v>0</v>
      </c>
      <c r="AB69" s="29">
        <f t="shared" si="830"/>
        <v>0</v>
      </c>
      <c r="AC69" s="30">
        <f t="shared" si="831"/>
        <v>5</v>
      </c>
      <c r="AD69" s="28">
        <f>+COUNTIFS(манзилли!$D:$D,'свод (сектор вилоят)'!$B$67,манзилли!$AB:$AB,"&gt;31.12.2020",манзилли!$AA:$AA,"&gt;31.12.2020",манзилли!$AA:$AA,"&lt;01.01.2022",манзилли!$E:$E,"2")</f>
        <v>1</v>
      </c>
      <c r="AE69" s="29">
        <f>(+SUMIFS(манзилли!$L:$L,манзилли!$D:$D,'свод (сектор вилоят)'!$B$67,манзилли!$AB:$AB,"&gt;31.12.2020",манзилли!$AA:$AA,"&gt;31.12.2020",манзилли!$AA:$AA,"&lt;01.01.2022",манзилли!$E:$E,"2"))</f>
        <v>1200</v>
      </c>
      <c r="AF69" s="29">
        <f>(+SUMIFS(манзилли!$N:$N,манзилли!$D:$D,'свод (сектор вилоят)'!$B$67,манзилли!$AB:$AB,"&gt;31.12.2020",манзилли!$AA:$AA,"&gt;31.12.2020",манзилли!$AA:$AA,"&lt;01.01.2022",манзилли!$E:$E,"2"))</f>
        <v>800</v>
      </c>
      <c r="AG69" s="29">
        <f>(+SUMIFS(манзилли!$R:$R,манзилли!$D:$D,'свод (сектор вилоят)'!$B$67,манзилли!$AB:$AB,"&gt;31.12.2020",манзилли!$AA:$AA,"&gt;31.12.2020",манзилли!$AA:$AA,"&lt;01.01.2022",манзилли!$E:$E,"2"))</f>
        <v>400</v>
      </c>
      <c r="AH69" s="29">
        <f>(+SUMIFS(манзилли!$T:$T,манзилли!$D:$D,'свод (сектор вилоят)'!$B$67,манзилли!$AB:$AB,"&gt;31.12.2020",манзилли!$AA:$AA,"&gt;31.12.2020",манзилли!$AA:$AA,"&lt;01.01.2022",манзилли!$E:$E,"2"))</f>
        <v>0</v>
      </c>
      <c r="AI69" s="29">
        <f>(+SUMIFS(манзилли!$V:$V,манзилли!$D:$D,'свод (сектор вилоят)'!$B$67,манзилли!$AB:$AB,"&gt;31.12.2020",манзилли!$AA:$AA,"&gt;31.12.2020",манзилли!$AA:$AA,"&lt;01.01.2022",манзилли!$E:$E,"2"))</f>
        <v>0</v>
      </c>
      <c r="AJ69" s="30">
        <f>+SUMIFS(манзилли!$Z:$Z,манзилли!$D:$D,'свод (сектор вилоят)'!$B$67,манзилли!$AB:$AB,"&gt;31.12.2020",манзилли!$AA:$AA,"&gt;31.12.2020",манзилли!$AA:$AA,"&lt;01.01.2022",манзилли!$E:$E,"2")</f>
        <v>5</v>
      </c>
      <c r="AK69" s="28">
        <f>+COUNTIFS('Қўшимча ишга тушган'!$D:$D,'свод (сектор вилоят)'!B67,'Қўшимча ишга тушган'!$AO:$AO,"&lt;01.10.2023",манзилли!$E:$E,"2")</f>
        <v>0</v>
      </c>
      <c r="AL69" s="29">
        <f>(+SUMIFS('Қўшимча ишга тушган'!$T:$T,'Қўшимча ишга тушган'!$D:$D,'свод (сектор вилоят)'!$B$67,'Қўшимча ишга тушган'!$AO:$AO,"&lt;01.10.2023",манзилли!$E:$E,"2"))</f>
        <v>0</v>
      </c>
      <c r="AM69" s="29">
        <f>(+SUMIFS('Қўшимча ишга тушган'!$V:$V,'Қўшимча ишга тушган'!$D:$D,'свод (сектор вилоят)'!$B$67,'Қўшимча ишга тушган'!$AO:$AO,"&lt;01.10.2023",манзилли!$E:$E,"2"))</f>
        <v>0</v>
      </c>
      <c r="AN69" s="29">
        <f>(+SUMIFS('Қўшимча ишга тушган'!$Z:$Z,'Қўшимча ишга тушган'!$D:$D,'свод (сектор вилоят)'!$B$67,'Қўшимча ишга тушган'!$AO:$AO,"&lt;01.10.2023",манзилли!$E:$E,"2"))</f>
        <v>0</v>
      </c>
      <c r="AO69" s="29">
        <f>(+SUMIFS('Қўшимча ишга тушган'!$AB:$AB,'Қўшимча ишга тушган'!$D:$D,'свод (сектор вилоят)'!$B$67,'Қўшимча ишга тушган'!$AO:$AO,"&lt;01.10.2023",манзилли!$E:$E,"2"))</f>
        <v>0</v>
      </c>
      <c r="AP69" s="29">
        <f>(+SUMIFS('Қўшимча ишга тушган'!$AD:$AD,'Қўшимча ишга тушган'!$D:$D,'свод (сектор вилоят)'!$B$67,'Қўшимча ишга тушган'!$AO:$AO,"&lt;01.10.2023",манзилли!$E:$E,"2"))</f>
        <v>0</v>
      </c>
      <c r="AQ69" s="30">
        <f>+SUMIFS('Қўшимча ишга тушган'!$AM:$AM,'Қўшимча ишга тушган'!$D:$D,'свод (сектор вилоят)'!$B$67,'Қўшимча ишга тушган'!$AO:$AO,"&lt;01.10.2023",манзилли!$E:$E,"2")</f>
        <v>0</v>
      </c>
      <c r="AR69" s="28">
        <f>+COUNTIFS(манзилли!$D:$D,'свод (сектор вилоят)'!$B$67,манзилли!$AA:$AA,"&lt;01.02.2021",манзилли!$AB:$AB,"",манзилли!$E:$E,"2")</f>
        <v>0</v>
      </c>
      <c r="AS69" s="29">
        <f>(+SUMIFS(манзилли!$K:$K,манзилли!$D:$D,'свод (сектор вилоят)'!$B$67,манзилли!$AA:$AA,"&lt;01.02.2021",манзилли!$AB:$AB,"",манзилли!$E:$E,"2"))</f>
        <v>0</v>
      </c>
      <c r="AT69" s="29">
        <f>(+SUMIFS(манзилли!$M:$M,манзилли!$D:$D,'свод (сектор вилоят)'!$B$67,манзилли!$AA:$AA,"&lt;01.02.2021",манзилли!$AB:$AB,"",манзилли!$E:$E,"2"))</f>
        <v>0</v>
      </c>
      <c r="AU69" s="29">
        <f>(+SUMIFS(манзилли!$Q:$Q,манзилли!$D:$D,'свод (сектор вилоят)'!$B$67,манзилли!$AA:$AA,"&lt;01.02.2021",манзилли!$AB:$AB,"",манзилли!$E:$E,"2"))</f>
        <v>0</v>
      </c>
      <c r="AV69" s="29">
        <f>(+SUMIFS(манзилли!$S:$S,манзилли!$D:$D,'свод (сектор вилоят)'!$B$67,манзилли!$AA:$AA,"&lt;01.02.2021",манзилли!$AB:$AB,"",манзилли!$E:$E,"2"))</f>
        <v>0</v>
      </c>
      <c r="AW69" s="29">
        <f>(+SUMIFS(манзилли!$U:$U,манзилли!$D:$D,'свод (сектор вилоят)'!$B$67,манзилли!$AA:$AA,"&lt;01.02.2021",манзилли!$AB:$AB,"",манзилли!$E:$E,"2"))</f>
        <v>0</v>
      </c>
      <c r="AX69" s="30">
        <f>+SUMIFS(манзилли!$Y:$Y,манзилли!$D:$D,'свод (сектор вилоят)'!$B$67,манзилли!$AA:$AA,"&lt;01.02.2021",манзилли!$AB:$AB,"",манзилли!$E:$E,"2")</f>
        <v>0</v>
      </c>
      <c r="AY69" s="28">
        <f>+COUNTIFS(манзилли!$D:$D,'свод (сектор вилоят)'!$B$67,манзилли!$AA:$AA,"&lt;01.01.2022",манзилли!$AB:$AB,"",манзилли!$E:$E,"2")</f>
        <v>14</v>
      </c>
      <c r="AZ69" s="29">
        <f>(+SUMIFS(манзилли!$K:$K,манзилли!$D:$D,'свод (сектор вилоят)'!$B$67,манзилли!$AA:$AA,"&lt;01.01.2022",манзилли!$AB:$AB,"",манзилли!$E:$E,"2"))</f>
        <v>74600</v>
      </c>
      <c r="BA69" s="29">
        <f>(+SUMIFS(манзилли!$M:$M,манзилли!$D:$D,'свод (сектор вилоят)'!$B$67,манзилли!$AA:$AA,"&lt;01.01.2022",манзилли!$AB:$AB,"",манзилли!$E:$E,"2"))</f>
        <v>35150</v>
      </c>
      <c r="BB69" s="29">
        <f>(+SUMIFS(манзилли!$Q:$Q,манзилли!$D:$D,'свод (сектор вилоят)'!$B$67,манзилли!$AA:$AA,"&lt;01.01.2022",манзилли!$AB:$AB,"",манзилли!$E:$E,"2"))</f>
        <v>24000</v>
      </c>
      <c r="BC69" s="29">
        <f>(+SUMIFS(манзилли!$S:$S,манзилли!$D:$D,'свод (сектор вилоят)'!$B$67,манзилли!$AA:$AA,"&lt;01.01.2022",манзилли!$AB:$AB,"",манзилли!$E:$E,"2"))</f>
        <v>1200</v>
      </c>
      <c r="BD69" s="29">
        <f>(+SUMIFS(манзилли!$U:$U,манзилли!$D:$D,'свод (сектор вилоят)'!$B$67,манзилли!$AA:$AA,"&lt;01.01.2022",манзилли!$AB:$AB,"",манзилли!$E:$E,"2"))</f>
        <v>300</v>
      </c>
      <c r="BE69" s="30">
        <f>+SUMIFS(манзилли!$Y:$Y,манзилли!$D:$D,'свод (сектор вилоят)'!$B$67,манзилли!$AA:$AA,"&lt;01.01.2022",манзилли!$AB:$AB,"",манзилли!$E:$E,"2")</f>
        <v>194</v>
      </c>
      <c r="BF69" s="28">
        <f>+COUNTIFS(манзилли!$D:$D,'свод (сектор вилоят)'!$B$67,манзилли!$AA:$AA,"&lt;01.01.2023",манзилли!$AA:$AA,"&gt;=01.01.2022",манзилли!$E:$E,"2")</f>
        <v>5</v>
      </c>
      <c r="BG69" s="29">
        <f>(+SUMIFS(манзилли!$K:$K,манзилли!$D:$D,'свод (сектор вилоят)'!$B$67,манзилли!$AA:$AA,"&lt;01.01.2023",манзилли!$AA:$AA,"&gt;=01.01.2022",манзилли!$E:$E,"2"))</f>
        <v>72325</v>
      </c>
      <c r="BH69" s="29">
        <f>(+SUMIFS(манзилли!$M:$M,манзилли!$D:$D,'свод (сектор вилоят)'!$B$67,манзилли!$AA:$AA,"&lt;01.01.2023",манзилли!$AA:$AA,"&gt;=01.01.2022",манзилли!$E:$E,"2"))</f>
        <v>36000</v>
      </c>
      <c r="BI69" s="29">
        <f>(+SUMIFS(манзилли!$Q:$Q,манзилли!$D:$D,'свод (сектор вилоят)'!$B$67,манзилли!$AA:$AA,"&lt;01.01.2023",манзилли!$AA:$AA,"&gt;=01.01.2022",манзилли!$E:$E,"2"))</f>
        <v>8000</v>
      </c>
      <c r="BJ69" s="29">
        <f>(+SUMIFS(манзилли!$S:$S,манзилли!$D:$D,'свод (сектор вилоят)'!$B$67,манзилли!$AA:$AA,"&lt;01.01.2023",манзилли!$AA:$AA,"&gt;=01.01.2022",манзилли!$E:$E,"2"))</f>
        <v>2750</v>
      </c>
      <c r="BK69" s="29">
        <f>(+SUMIFS(манзилли!$U:$U,манзилли!$D:$D,'свод (сектор вилоят)'!$B$67,манзилли!$AA:$AA,"&lt;01.01.2023",манзилли!$AA:$AA,"&gt;=01.01.2022",манзилли!$E:$E,"2"))</f>
        <v>0</v>
      </c>
      <c r="BL69" s="30">
        <f>+SUMIFS(манзилли!$Y:$Y,манзилли!$D:$D,'свод (сектор вилоят)'!$B$67,манзилли!$AA:$AA,"&lt;01.01.2023",манзилли!$AA:$AA,"&gt;=01.01.2022",манзилли!$E:$E,"2")</f>
        <v>290</v>
      </c>
    </row>
    <row r="70" spans="1:64" s="3" customFormat="1" ht="39.75" customHeight="1">
      <c r="A70" s="51"/>
      <c r="B70" s="27" t="s">
        <v>1773</v>
      </c>
      <c r="C70" s="28">
        <f>+COUNTIFS(манзилли!$D:$D,'свод (сектор вилоят)'!$B$67,манзилли!$E:$E,"3")</f>
        <v>4</v>
      </c>
      <c r="D70" s="29">
        <f>(+SUMIFS(манзилли!$K:$K,манзилли!$D:$D,'свод (сектор вилоят)'!$B$67,манзилли!$E:$E,"3"))</f>
        <v>32790</v>
      </c>
      <c r="E70" s="29">
        <f>(+SUMIFS(манзилли!$M:$M,манзилли!$D:$D,'свод (сектор вилоят)'!$B$67,манзилли!$E:$E,"3"))</f>
        <v>20700</v>
      </c>
      <c r="F70" s="29">
        <f>(+SUMIFS(манзилли!$Q:$Q,манзилли!$D:$D,'свод (сектор вилоят)'!$B$67,манзилли!$E:$E,"3"))</f>
        <v>9000</v>
      </c>
      <c r="G70" s="29">
        <f>(+SUMIFS(манзилли!$S:$S,манзилли!$D:$D,'свод (сектор вилоят)'!$B$67,манзилли!$E:$E,"3"))</f>
        <v>300</v>
      </c>
      <c r="H70" s="29">
        <f>(+SUMIFS(манзилли!$U:$U,манзилли!$D:$D,'свод (сектор вилоят)'!$B$67,манзилли!$E:$E,"3"))</f>
        <v>0</v>
      </c>
      <c r="I70" s="30">
        <f>+SUMIFS(манзилли!$Y:$Y,манзилли!$D:$D,'свод (сектор вилоят)'!$B$67,манзилли!$E:$E,"3")</f>
        <v>97</v>
      </c>
      <c r="J70" s="28">
        <f>(+COUNTIFS(манзилли!$L:$L,"&gt;0",манзилли!$D:$D,'свод (сектор вилоят)'!$B$67,манзилли!$E:$E,"3")+COUNTIFS('Қўшимча ишга тушган'!$T:$T,"&gt;0",'Қўшимча ишга тушган'!$D:$D,'свод (сектор вилоят)'!$B$67,'Қўшимча ишга тушган'!$E:$E,"3"))</f>
        <v>3</v>
      </c>
      <c r="K70" s="30">
        <f>(+SUMIFS(манзилли!$L:$L,манзилли!$D:$D,'свод (сектор вилоят)'!$B$67,манзилли!$E:$E,"3")+SUMIFS('Қўшимча ишга тушган'!$T:$T,'Қўшимча ишга тушган'!$D:$D,'свод (сектор вилоят)'!$B$67,'Қўшимча ишга тушган'!$E:$E,"3"))</f>
        <v>7200</v>
      </c>
      <c r="L70" s="31">
        <f>(+SUMIFS(манзилли!$N:$N,манзилли!$D:$D,'свод (сектор вилоят)'!$B$67,манзилли!$E:$E,"3")+SUMIFS('Қўшимча ишга тушган'!$V:$V,'Қўшимча ишга тушган'!$D:$D,'свод (сектор вилоят)'!$B$67,'Қўшимча ишга тушган'!$E:$E,"3"))</f>
        <v>243</v>
      </c>
      <c r="M70" s="29">
        <f>(+SUMIFS(манзилли!$R:$R,манзилли!$D:$D,'свод (сектор вилоят)'!$B$67,манзилли!$E:$E,"3")+SUMIFS('Қўшимча ишга тушган'!$Z:$Z,'Қўшимча ишга тушган'!$D:$D,'свод (сектор вилоят)'!$B$67,'Қўшимча ишга тушган'!$E:$E,"3"))</f>
        <v>6957</v>
      </c>
      <c r="N70" s="29">
        <f>(+SUMIFS(манзилли!$T:$T,манзилли!$D:$D,'свод (сектор вилоят)'!$B$67,манзилли!$E:$E,"3")+SUMIFS('Қўшимча ишга тушган'!$AB:$AB,'Қўшимча ишга тушган'!$D:$D,'свод (сектор вилоят)'!$B$67,'Қўшимча ишга тушган'!$E:$E,"3"))</f>
        <v>0</v>
      </c>
      <c r="O70" s="30">
        <f>(+SUMIFS(манзилли!$V:$V,манзилли!$D:$D,'свод (сектор вилоят)'!$B$67,манзилли!$E:$E,"3")+SUMIFS('Қўшимча ишга тушган'!$AD:$AD,'Қўшимча ишга тушган'!$D:$D,'свод (сектор вилоят)'!$B$67,'Қўшимча ишга тушган'!$E:$E,"3"))</f>
        <v>0</v>
      </c>
      <c r="P70" s="28">
        <f>+COUNTIFS(манзилли!$D:$D,'свод (сектор вилоят)'!$B$67,манзилли!$AA:$AA,"&gt;31.12.2020",манзилли!$AA:$AA,"&lt;01.01.2022",манзилли!$E:$E,"3")</f>
        <v>2</v>
      </c>
      <c r="Q70" s="29">
        <f>(+SUMIFS(манзилли!$K:$K,манзилли!$D:$D,'свод (сектор вилоят)'!$B$67,манзилли!$AA:$AA,"&gt;31.12.2020",манзилли!$AA:$AA,"&lt;01.01.2022",манзилли!$E:$E,"3"))</f>
        <v>19590</v>
      </c>
      <c r="R70" s="29">
        <f>(+SUMIFS(манзилли!$M:$M,манзилли!$D:$D,'свод (сектор вилоят)'!$B$67,манзилли!$AA:$AA,"&gt;31.12.2020",манзилли!$AA:$AA,"&lt;01.01.2022",манзилли!$E:$E,"3"))</f>
        <v>16500</v>
      </c>
      <c r="S70" s="29">
        <f>(+SUMIFS(манзилли!$Q:$Q,манзилли!$D:$D,'свод (сектор вилоят)'!$B$67,манзилли!$AA:$AA,"&gt;31.12.2020",манзилли!$AA:$AA,"&lt;01.01.2022",манзилли!$E:$E,"3"))</f>
        <v>0</v>
      </c>
      <c r="T70" s="29">
        <f>(+SUMIFS(манзилли!$S:$S,манзилли!$D:$D,'свод (сектор вилоят)'!$B$67,манзилли!$AA:$AA,"&gt;31.12.2020",манзилли!$AA:$AA,"&lt;01.01.2022",манзилли!$E:$E,"3"))</f>
        <v>300</v>
      </c>
      <c r="U70" s="29">
        <f>(+SUMIFS(манзилли!$U:$U,манзилли!$D:$D,'свод (сектор вилоят)'!$B$67,манзилли!$AA:$AA,"&gt;31.12.2020",манзилли!$AA:$AA,"&lt;01.01.2022",манзилли!$E:$E,"3"))</f>
        <v>0</v>
      </c>
      <c r="V70" s="30">
        <f>+SUMIFS(манзилли!$Y:$Y,манзилли!$D:$D,'свод (сектор вилоят)'!$B$67,манзилли!$AA:$AA,"&gt;31.12.2020",манзилли!$AA:$AA,"&lt;01.01.2022",манзилли!$E:$E,"3")</f>
        <v>70</v>
      </c>
      <c r="W70" s="28">
        <f t="shared" si="832"/>
        <v>0</v>
      </c>
      <c r="X70" s="29">
        <f t="shared" si="826"/>
        <v>0</v>
      </c>
      <c r="Y70" s="29">
        <f t="shared" si="827"/>
        <v>0</v>
      </c>
      <c r="Z70" s="29">
        <f t="shared" si="828"/>
        <v>0</v>
      </c>
      <c r="AA70" s="29">
        <f t="shared" si="829"/>
        <v>0</v>
      </c>
      <c r="AB70" s="29">
        <f t="shared" si="830"/>
        <v>0</v>
      </c>
      <c r="AC70" s="30">
        <f t="shared" si="831"/>
        <v>0</v>
      </c>
      <c r="AD70" s="28">
        <f>+COUNTIFS(манзилли!$D:$D,'свод (сектор вилоят)'!$B$67,манзилли!$AB:$AB,"&gt;31.12.2020",манзилли!$AA:$AA,"&gt;31.12.2020",манзилли!$AA:$AA,"&lt;01.01.2022",манзилли!$E:$E,"3")</f>
        <v>0</v>
      </c>
      <c r="AE70" s="29">
        <f>(+SUMIFS(манзилли!$L:$L,манзилли!$D:$D,'свод (сектор вилоят)'!$B$67,манзилли!$AB:$AB,"&gt;31.12.2020",манзилли!$AA:$AA,"&gt;31.12.2020",манзилли!$AA:$AA,"&lt;01.01.2022",манзилли!$E:$E,"3"))</f>
        <v>0</v>
      </c>
      <c r="AF70" s="29">
        <f>(+SUMIFS(манзилли!$N:$N,манзилли!$D:$D,'свод (сектор вилоят)'!$B$67,манзилли!$AB:$AB,"&gt;31.12.2020",манзилли!$AA:$AA,"&gt;31.12.2020",манзилли!$AA:$AA,"&lt;01.01.2022",манзилли!$E:$E,"3"))</f>
        <v>0</v>
      </c>
      <c r="AG70" s="29">
        <f>(+SUMIFS(манзилли!$R:$R,манзилли!$D:$D,'свод (сектор вилоят)'!$B$67,манзилли!$AB:$AB,"&gt;31.12.2020",манзилли!$AA:$AA,"&gt;31.12.2020",манзилли!$AA:$AA,"&lt;01.01.2022",манзилли!$E:$E,"3"))</f>
        <v>0</v>
      </c>
      <c r="AH70" s="29">
        <f>(+SUMIFS(манзилли!$T:$T,манзилли!$D:$D,'свод (сектор вилоят)'!$B$67,манзилли!$AB:$AB,"&gt;31.12.2020",манзилли!$AA:$AA,"&gt;31.12.2020",манзилли!$AA:$AA,"&lt;01.01.2022",манзилли!$E:$E,"3"))</f>
        <v>0</v>
      </c>
      <c r="AI70" s="29">
        <f>(+SUMIFS(манзилли!$V:$V,манзилли!$D:$D,'свод (сектор вилоят)'!$B$67,манзилли!$AB:$AB,"&gt;31.12.2020",манзилли!$AA:$AA,"&gt;31.12.2020",манзилли!$AA:$AA,"&lt;01.01.2022",манзилли!$E:$E,"3"))</f>
        <v>0</v>
      </c>
      <c r="AJ70" s="30">
        <f>+SUMIFS(манзилли!$Z:$Z,манзилли!$D:$D,'свод (сектор вилоят)'!$B$67,манзилли!$AB:$AB,"&gt;31.12.2020",манзилли!$AA:$AA,"&gt;31.12.2020",манзилли!$AA:$AA,"&lt;01.01.2022",манзилли!$E:$E,"3")</f>
        <v>0</v>
      </c>
      <c r="AK70" s="28">
        <f>+COUNTIFS('Қўшимча ишга тушган'!$D:$D,'свод (сектор вилоят)'!B67,'Қўшимча ишга тушган'!$AO:$AO,"&lt;01.10.2023",манзилли!$E:$E,"3")</f>
        <v>0</v>
      </c>
      <c r="AL70" s="29">
        <f>(+SUMIFS('Қўшимча ишга тушган'!$T:$T,'Қўшимча ишга тушган'!$D:$D,'свод (сектор вилоят)'!$B$67,'Қўшимча ишга тушган'!$AO:$AO,"&lt;01.10.2023",манзилли!$E:$E,"3"))</f>
        <v>0</v>
      </c>
      <c r="AM70" s="29">
        <f>(+SUMIFS('Қўшимча ишга тушган'!$V:$V,'Қўшимча ишга тушган'!$D:$D,'свод (сектор вилоят)'!$B$67,'Қўшимча ишга тушган'!$AO:$AO,"&lt;01.10.2023",манзилли!$E:$E,"3"))</f>
        <v>0</v>
      </c>
      <c r="AN70" s="29">
        <f>(+SUMIFS('Қўшимча ишга тушган'!$Z:$Z,'Қўшимча ишга тушган'!$D:$D,'свод (сектор вилоят)'!$B$67,'Қўшимча ишга тушган'!$AO:$AO,"&lt;01.10.2023",манзилли!$E:$E,"3"))</f>
        <v>0</v>
      </c>
      <c r="AO70" s="29">
        <f>(+SUMIFS('Қўшимча ишга тушган'!$AB:$AB,'Қўшимча ишга тушган'!$D:$D,'свод (сектор вилоят)'!$B$67,'Қўшимча ишга тушган'!$AO:$AO,"&lt;01.10.2023",манзилли!$E:$E,"3"))</f>
        <v>0</v>
      </c>
      <c r="AP70" s="29">
        <f>(+SUMIFS('Қўшимча ишга тушган'!$AD:$AD,'Қўшимча ишга тушган'!$D:$D,'свод (сектор вилоят)'!$B$67,'Қўшимча ишга тушган'!$AO:$AO,"&lt;01.10.2023",манзилли!$E:$E,"3"))</f>
        <v>0</v>
      </c>
      <c r="AQ70" s="30">
        <f>+SUMIFS('Қўшимча ишга тушган'!$AM:$AM,'Қўшимча ишга тушган'!$D:$D,'свод (сектор вилоят)'!$B$67,'Қўшимча ишга тушган'!$AO:$AO,"&lt;01.10.2023",манзилли!$E:$E,"3")</f>
        <v>0</v>
      </c>
      <c r="AR70" s="28">
        <f>+COUNTIFS(манзилли!$D:$D,'свод (сектор вилоят)'!$B$67,манзилли!$AA:$AA,"&lt;01.02.2021",манзилли!$AB:$AB,"",манзилли!$E:$E,"3")</f>
        <v>0</v>
      </c>
      <c r="AS70" s="29">
        <f>(+SUMIFS(манзилли!$K:$K,манзилли!$D:$D,'свод (сектор вилоят)'!$B$67,манзилли!$AA:$AA,"&lt;01.02.2021",манзилли!$AB:$AB,"",манзилли!$E:$E,"3"))</f>
        <v>0</v>
      </c>
      <c r="AT70" s="29">
        <f>(+SUMIFS(манзилли!$M:$M,манзилли!$D:$D,'свод (сектор вилоят)'!$B$67,манзилли!$AA:$AA,"&lt;01.02.2021",манзилли!$AB:$AB,"",манзилли!$E:$E,"3"))</f>
        <v>0</v>
      </c>
      <c r="AU70" s="29">
        <f>(+SUMIFS(манзилли!$Q:$Q,манзилли!$D:$D,'свод (сектор вилоят)'!$B$67,манзилли!$AA:$AA,"&lt;01.02.2021",манзилли!$AB:$AB,"",манзилли!$E:$E,"3"))</f>
        <v>0</v>
      </c>
      <c r="AV70" s="29">
        <f>(+SUMIFS(манзилли!$S:$S,манзилли!$D:$D,'свод (сектор вилоят)'!$B$67,манзилли!$AA:$AA,"&lt;01.02.2021",манзилли!$AB:$AB,"",манзилли!$E:$E,"3"))</f>
        <v>0</v>
      </c>
      <c r="AW70" s="29">
        <f>(+SUMIFS(манзилли!$U:$U,манзилли!$D:$D,'свод (сектор вилоят)'!$B$67,манзилли!$AA:$AA,"&lt;01.02.2021",манзилли!$AB:$AB,"",манзилли!$E:$E,"3"))</f>
        <v>0</v>
      </c>
      <c r="AX70" s="30">
        <f>+SUMIFS(манзилли!$Y:$Y,манзилли!$D:$D,'свод (сектор вилоят)'!$B$67,манзилли!$AA:$AA,"&lt;01.02.2021",манзилли!$AB:$AB,"",манзилли!$E:$E,"3")</f>
        <v>0</v>
      </c>
      <c r="AY70" s="28">
        <f>+COUNTIFS(манзилли!$D:$D,'свод (сектор вилоят)'!$B$67,манзилли!$AA:$AA,"&lt;01.01.2022",манзилли!$AB:$AB,"",манзилли!$E:$E,"3")</f>
        <v>2</v>
      </c>
      <c r="AZ70" s="29">
        <f>(+SUMIFS(манзилли!$K:$K,манзилли!$D:$D,'свод (сектор вилоят)'!$B$67,манзилли!$AA:$AA,"&lt;01.01.2022",манзилли!$AB:$AB,"",манзилли!$E:$E,"3"))</f>
        <v>19590</v>
      </c>
      <c r="BA70" s="29">
        <f>(+SUMIFS(манзилли!$M:$M,манзилли!$D:$D,'свод (сектор вилоят)'!$B$67,манзилли!$AA:$AA,"&lt;01.01.2022",манзилли!$AB:$AB,"",манзилли!$E:$E,"3"))</f>
        <v>16500</v>
      </c>
      <c r="BB70" s="29">
        <f>(+SUMIFS(манзилли!$Q:$Q,манзилли!$D:$D,'свод (сектор вилоят)'!$B$67,манзилли!$AA:$AA,"&lt;01.01.2022",манзилли!$AB:$AB,"",манзилли!$E:$E,"3"))</f>
        <v>0</v>
      </c>
      <c r="BC70" s="29">
        <f>(+SUMIFS(манзилли!$S:$S,манзилли!$D:$D,'свод (сектор вилоят)'!$B$67,манзилли!$AA:$AA,"&lt;01.01.2022",манзилли!$AB:$AB,"",манзилли!$E:$E,"3"))</f>
        <v>300</v>
      </c>
      <c r="BD70" s="29">
        <f>(+SUMIFS(манзилли!$U:$U,манзилли!$D:$D,'свод (сектор вилоят)'!$B$67,манзилли!$AA:$AA,"&lt;01.01.2022",манзилли!$AB:$AB,"",манзилли!$E:$E,"3"))</f>
        <v>0</v>
      </c>
      <c r="BE70" s="30">
        <f>+SUMIFS(манзилли!$Y:$Y,манзилли!$D:$D,'свод (сектор вилоят)'!$B$67,манзилли!$AA:$AA,"&lt;01.01.2022",манзилли!$AB:$AB,"",манзилли!$E:$E,"3")</f>
        <v>70</v>
      </c>
      <c r="BF70" s="28">
        <f>+COUNTIFS(манзилли!$D:$D,'свод (сектор вилоят)'!$B$67,манзилли!$AA:$AA,"&lt;01.01.2023",манзилли!$AA:$AA,"&gt;=01.01.2022",манзилли!$E:$E,"3")</f>
        <v>1</v>
      </c>
      <c r="BG70" s="29">
        <f>(+SUMIFS(манзилли!$K:$K,манзилли!$D:$D,'свод (сектор вилоят)'!$B$67,манзилли!$AA:$AA,"&lt;01.01.2023",манзилли!$AA:$AA,"&gt;=01.01.2022",манзилли!$E:$E,"3"))</f>
        <v>12000</v>
      </c>
      <c r="BH70" s="29">
        <f>(+SUMIFS(манзилли!$M:$M,манзилли!$D:$D,'свод (сектор вилоят)'!$B$67,манзилли!$AA:$AA,"&lt;01.01.2023",манзилли!$AA:$AA,"&gt;=01.01.2022",манзилли!$E:$E,"3"))</f>
        <v>4000</v>
      </c>
      <c r="BI70" s="29">
        <f>(+SUMIFS(манзилли!$Q:$Q,манзилли!$D:$D,'свод (сектор вилоят)'!$B$67,манзилли!$AA:$AA,"&lt;01.01.2023",манзилли!$AA:$AA,"&gt;=01.01.2022",манзилли!$E:$E,"3"))</f>
        <v>8000</v>
      </c>
      <c r="BJ70" s="29">
        <f>(+SUMIFS(манзилли!$S:$S,манзилли!$D:$D,'свод (сектор вилоят)'!$B$67,манзилли!$AA:$AA,"&lt;01.01.2023",манзилли!$AA:$AA,"&gt;=01.01.2022",манзилли!$E:$E,"3"))</f>
        <v>0</v>
      </c>
      <c r="BK70" s="29">
        <f>(+SUMIFS(манзилли!$U:$U,манзилли!$D:$D,'свод (сектор вилоят)'!$B$67,манзилли!$AA:$AA,"&lt;01.01.2023",манзилли!$AA:$AA,"&gt;=01.01.2022",манзилли!$E:$E,"3"))</f>
        <v>0</v>
      </c>
      <c r="BL70" s="30">
        <f>+SUMIFS(манзилли!$Y:$Y,манзилли!$D:$D,'свод (сектор вилоят)'!$B$67,манзилли!$AA:$AA,"&lt;01.01.2023",манзилли!$AA:$AA,"&gt;=01.01.2022",манзилли!$E:$E,"3")</f>
        <v>25</v>
      </c>
    </row>
    <row r="71" spans="1:64" s="3" customFormat="1" ht="39.75" customHeight="1" thickBot="1">
      <c r="A71" s="55"/>
      <c r="B71" s="36" t="s">
        <v>1774</v>
      </c>
      <c r="C71" s="37">
        <f>+COUNTIFS(манзилли!$D:$D,'свод (сектор вилоят)'!$B$67,манзилли!$E:$E,"4")</f>
        <v>13</v>
      </c>
      <c r="D71" s="38">
        <f>(+SUMIFS(манзилли!$K:$K,манзилли!$D:$D,'свод (сектор вилоят)'!$B$67,манзилли!$E:$E,"4"))</f>
        <v>46708.6</v>
      </c>
      <c r="E71" s="38">
        <f>(+SUMIFS(манзилли!$M:$M,манзилли!$D:$D,'свод (сектор вилоят)'!$B$67,манзилли!$E:$E,"4"))</f>
        <v>23877</v>
      </c>
      <c r="F71" s="38">
        <f>(+SUMIFS(манзилли!$Q:$Q,манзилли!$D:$D,'свод (сектор вилоят)'!$B$67,манзилли!$E:$E,"4"))</f>
        <v>8700</v>
      </c>
      <c r="G71" s="38">
        <f>(+SUMIFS(манзилли!$S:$S,манзилли!$D:$D,'свод (сектор вилоят)'!$B$67,манзилли!$E:$E,"4"))</f>
        <v>1372</v>
      </c>
      <c r="H71" s="38">
        <f>(+SUMIFS(манзилли!$U:$U,манзилли!$D:$D,'свод (сектор вилоят)'!$B$67,манзилли!$E:$E,"4"))</f>
        <v>0</v>
      </c>
      <c r="I71" s="39">
        <f>+SUMIFS(манзилли!$Y:$Y,манзилли!$D:$D,'свод (сектор вилоят)'!$B$67,манзилли!$E:$E,"4")</f>
        <v>132</v>
      </c>
      <c r="J71" s="37">
        <f>(+COUNTIFS(манзилли!$L:$L,"&gt;0",манзилли!$D:$D,'свод (сектор вилоят)'!$B$67,манзилли!$E:$E,"4")+COUNTIFS('Қўшимча ишга тушган'!$T:$T,"&gt;0",'Қўшимча ишга тушган'!$D:$D,'свод (сектор вилоят)'!$B$67,'Қўшимча ишга тушган'!$E:$E,"4"))</f>
        <v>7</v>
      </c>
      <c r="K71" s="39">
        <f>(+SUMIFS(манзилли!$L:$L,манзилли!$D:$D,'свод (сектор вилоят)'!$B$67,манзилли!$E:$E,"4")+SUMIFS('Қўшимча ишга тушган'!$T:$T,'Қўшимча ишга тушган'!$D:$D,'свод (сектор вилоят)'!$B$67,'Қўшимча ишга тушган'!$E:$E,"4"))</f>
        <v>10630</v>
      </c>
      <c r="L71" s="40">
        <f>(+SUMIFS(манзилли!$N:$N,манзилли!$D:$D,'свод (сектор вилоят)'!$B$67,манзилли!$E:$E,"4")+SUMIFS('Қўшимча ишга тушган'!$V:$V,'Қўшимча ишга тушган'!$D:$D,'свод (сектор вилоят)'!$B$67,'Қўшимча ишга тушган'!$E:$E,"4"))</f>
        <v>1585</v>
      </c>
      <c r="M71" s="38">
        <f>(+SUMIFS(манзилли!$R:$R,манзилли!$D:$D,'свод (сектор вилоят)'!$B$67,манзилли!$E:$E,"4")+SUMIFS('Қўшимча ишга тушган'!$Z:$Z,'Қўшимча ишга тушган'!$D:$D,'свод (сектор вилоят)'!$B$67,'Қўшимча ишга тушган'!$E:$E,"4"))</f>
        <v>4353</v>
      </c>
      <c r="N71" s="38">
        <f>(+SUMIFS(манзилли!$T:$T,манзилли!$D:$D,'свод (сектор вилоят)'!$B$67,манзилли!$E:$E,"4")+SUMIFS('Қўшимча ишга тушган'!$AB:$AB,'Қўшимча ишга тушган'!$D:$D,'свод (сектор вилоят)'!$B$67,'Қўшимча ишга тушган'!$E:$E,"4"))</f>
        <v>460</v>
      </c>
      <c r="O71" s="39">
        <f>(+SUMIFS(манзилли!$V:$V,манзилли!$D:$D,'свод (сектор вилоят)'!$B$67,манзилли!$E:$E,"4")+SUMIFS('Қўшимча ишга тушган'!$AD:$AD,'Қўшимча ишга тушган'!$D:$D,'свод (сектор вилоят)'!$B$67,'Қўшимча ишга тушган'!$E:$E,"4"))</f>
        <v>0</v>
      </c>
      <c r="P71" s="37">
        <f>+COUNTIFS(манзилли!$D:$D,'свод (сектор вилоят)'!$B$67,манзилли!$AA:$AA,"&gt;31.12.2020",манзилли!$AA:$AA,"&lt;01.01.2022",манзилли!$E:$E,"4")</f>
        <v>10</v>
      </c>
      <c r="Q71" s="38">
        <f>(+SUMIFS(манзилли!$K:$K,манзилли!$D:$D,'свод (сектор вилоят)'!$B$67,манзилли!$AA:$AA,"&gt;31.12.2020",манзилли!$AA:$AA,"&lt;01.01.2022",манзилли!$E:$E,"4"))</f>
        <v>42168.6</v>
      </c>
      <c r="R71" s="38">
        <f>(+SUMIFS(манзилли!$M:$M,манзилли!$D:$D,'свод (сектор вилоят)'!$B$67,манзилли!$AA:$AA,"&gt;31.12.2020",манзилли!$AA:$AA,"&lt;01.01.2022",манзилли!$E:$E,"4"))</f>
        <v>21337</v>
      </c>
      <c r="S71" s="38">
        <f>(+SUMIFS(манзилли!$Q:$Q,манзилли!$D:$D,'свод (сектор вилоят)'!$B$67,манзилли!$AA:$AA,"&gt;31.12.2020",манзилли!$AA:$AA,"&lt;01.01.2022",манзилли!$E:$E,"4"))</f>
        <v>6700</v>
      </c>
      <c r="T71" s="38">
        <f>(+SUMIFS(манзилли!$S:$S,манзилли!$D:$D,'свод (сектор вилоят)'!$B$67,манзилли!$AA:$AA,"&gt;31.12.2020",манзилли!$AA:$AA,"&lt;01.01.2022",манзилли!$E:$E,"4"))</f>
        <v>1372</v>
      </c>
      <c r="U71" s="38">
        <f>(+SUMIFS(манзилли!$U:$U,манзилли!$D:$D,'свод (сектор вилоят)'!$B$67,манзилли!$AA:$AA,"&gt;31.12.2020",манзилли!$AA:$AA,"&lt;01.01.2022",манзилли!$E:$E,"4"))</f>
        <v>0</v>
      </c>
      <c r="V71" s="39">
        <f>+SUMIFS(манзилли!$Y:$Y,манзилли!$D:$D,'свод (сектор вилоят)'!$B$67,манзилли!$AA:$AA,"&gt;31.12.2020",манзилли!$AA:$AA,"&lt;01.01.2022",манзилли!$E:$E,"4")</f>
        <v>116</v>
      </c>
      <c r="W71" s="37">
        <f t="shared" si="832"/>
        <v>0</v>
      </c>
      <c r="X71" s="38">
        <f t="shared" si="826"/>
        <v>0</v>
      </c>
      <c r="Y71" s="38">
        <f t="shared" si="827"/>
        <v>0</v>
      </c>
      <c r="Z71" s="38">
        <f t="shared" si="828"/>
        <v>0</v>
      </c>
      <c r="AA71" s="38">
        <f t="shared" si="829"/>
        <v>0</v>
      </c>
      <c r="AB71" s="38">
        <f t="shared" si="830"/>
        <v>0</v>
      </c>
      <c r="AC71" s="39">
        <f t="shared" si="831"/>
        <v>0</v>
      </c>
      <c r="AD71" s="37">
        <f>+COUNTIFS(манзилли!$D:$D,'свод (сектор вилоят)'!$B$67,манзилли!$AB:$AB,"&gt;31.12.2020",манзилли!$AA:$AA,"&gt;31.12.2020",манзилли!$AA:$AA,"&lt;01.01.2022",манзилли!$E:$E,"4")</f>
        <v>0</v>
      </c>
      <c r="AE71" s="38">
        <f>(+SUMIFS(манзилли!$L:$L,манзилли!$D:$D,'свод (сектор вилоят)'!$B$67,манзилли!$AB:$AB,"&gt;31.12.2020",манзилли!$AA:$AA,"&gt;31.12.2020",манзилли!$AA:$AA,"&lt;01.01.2022",манзилли!$E:$E,"4"))</f>
        <v>0</v>
      </c>
      <c r="AF71" s="38">
        <f>(+SUMIFS(манзилли!$N:$N,манзилли!$D:$D,'свод (сектор вилоят)'!$B$67,манзилли!$AB:$AB,"&gt;31.12.2020",манзилли!$AA:$AA,"&gt;31.12.2020",манзилли!$AA:$AA,"&lt;01.01.2022",манзилли!$E:$E,"4"))</f>
        <v>0</v>
      </c>
      <c r="AG71" s="38">
        <f>(+SUMIFS(манзилли!$R:$R,манзилли!$D:$D,'свод (сектор вилоят)'!$B$67,манзилли!$AB:$AB,"&gt;31.12.2020",манзилли!$AA:$AA,"&gt;31.12.2020",манзилли!$AA:$AA,"&lt;01.01.2022",манзилли!$E:$E,"4"))</f>
        <v>0</v>
      </c>
      <c r="AH71" s="38">
        <f>(+SUMIFS(манзилли!$T:$T,манзилли!$D:$D,'свод (сектор вилоят)'!$B$67,манзилли!$AB:$AB,"&gt;31.12.2020",манзилли!$AA:$AA,"&gt;31.12.2020",манзилли!$AA:$AA,"&lt;01.01.2022",манзилли!$E:$E,"4"))</f>
        <v>0</v>
      </c>
      <c r="AI71" s="38">
        <f>(+SUMIFS(манзилли!$V:$V,манзилли!$D:$D,'свод (сектор вилоят)'!$B$67,манзилли!$AB:$AB,"&gt;31.12.2020",манзилли!$AA:$AA,"&gt;31.12.2020",манзилли!$AA:$AA,"&lt;01.01.2022",манзилли!$E:$E,"4"))</f>
        <v>0</v>
      </c>
      <c r="AJ71" s="39">
        <f>+SUMIFS(манзилли!$Z:$Z,манзилли!$D:$D,'свод (сектор вилоят)'!$B$67,манзилли!$AB:$AB,"&gt;31.12.2020",манзилли!$AA:$AA,"&gt;31.12.2020",манзилли!$AA:$AA,"&lt;01.01.2022",манзилли!$E:$E,"4")</f>
        <v>0</v>
      </c>
      <c r="AK71" s="37">
        <f>+COUNTIFS('Қўшимча ишга тушган'!$D:$D,'свод (сектор вилоят)'!B67,'Қўшимча ишга тушган'!$AO:$AO,"&lt;01.10.2023",манзилли!$E:$E,"4")</f>
        <v>0</v>
      </c>
      <c r="AL71" s="38">
        <f>(+SUMIFS('Қўшимча ишга тушган'!$T:$T,'Қўшимча ишга тушган'!$D:$D,'свод (сектор вилоят)'!$B$67,'Қўшимча ишга тушган'!$AO:$AO,"&lt;01.10.2023",манзилли!$E:$E,"4"))</f>
        <v>0</v>
      </c>
      <c r="AM71" s="38">
        <f>(+SUMIFS('Қўшимча ишга тушган'!$V:$V,'Қўшимча ишга тушган'!$D:$D,'свод (сектор вилоят)'!$B$67,'Қўшимча ишга тушган'!$AO:$AO,"&lt;01.10.2023",манзилли!$E:$E,"4"))</f>
        <v>0</v>
      </c>
      <c r="AN71" s="38">
        <f>(+SUMIFS('Қўшимча ишга тушган'!$Z:$Z,'Қўшимча ишга тушган'!$D:$D,'свод (сектор вилоят)'!$B$67,'Қўшимча ишга тушган'!$AO:$AO,"&lt;01.10.2023",манзилли!$E:$E,"4"))</f>
        <v>0</v>
      </c>
      <c r="AO71" s="38">
        <f>(+SUMIFS('Қўшимча ишга тушган'!$AB:$AB,'Қўшимча ишга тушган'!$D:$D,'свод (сектор вилоят)'!$B$67,'Қўшимча ишга тушган'!$AO:$AO,"&lt;01.10.2023",манзилли!$E:$E,"4"))</f>
        <v>0</v>
      </c>
      <c r="AP71" s="38">
        <f>(+SUMIFS('Қўшимча ишга тушган'!$AD:$AD,'Қўшимча ишга тушган'!$D:$D,'свод (сектор вилоят)'!$B$67,'Қўшимча ишга тушган'!$AO:$AO,"&lt;01.10.2023",манзилли!$E:$E,"4"))</f>
        <v>0</v>
      </c>
      <c r="AQ71" s="39">
        <f>+SUMIFS('Қўшимча ишга тушган'!$AM:$AM,'Қўшимча ишга тушган'!$D:$D,'свод (сектор вилоят)'!$B$67,'Қўшимча ишга тушган'!$AO:$AO,"&lt;01.10.2023",манзилли!$E:$E,"4")</f>
        <v>0</v>
      </c>
      <c r="AR71" s="37">
        <f>+COUNTIFS(манзилли!$D:$D,'свод (сектор вилоят)'!$B$67,манзилли!$AA:$AA,"&lt;01.02.2021",манзилли!$AB:$AB,"",манзилли!$E:$E,"4")</f>
        <v>0</v>
      </c>
      <c r="AS71" s="38">
        <f>(+SUMIFS(манзилли!$K:$K,манзилли!$D:$D,'свод (сектор вилоят)'!$B$67,манзилли!$AA:$AA,"&lt;01.02.2021",манзилли!$AB:$AB,"",манзилли!$E:$E,"4"))</f>
        <v>0</v>
      </c>
      <c r="AT71" s="38">
        <f>(+SUMIFS(манзилли!$M:$M,манзилли!$D:$D,'свод (сектор вилоят)'!$B$67,манзилли!$AA:$AA,"&lt;01.02.2021",манзилли!$AB:$AB,"",манзилли!$E:$E,"4"))</f>
        <v>0</v>
      </c>
      <c r="AU71" s="38">
        <f>(+SUMIFS(манзилли!$Q:$Q,манзилли!$D:$D,'свод (сектор вилоят)'!$B$67,манзилли!$AA:$AA,"&lt;01.02.2021",манзилли!$AB:$AB,"",манзилли!$E:$E,"4"))</f>
        <v>0</v>
      </c>
      <c r="AV71" s="38">
        <f>(+SUMIFS(манзилли!$S:$S,манзилли!$D:$D,'свод (сектор вилоят)'!$B$67,манзилли!$AA:$AA,"&lt;01.02.2021",манзилли!$AB:$AB,"",манзилли!$E:$E,"4"))</f>
        <v>0</v>
      </c>
      <c r="AW71" s="38">
        <f>(+SUMIFS(манзилли!$U:$U,манзилли!$D:$D,'свод (сектор вилоят)'!$B$67,манзилли!$AA:$AA,"&lt;01.02.2021",манзилли!$AB:$AB,"",манзилли!$E:$E,"4"))</f>
        <v>0</v>
      </c>
      <c r="AX71" s="39">
        <f>+SUMIFS(манзилли!$Y:$Y,манзилли!$D:$D,'свод (сектор вилоят)'!$B$67,манзилли!$AA:$AA,"&lt;01.02.2021",манзилли!$AB:$AB,"",манзилли!$E:$E,"4")</f>
        <v>0</v>
      </c>
      <c r="AY71" s="37">
        <f>+COUNTIFS(манзилли!$D:$D,'свод (сектор вилоят)'!$B$67,манзилли!$AA:$AA,"&lt;01.01.2022",манзилли!$AB:$AB,"",манзилли!$E:$E,"4")</f>
        <v>10</v>
      </c>
      <c r="AZ71" s="38">
        <f>(+SUMIFS(манзилли!$K:$K,манзилли!$D:$D,'свод (сектор вилоят)'!$B$67,манзилли!$AA:$AA,"&lt;01.01.2022",манзилли!$AB:$AB,"",манзилли!$E:$E,"4"))</f>
        <v>42168.6</v>
      </c>
      <c r="BA71" s="38">
        <f>(+SUMIFS(манзилли!$M:$M,манзилли!$D:$D,'свод (сектор вилоят)'!$B$67,манзилли!$AA:$AA,"&lt;01.01.2022",манзилли!$AB:$AB,"",манзилли!$E:$E,"4"))</f>
        <v>21337</v>
      </c>
      <c r="BB71" s="38">
        <f>(+SUMIFS(манзилли!$Q:$Q,манзилли!$D:$D,'свод (сектор вилоят)'!$B$67,манзилли!$AA:$AA,"&lt;01.01.2022",манзилли!$AB:$AB,"",манзилли!$E:$E,"4"))</f>
        <v>6700</v>
      </c>
      <c r="BC71" s="38">
        <f>(+SUMIFS(манзилли!$S:$S,манзилли!$D:$D,'свод (сектор вилоят)'!$B$67,манзилли!$AA:$AA,"&lt;01.01.2022",манзилли!$AB:$AB,"",манзилли!$E:$E,"4"))</f>
        <v>1372</v>
      </c>
      <c r="BD71" s="38">
        <f>(+SUMIFS(манзилли!$U:$U,манзилли!$D:$D,'свод (сектор вилоят)'!$B$67,манзилли!$AA:$AA,"&lt;01.01.2022",манзилли!$AB:$AB,"",манзилли!$E:$E,"4"))</f>
        <v>0</v>
      </c>
      <c r="BE71" s="39">
        <f>+SUMIFS(манзилли!$Y:$Y,манзилли!$D:$D,'свод (сектор вилоят)'!$B$67,манзилли!$AA:$AA,"&lt;01.01.2022",манзилли!$AB:$AB,"",манзилли!$E:$E,"4")</f>
        <v>116</v>
      </c>
      <c r="BF71" s="37">
        <f>+COUNTIFS(манзилли!$D:$D,'свод (сектор вилоят)'!$B$67,манзилли!$AA:$AA,"&lt;01.01.2023",манзилли!$AA:$AA,"&gt;=01.01.2022",манзилли!$E:$E,"4")</f>
        <v>0</v>
      </c>
      <c r="BG71" s="38">
        <f>(+SUMIFS(манзилли!$K:$K,манзилли!$D:$D,'свод (сектор вилоят)'!$B$67,манзилли!$AA:$AA,"&lt;01.01.2023",манзилли!$AA:$AA,"&gt;=01.01.2022",манзилли!$E:$E,"4"))</f>
        <v>0</v>
      </c>
      <c r="BH71" s="38">
        <f>(+SUMIFS(манзилли!$M:$M,манзилли!$D:$D,'свод (сектор вилоят)'!$B$67,манзилли!$AA:$AA,"&lt;01.01.2023",манзилли!$AA:$AA,"&gt;=01.01.2022",манзилли!$E:$E,"4"))</f>
        <v>0</v>
      </c>
      <c r="BI71" s="38">
        <f>(+SUMIFS(манзилли!$Q:$Q,манзилли!$D:$D,'свод (сектор вилоят)'!$B$67,манзилли!$AA:$AA,"&lt;01.01.2023",манзилли!$AA:$AA,"&gt;=01.01.2022",манзилли!$E:$E,"4"))</f>
        <v>0</v>
      </c>
      <c r="BJ71" s="38">
        <f>(+SUMIFS(манзилли!$S:$S,манзилли!$D:$D,'свод (сектор вилоят)'!$B$67,манзилли!$AA:$AA,"&lt;01.01.2023",манзилли!$AA:$AA,"&gt;=01.01.2022",манзилли!$E:$E,"4"))</f>
        <v>0</v>
      </c>
      <c r="BK71" s="38">
        <f>(+SUMIFS(манзилли!$U:$U,манзилли!$D:$D,'свод (сектор вилоят)'!$B$67,манзилли!$AA:$AA,"&lt;01.01.2023",манзилли!$AA:$AA,"&gt;=01.01.2022",манзилли!$E:$E,"4"))</f>
        <v>0</v>
      </c>
      <c r="BL71" s="39">
        <f>+SUMIFS(манзилли!$Y:$Y,манзилли!$D:$D,'свод (сектор вилоят)'!$B$67,манзилли!$AA:$AA,"&lt;01.01.2023",манзилли!$AA:$AA,"&gt;=01.01.2022",манзилли!$E:$E,"4")</f>
        <v>0</v>
      </c>
    </row>
    <row r="72" spans="1:64" s="3" customFormat="1" ht="39.75" customHeight="1" thickBot="1">
      <c r="A72" s="53">
        <v>14</v>
      </c>
      <c r="B72" s="54" t="s">
        <v>381</v>
      </c>
      <c r="C72" s="41">
        <f>+SUM(C73:C76)</f>
        <v>38</v>
      </c>
      <c r="D72" s="41">
        <f t="shared" ref="D72" si="833">+SUM(D73:D76)</f>
        <v>159438</v>
      </c>
      <c r="E72" s="41">
        <f t="shared" ref="E72" si="834">+SUM(E73:E76)</f>
        <v>72760</v>
      </c>
      <c r="F72" s="41">
        <f t="shared" ref="F72" si="835">+SUM(F73:F76)</f>
        <v>22818</v>
      </c>
      <c r="G72" s="41">
        <f t="shared" ref="G72" si="836">+SUM(G73:G76)</f>
        <v>5700</v>
      </c>
      <c r="H72" s="41">
        <f t="shared" ref="H72" si="837">+SUM(H73:H76)</f>
        <v>500</v>
      </c>
      <c r="I72" s="41">
        <f t="shared" ref="I72" si="838">+SUM(I73:I76)</f>
        <v>427</v>
      </c>
      <c r="J72" s="41">
        <f t="shared" ref="J72" si="839">+SUM(J73:J76)</f>
        <v>26</v>
      </c>
      <c r="K72" s="41">
        <f t="shared" ref="K72" si="840">+SUM(K73:K76)</f>
        <v>69950.600000000006</v>
      </c>
      <c r="L72" s="41">
        <f t="shared" ref="L72" si="841">+SUM(L73:L76)</f>
        <v>5575</v>
      </c>
      <c r="M72" s="41">
        <f t="shared" ref="M72" si="842">+SUM(M73:M76)</f>
        <v>14008</v>
      </c>
      <c r="N72" s="41">
        <f t="shared" ref="N72" si="843">+SUM(N73:N76)</f>
        <v>4938</v>
      </c>
      <c r="O72" s="41">
        <f t="shared" ref="O72" si="844">+SUM(O73:O76)</f>
        <v>0</v>
      </c>
      <c r="P72" s="41">
        <f t="shared" ref="P72" si="845">+SUM(P73:P76)</f>
        <v>35</v>
      </c>
      <c r="Q72" s="41">
        <f t="shared" ref="Q72" si="846">+SUM(Q73:Q76)</f>
        <v>150538</v>
      </c>
      <c r="R72" s="41">
        <f t="shared" ref="R72" si="847">+SUM(R73:R76)</f>
        <v>69460</v>
      </c>
      <c r="S72" s="41">
        <f t="shared" ref="S72" si="848">+SUM(S73:S76)</f>
        <v>17218</v>
      </c>
      <c r="T72" s="41">
        <f t="shared" ref="T72" si="849">+SUM(T73:T76)</f>
        <v>5700</v>
      </c>
      <c r="U72" s="41">
        <f t="shared" ref="U72" si="850">+SUM(U73:U76)</f>
        <v>500</v>
      </c>
      <c r="V72" s="41">
        <f t="shared" ref="V72" si="851">+SUM(V73:V76)</f>
        <v>342</v>
      </c>
      <c r="W72" s="41">
        <f t="shared" ref="W72" si="852">+SUM(W73:W76)</f>
        <v>1</v>
      </c>
      <c r="X72" s="41">
        <f t="shared" ref="X72" si="853">+SUM(X73:X76)</f>
        <v>700</v>
      </c>
      <c r="Y72" s="41">
        <f t="shared" ref="Y72" si="854">+SUM(Y73:Y76)</f>
        <v>200</v>
      </c>
      <c r="Z72" s="41">
        <f t="shared" ref="Z72" si="855">+SUM(Z73:Z76)</f>
        <v>500</v>
      </c>
      <c r="AA72" s="41">
        <f t="shared" ref="AA72" si="856">+SUM(AA73:AA76)</f>
        <v>0</v>
      </c>
      <c r="AB72" s="41">
        <f t="shared" ref="AB72" si="857">+SUM(AB73:AB76)</f>
        <v>0</v>
      </c>
      <c r="AC72" s="41">
        <f t="shared" ref="AC72" si="858">+SUM(AC73:AC76)</f>
        <v>8</v>
      </c>
      <c r="AD72" s="41">
        <f t="shared" ref="AD72" si="859">+SUM(AD73:AD76)</f>
        <v>1</v>
      </c>
      <c r="AE72" s="41">
        <f t="shared" ref="AE72" si="860">+SUM(AE73:AE76)</f>
        <v>700</v>
      </c>
      <c r="AF72" s="41">
        <f t="shared" ref="AF72" si="861">+SUM(AF73:AF76)</f>
        <v>200</v>
      </c>
      <c r="AG72" s="41">
        <f t="shared" ref="AG72" si="862">+SUM(AG73:AG76)</f>
        <v>500</v>
      </c>
      <c r="AH72" s="41">
        <f t="shared" ref="AH72" si="863">+SUM(AH73:AH76)</f>
        <v>0</v>
      </c>
      <c r="AI72" s="41">
        <f t="shared" ref="AI72" si="864">+SUM(AI73:AI76)</f>
        <v>0</v>
      </c>
      <c r="AJ72" s="41">
        <f t="shared" ref="AJ72" si="865">+SUM(AJ73:AJ76)</f>
        <v>8</v>
      </c>
      <c r="AK72" s="41">
        <f t="shared" ref="AK72" si="866">+SUM(AK73:AK76)</f>
        <v>0</v>
      </c>
      <c r="AL72" s="41">
        <f t="shared" ref="AL72" si="867">+SUM(AL73:AL76)</f>
        <v>0</v>
      </c>
      <c r="AM72" s="41">
        <f t="shared" ref="AM72" si="868">+SUM(AM73:AM76)</f>
        <v>0</v>
      </c>
      <c r="AN72" s="41">
        <f t="shared" ref="AN72" si="869">+SUM(AN73:AN76)</f>
        <v>0</v>
      </c>
      <c r="AO72" s="41">
        <f t="shared" ref="AO72" si="870">+SUM(AO73:AO76)</f>
        <v>0</v>
      </c>
      <c r="AP72" s="41">
        <f t="shared" ref="AP72" si="871">+SUM(AP73:AP76)</f>
        <v>0</v>
      </c>
      <c r="AQ72" s="41">
        <f t="shared" ref="AQ72" si="872">+SUM(AQ73:AQ76)</f>
        <v>0</v>
      </c>
      <c r="AR72" s="41">
        <f t="shared" ref="AR72" si="873">+SUM(AR73:AR76)</f>
        <v>0</v>
      </c>
      <c r="AS72" s="41">
        <f t="shared" ref="AS72" si="874">+SUM(AS73:AS76)</f>
        <v>0</v>
      </c>
      <c r="AT72" s="41">
        <f t="shared" ref="AT72" si="875">+SUM(AT73:AT76)</f>
        <v>0</v>
      </c>
      <c r="AU72" s="41">
        <f t="shared" ref="AU72" si="876">+SUM(AU73:AU76)</f>
        <v>0</v>
      </c>
      <c r="AV72" s="41">
        <f t="shared" ref="AV72" si="877">+SUM(AV73:AV76)</f>
        <v>0</v>
      </c>
      <c r="AW72" s="41">
        <f t="shared" ref="AW72" si="878">+SUM(AW73:AW76)</f>
        <v>0</v>
      </c>
      <c r="AX72" s="41">
        <f t="shared" ref="AX72" si="879">+SUM(AX73:AX76)</f>
        <v>0</v>
      </c>
      <c r="AY72" s="41">
        <f t="shared" ref="AY72" si="880">+SUM(AY73:AY76)</f>
        <v>25</v>
      </c>
      <c r="AZ72" s="41">
        <f t="shared" ref="AZ72" si="881">+SUM(AZ73:AZ76)</f>
        <v>141988</v>
      </c>
      <c r="BA72" s="41">
        <f t="shared" ref="BA72" si="882">+SUM(BA73:BA76)</f>
        <v>65835</v>
      </c>
      <c r="BB72" s="41">
        <f t="shared" ref="BB72" si="883">+SUM(BB73:BB76)</f>
        <v>12293</v>
      </c>
      <c r="BC72" s="41">
        <f t="shared" ref="BC72" si="884">+SUM(BC73:BC76)</f>
        <v>5700</v>
      </c>
      <c r="BD72" s="41">
        <f t="shared" ref="BD72" si="885">+SUM(BD73:BD76)</f>
        <v>500</v>
      </c>
      <c r="BE72" s="41">
        <f t="shared" ref="BE72" si="886">+SUM(BE73:BE76)</f>
        <v>266</v>
      </c>
      <c r="BF72" s="41">
        <f t="shared" ref="BF72" si="887">+SUM(BF73:BF76)</f>
        <v>1</v>
      </c>
      <c r="BG72" s="41">
        <f t="shared" ref="BG72" si="888">+SUM(BG73:BG76)</f>
        <v>8000</v>
      </c>
      <c r="BH72" s="41">
        <f t="shared" ref="BH72" si="889">+SUM(BH73:BH76)</f>
        <v>3000</v>
      </c>
      <c r="BI72" s="41">
        <f t="shared" ref="BI72" si="890">+SUM(BI73:BI76)</f>
        <v>5000</v>
      </c>
      <c r="BJ72" s="41">
        <f t="shared" ref="BJ72" si="891">+SUM(BJ73:BJ76)</f>
        <v>0</v>
      </c>
      <c r="BK72" s="41">
        <f t="shared" ref="BK72" si="892">+SUM(BK73:BK76)</f>
        <v>0</v>
      </c>
      <c r="BL72" s="43">
        <f t="shared" ref="BL72" si="893">+SUM(BL73:BL76)</f>
        <v>60</v>
      </c>
    </row>
    <row r="73" spans="1:64" s="3" customFormat="1" ht="39.75" customHeight="1">
      <c r="A73" s="52"/>
      <c r="B73" s="50" t="s">
        <v>1771</v>
      </c>
      <c r="C73" s="46">
        <f>+COUNTIFS(манзилли!$D:$D,'свод (сектор вилоят)'!$B$72,манзилли!$E:$E,"1")</f>
        <v>9</v>
      </c>
      <c r="D73" s="47">
        <f>(+SUMIFS(манзилли!$K:$K,манзилли!$D:$D,'свод (сектор вилоят)'!$B$72,манзилли!$E:$E,"1"))</f>
        <v>25500</v>
      </c>
      <c r="E73" s="47">
        <f>(+SUMIFS(манзилли!$M:$M,манзилли!$D:$D,'свод (сектор вилоят)'!$B$72,манзилли!$E:$E,"1"))</f>
        <v>11815</v>
      </c>
      <c r="F73" s="47">
        <f>(+SUMIFS(манзилли!$Q:$Q,манзилли!$D:$D,'свод (сектор вилоят)'!$B$72,манзилли!$E:$E,"1"))</f>
        <v>1325</v>
      </c>
      <c r="G73" s="47">
        <f>(+SUMIFS(манзилли!$S:$S,манзилли!$D:$D,'свод (сектор вилоят)'!$B$72,манзилли!$E:$E,"1"))</f>
        <v>700</v>
      </c>
      <c r="H73" s="47">
        <f>(+SUMIFS(манзилли!$U:$U,манзилли!$D:$D,'свод (сектор вилоят)'!$B$72,манзилли!$E:$E,"1"))</f>
        <v>500</v>
      </c>
      <c r="I73" s="48">
        <f>+SUMIFS(манзилли!$Y:$Y,манзилли!$D:$D,'свод (сектор вилоят)'!$B$72,манзилли!$E:$E,"1")</f>
        <v>130</v>
      </c>
      <c r="J73" s="46">
        <f>(+COUNTIFS(манзилли!$L:$L,"&gt;0",манзилли!$D:$D,'свод (сектор вилоят)'!$B$72,манзилли!$E:$E,"1")+COUNTIFS('Қўшимча ишга тушган'!$T:$T,"&gt;0",'Қўшимча ишга тушган'!$D:$D,'свод (сектор вилоят)'!$B$72,'Қўшимча ишга тушган'!$E:$E,"1"))</f>
        <v>5</v>
      </c>
      <c r="K73" s="48">
        <f>(+SUMIFS(манзилли!$L:$L,манзилли!$D:$D,'свод (сектор вилоят)'!$B$72,манзилли!$E:$E,"1")+SUMIFS('Қўшимча ишга тушган'!$T:$T,'Қўшимча ишга тушган'!$D:$D,'свод (сектор вилоят)'!$B$72,'Қўшимча ишга тушган'!$E:$E,"1"))</f>
        <v>6014.5999999999995</v>
      </c>
      <c r="L73" s="49">
        <f>(+SUMIFS(манзилли!$N:$N,манзилли!$D:$D,'свод (сектор вилоят)'!$B$72,манзилли!$E:$E,"1")+SUMIFS('Қўшимча ишга тушган'!$V:$V,'Қўшимча ишга тушган'!$D:$D,'свод (сектор вилоят)'!$B$72,'Қўшимча ишга тушган'!$E:$E,"1"))</f>
        <v>625</v>
      </c>
      <c r="M73" s="47">
        <f>(+SUMIFS(манзилли!$R:$R,манзилли!$D:$D,'свод (сектор вилоят)'!$B$72,манзилли!$E:$E,"1")+SUMIFS('Қўшимча ишга тушган'!$Z:$Z,'Қўшимча ишга тушган'!$D:$D,'свод (сектор вилоят)'!$B$72,'Қўшимча ишга тушган'!$E:$E,"1"))</f>
        <v>1075</v>
      </c>
      <c r="N73" s="47">
        <f>(+SUMIFS(манзилли!$T:$T,манзилли!$D:$D,'свод (сектор вилоят)'!$B$72,манзилли!$E:$E,"1")+SUMIFS('Қўшимча ишга тушган'!$AB:$AB,'Қўшимча ишга тушган'!$D:$D,'свод (сектор вилоят)'!$B$72,'Қўшимча ишга тушган'!$E:$E,"1"))</f>
        <v>423</v>
      </c>
      <c r="O73" s="48">
        <f>(+SUMIFS(манзилли!$V:$V,манзилли!$D:$D,'свод (сектор вилоят)'!$B$72,манзилли!$E:$E,"1")+SUMIFS('Қўшимча ишга тушган'!$AD:$AD,'Қўшимча ишга тушган'!$D:$D,'свод (сектор вилоят)'!$B$72,'Қўшимча ишга тушган'!$E:$E,"1"))</f>
        <v>0</v>
      </c>
      <c r="P73" s="46">
        <f>+COUNTIFS(манзилли!$D:$D,'свод (сектор вилоят)'!$B$72,манзилли!$AA:$AA,"&gt;31.12.2020",манзилли!$AA:$AA,"&lt;01.01.2022",манзилли!$E:$E,"1")</f>
        <v>9</v>
      </c>
      <c r="Q73" s="47">
        <f>(+SUMIFS(манзилли!$K:$K,манзилли!$D:$D,'свод (сектор вилоят)'!$B$72,манзилли!$AA:$AA,"&gt;31.12.2020",манзилли!$AA:$AA,"&lt;01.01.2022",манзилли!$E:$E,"1"))</f>
        <v>25500</v>
      </c>
      <c r="R73" s="47">
        <f>(+SUMIFS(манзилли!$M:$M,манзилли!$D:$D,'свод (сектор вилоят)'!$B$72,манзилли!$AA:$AA,"&gt;31.12.2020",манзилли!$AA:$AA,"&lt;01.01.2022",манзилли!$E:$E,"1"))</f>
        <v>11815</v>
      </c>
      <c r="S73" s="47">
        <f>(+SUMIFS(манзилли!$Q:$Q,манзилли!$D:$D,'свод (сектор вилоят)'!$B$72,манзилли!$AA:$AA,"&gt;31.12.2020",манзилли!$AA:$AA,"&lt;01.01.2022",манзилли!$E:$E,"1"))</f>
        <v>1325</v>
      </c>
      <c r="T73" s="47">
        <f>(+SUMIFS(манзилли!$S:$S,манзилли!$D:$D,'свод (сектор вилоят)'!$B$72,манзилли!$AA:$AA,"&gt;31.12.2020",манзилли!$AA:$AA,"&lt;01.01.2022",манзилли!$E:$E,"1"))</f>
        <v>700</v>
      </c>
      <c r="U73" s="47">
        <f>(+SUMIFS(манзилли!$U:$U,манзилли!$D:$D,'свод (сектор вилоят)'!$B$72,манзилли!$AA:$AA,"&gt;31.12.2020",манзилли!$AA:$AA,"&lt;01.01.2022",манзилли!$E:$E,"1"))</f>
        <v>500</v>
      </c>
      <c r="V73" s="48">
        <f>+SUMIFS(манзилли!$Y:$Y,манзилли!$D:$D,'свод (сектор вилоят)'!$B$72,манзилли!$AA:$AA,"&gt;31.12.2020",манзилли!$AA:$AA,"&lt;01.01.2022",манзилли!$E:$E,"1")</f>
        <v>130</v>
      </c>
      <c r="W73" s="46">
        <f>+AD73+AK73</f>
        <v>0</v>
      </c>
      <c r="X73" s="47">
        <f t="shared" ref="X73:X76" si="894">+AE73+AL73</f>
        <v>0</v>
      </c>
      <c r="Y73" s="47">
        <f t="shared" ref="Y73:Y76" si="895">+AF73+AM73</f>
        <v>0</v>
      </c>
      <c r="Z73" s="47">
        <f t="shared" ref="Z73:Z76" si="896">+AG73+AN73</f>
        <v>0</v>
      </c>
      <c r="AA73" s="47">
        <f t="shared" ref="AA73:AA76" si="897">+AH73+AO73</f>
        <v>0</v>
      </c>
      <c r="AB73" s="47">
        <f t="shared" ref="AB73:AB76" si="898">+AI73+AP73</f>
        <v>0</v>
      </c>
      <c r="AC73" s="48">
        <f t="shared" ref="AC73:AC76" si="899">+AJ73+AQ73</f>
        <v>0</v>
      </c>
      <c r="AD73" s="46">
        <f>+COUNTIFS(манзилли!$D:$D,'свод (сектор вилоят)'!$B$72,манзилли!$AB:$AB,"&gt;31.12.2020",манзилли!$AA:$AA,"&gt;31.12.2020",манзилли!$AA:$AA,"&lt;01.01.2022",манзилли!$E:$E,"1")</f>
        <v>0</v>
      </c>
      <c r="AE73" s="47">
        <f>(+SUMIFS(манзилли!$L:$L,манзилли!$D:$D,'свод (сектор вилоят)'!$B$72,манзилли!$AB:$AB,"&gt;31.12.2020",манзилли!$AA:$AA,"&gt;31.12.2020",манзилли!$AA:$AA,"&lt;01.01.2022",манзилли!$E:$E,"1"))</f>
        <v>0</v>
      </c>
      <c r="AF73" s="47">
        <f>(+SUMIFS(манзилли!$N:$N,манзилли!$D:$D,'свод (сектор вилоят)'!$B$72,манзилли!$AB:$AB,"&gt;31.12.2020",манзилли!$AA:$AA,"&gt;31.12.2020",манзилли!$AA:$AA,"&lt;01.01.2022",манзилли!$E:$E,"1"))</f>
        <v>0</v>
      </c>
      <c r="AG73" s="47">
        <f>(+SUMIFS(манзилли!$R:$R,манзилли!$D:$D,'свод (сектор вилоят)'!$B$72,манзилли!$AB:$AB,"&gt;31.12.2020",манзилли!$AA:$AA,"&gt;31.12.2020",манзилли!$AA:$AA,"&lt;01.01.2022",манзилли!$E:$E,"1"))</f>
        <v>0</v>
      </c>
      <c r="AH73" s="47">
        <f>(+SUMIFS(манзилли!$T:$T,манзилли!$D:$D,'свод (сектор вилоят)'!$B$72,манзилли!$AB:$AB,"&gt;31.12.2020",манзилли!$AA:$AA,"&gt;31.12.2020",манзилли!$AA:$AA,"&lt;01.01.2022",манзилли!$E:$E,"1"))</f>
        <v>0</v>
      </c>
      <c r="AI73" s="47">
        <f>(+SUMIFS(манзилли!$V:$V,манзилли!$D:$D,'свод (сектор вилоят)'!$B$72,манзилли!$AB:$AB,"&gt;31.12.2020",манзилли!$AA:$AA,"&gt;31.12.2020",манзилли!$AA:$AA,"&lt;01.01.2022",манзилли!$E:$E,"1"))</f>
        <v>0</v>
      </c>
      <c r="AJ73" s="48">
        <f>+SUMIFS(манзилли!$Z:$Z,манзилли!$D:$D,'свод (сектор вилоят)'!$B$72,манзилли!$AB:$AB,"&gt;31.12.2020",манзилли!$AA:$AA,"&gt;31.12.2020",манзилли!$AA:$AA,"&lt;01.01.2022",манзилли!$E:$E,"1")</f>
        <v>0</v>
      </c>
      <c r="AK73" s="46">
        <f>+COUNTIFS('Қўшимча ишга тушган'!$D:$D,'свод (сектор вилоят)'!B72,'Қўшимча ишга тушган'!$AO:$AO,"&lt;01.10.2023",манзилли!$E:$E,"1")</f>
        <v>0</v>
      </c>
      <c r="AL73" s="47">
        <f>(+SUMIFS('Қўшимча ишга тушган'!$T:$T,'Қўшимча ишга тушган'!$D:$D,'свод (сектор вилоят)'!$B$72,'Қўшимча ишга тушган'!$AO:$AO,"&lt;01.10.2023",манзилли!$E:$E,"1"))</f>
        <v>0</v>
      </c>
      <c r="AM73" s="47">
        <f>(+SUMIFS('Қўшимча ишга тушган'!$V:$V,'Қўшимча ишга тушган'!$D:$D,'свод (сектор вилоят)'!$B$72,'Қўшимча ишга тушган'!$AO:$AO,"&lt;01.10.2023",манзилли!$E:$E,"1"))</f>
        <v>0</v>
      </c>
      <c r="AN73" s="47">
        <f>(+SUMIFS('Қўшимча ишга тушган'!$Z:$Z,'Қўшимча ишга тушган'!$D:$D,'свод (сектор вилоят)'!$B$72,'Қўшимча ишга тушган'!$AO:$AO,"&lt;01.10.2023",манзилли!$E:$E,"1"))</f>
        <v>0</v>
      </c>
      <c r="AO73" s="47">
        <f>(+SUMIFS('Қўшимча ишга тушган'!$AB:$AB,'Қўшимча ишга тушган'!$D:$D,'свод (сектор вилоят)'!$B$72,'Қўшимча ишга тушган'!$AO:$AO,"&lt;01.10.2023",манзилли!$E:$E,"1"))</f>
        <v>0</v>
      </c>
      <c r="AP73" s="47">
        <f>(+SUMIFS('Қўшимча ишга тушган'!$AD:$AD,'Қўшимча ишга тушган'!$D:$D,'свод (сектор вилоят)'!$B$72,'Қўшимча ишга тушган'!$AO:$AO,"&lt;01.10.2023",манзилли!$E:$E,"1"))</f>
        <v>0</v>
      </c>
      <c r="AQ73" s="48">
        <f>+SUMIFS('Қўшимча ишга тушган'!$AM:$AM,'Қўшимча ишга тушган'!$D:$D,'свод (сектор вилоят)'!$B$72,'Қўшимча ишга тушган'!$AO:$AO,"&lt;01.10.2023",манзилли!$E:$E,"1")</f>
        <v>0</v>
      </c>
      <c r="AR73" s="46">
        <f>+COUNTIFS(манзилли!$D:$D,'свод (сектор вилоят)'!$B$72,манзилли!$AA:$AA,"&lt;01.02.2021",манзилли!$AB:$AB,"",манзилли!$E:$E,"1")</f>
        <v>0</v>
      </c>
      <c r="AS73" s="47">
        <f>(+SUMIFS(манзилли!$K:$K,манзилли!$D:$D,'свод (сектор вилоят)'!$B$72,манзилли!$AA:$AA,"&lt;01.02.2021",манзилли!$AB:$AB,"",манзилли!$E:$E,"1"))</f>
        <v>0</v>
      </c>
      <c r="AT73" s="47">
        <f>(+SUMIFS(манзилли!$M:$M,манзилли!$D:$D,'свод (сектор вилоят)'!$B$72,манзилли!$AA:$AA,"&lt;01.02.2021",манзилли!$AB:$AB,"",манзилли!$E:$E,"1"))</f>
        <v>0</v>
      </c>
      <c r="AU73" s="47">
        <f>(+SUMIFS(манзилли!$Q:$Q,манзилли!$D:$D,'свод (сектор вилоят)'!$B$72,манзилли!$AA:$AA,"&lt;01.02.2021",манзилли!$AB:$AB,"",манзилли!$E:$E,"1"))</f>
        <v>0</v>
      </c>
      <c r="AV73" s="47">
        <f>(+SUMIFS(манзилли!$S:$S,манзилли!$D:$D,'свод (сектор вилоят)'!$B$72,манзилли!$AA:$AA,"&lt;01.02.2021",манзилли!$AB:$AB,"",манзилли!$E:$E,"1"))</f>
        <v>0</v>
      </c>
      <c r="AW73" s="47">
        <f>(+SUMIFS(манзилли!$U:$U,манзилли!$D:$D,'свод (сектор вилоят)'!$B$72,манзилли!$AA:$AA,"&lt;01.02.2021",манзилли!$AB:$AB,"",манзилли!$E:$E,"1"))</f>
        <v>0</v>
      </c>
      <c r="AX73" s="48">
        <f>+SUMIFS(манзилли!$Y:$Y,манзилли!$D:$D,'свод (сектор вилоят)'!$B$72,манзилли!$AA:$AA,"&lt;01.02.2021",манзилли!$AB:$AB,"",манзилли!$E:$E,"1")</f>
        <v>0</v>
      </c>
      <c r="AY73" s="46">
        <f>+COUNTIFS(манзилли!$D:$D,'свод (сектор вилоят)'!$B$72,манзилли!$AA:$AA,"&lt;01.01.2022",манзилли!$AB:$AB,"",манзилли!$E:$E,"1")</f>
        <v>7</v>
      </c>
      <c r="AZ73" s="47">
        <f>(+SUMIFS(манзилли!$K:$K,манзилли!$D:$D,'свод (сектор вилоят)'!$B$72,манзилли!$AA:$AA,"&lt;01.01.2022",манзилли!$AB:$AB,"",манзилли!$E:$E,"1"))</f>
        <v>24320</v>
      </c>
      <c r="BA73" s="47">
        <f>(+SUMIFS(манзилли!$M:$M,манзилли!$D:$D,'свод (сектор вилоят)'!$B$72,манзилли!$AA:$AA,"&lt;01.01.2022",манзилли!$AB:$AB,"",манзилли!$E:$E,"1"))</f>
        <v>11310</v>
      </c>
      <c r="BB73" s="47">
        <f>(+SUMIFS(манзилли!$Q:$Q,манзилли!$D:$D,'свод (сектор вилоят)'!$B$72,манзилли!$AA:$AA,"&lt;01.01.2022",манзилли!$AB:$AB,"",манзилли!$E:$E,"1"))</f>
        <v>650</v>
      </c>
      <c r="BC73" s="47">
        <f>(+SUMIFS(манзилли!$S:$S,манзилли!$D:$D,'свод (сектор вилоят)'!$B$72,манзилли!$AA:$AA,"&lt;01.01.2022",манзилли!$AB:$AB,"",манзилли!$E:$E,"1"))</f>
        <v>700</v>
      </c>
      <c r="BD73" s="47">
        <f>(+SUMIFS(манзилли!$U:$U,манзилли!$D:$D,'свод (сектор вилоят)'!$B$72,манзилли!$AA:$AA,"&lt;01.01.2022",манзилли!$AB:$AB,"",манзилли!$E:$E,"1"))</f>
        <v>500</v>
      </c>
      <c r="BE73" s="48">
        <f>+SUMIFS(манзилли!$Y:$Y,манзилли!$D:$D,'свод (сектор вилоят)'!$B$72,манзилли!$AA:$AA,"&lt;01.01.2022",манзилли!$AB:$AB,"",манзилли!$E:$E,"1")</f>
        <v>119</v>
      </c>
      <c r="BF73" s="46">
        <f>+COUNTIFS(манзилли!$D:$D,'свод (сектор вилоят)'!$B$72,манзилли!$AA:$AA,"&lt;01.01.2023",манзилли!$AA:$AA,"&gt;=01.01.2022",манзилли!$E:$E,"1")</f>
        <v>0</v>
      </c>
      <c r="BG73" s="47">
        <f>(+SUMIFS(манзилли!$K:$K,манзилли!$D:$D,'свод (сектор вилоят)'!$B$72,манзилли!$AA:$AA,"&lt;01.01.2023",манзилли!$AA:$AA,"&gt;=01.01.2022",манзилли!$E:$E,"1"))</f>
        <v>0</v>
      </c>
      <c r="BH73" s="47">
        <f>(+SUMIFS(манзилли!$M:$M,манзилли!$D:$D,'свод (сектор вилоят)'!$B$72,манзилли!$AA:$AA,"&lt;01.01.2023",манзилли!$AA:$AA,"&gt;=01.01.2022",манзилли!$E:$E,"1"))</f>
        <v>0</v>
      </c>
      <c r="BI73" s="47">
        <f>(+SUMIFS(манзилли!$Q:$Q,манзилли!$D:$D,'свод (сектор вилоят)'!$B$72,манзилли!$AA:$AA,"&lt;01.01.2023",манзилли!$AA:$AA,"&gt;=01.01.2022",манзилли!$E:$E,"1"))</f>
        <v>0</v>
      </c>
      <c r="BJ73" s="47">
        <f>(+SUMIFS(манзилли!$S:$S,манзилли!$D:$D,'свод (сектор вилоят)'!$B$72,манзилли!$AA:$AA,"&lt;01.01.2023",манзилли!$AA:$AA,"&gt;=01.01.2022",манзилли!$E:$E,"1"))</f>
        <v>0</v>
      </c>
      <c r="BK73" s="47">
        <f>(+SUMIFS(манзилли!$U:$U,манзилли!$D:$D,'свод (сектор вилоят)'!$B$72,манзилли!$AA:$AA,"&lt;01.01.2023",манзилли!$AA:$AA,"&gt;=01.01.2022",манзилли!$E:$E,"1"))</f>
        <v>0</v>
      </c>
      <c r="BL73" s="48">
        <f>+SUMIFS(манзилли!$Y:$Y,манзилли!$D:$D,'свод (сектор вилоят)'!$B$72,манзилли!$AA:$AA,"&lt;01.01.2023",манзилли!$AA:$AA,"&gt;=01.01.2022",манзилли!$E:$E,"1")</f>
        <v>0</v>
      </c>
    </row>
    <row r="74" spans="1:64" s="3" customFormat="1" ht="39.75" customHeight="1">
      <c r="A74" s="51"/>
      <c r="B74" s="27" t="s">
        <v>1772</v>
      </c>
      <c r="C74" s="28">
        <f>+COUNTIFS(манзилли!$D:$D,'свод (сектор вилоят)'!$B$72,манзилли!$E:$E,"2")</f>
        <v>11</v>
      </c>
      <c r="D74" s="29">
        <f>(+SUMIFS(манзилли!$K:$K,манзилли!$D:$D,'свод (сектор вилоят)'!$B$72,манзилли!$E:$E,"2"))</f>
        <v>22551</v>
      </c>
      <c r="E74" s="29">
        <f>(+SUMIFS(манзилли!$M:$M,манзилли!$D:$D,'свод (сектор вилоят)'!$B$72,манзилли!$E:$E,"2"))</f>
        <v>8058</v>
      </c>
      <c r="F74" s="29">
        <f>(+SUMIFS(манзилли!$Q:$Q,манзилли!$D:$D,'свод (сектор вилоят)'!$B$72,манзилли!$E:$E,"2"))</f>
        <v>14493</v>
      </c>
      <c r="G74" s="29">
        <f>(+SUMIFS(манзилли!$S:$S,манзилли!$D:$D,'свод (сектор вилоят)'!$B$72,манзилли!$E:$E,"2"))</f>
        <v>0</v>
      </c>
      <c r="H74" s="29">
        <f>(+SUMIFS(манзилли!$U:$U,манзилли!$D:$D,'свод (сектор вилоят)'!$B$72,манзилли!$E:$E,"2"))</f>
        <v>0</v>
      </c>
      <c r="I74" s="30">
        <f>+SUMIFS(манзилли!$Y:$Y,манзилли!$D:$D,'свод (сектор вилоят)'!$B$72,манзилли!$E:$E,"2")</f>
        <v>127</v>
      </c>
      <c r="J74" s="28">
        <f>(+COUNTIFS(манзилли!$L:$L,"&gt;0",манзилли!$D:$D,'свод (сектор вилоят)'!$B$72,манзилли!$E:$E,"2")+COUNTIFS('Қўшимча ишга тушган'!$T:$T,"&gt;0",'Қўшимча ишга тушган'!$D:$D,'свод (сектор вилоят)'!$B$72,'Қўшимча ишга тушган'!$E:$E,"2"))</f>
        <v>9</v>
      </c>
      <c r="K74" s="30">
        <f>(+SUMIFS(манзилли!$L:$L,манзилли!$D:$D,'свод (сектор вилоят)'!$B$72,манзилли!$E:$E,"2")+SUMIFS('Қўшимча ишга тушган'!$T:$T,'Қўшимча ишга тушган'!$D:$D,'свод (сектор вилоят)'!$B$72,'Қўшимча ишга тушган'!$E:$E,"2"))</f>
        <v>9950</v>
      </c>
      <c r="L74" s="31">
        <f>(+SUMIFS(манзилли!$N:$N,манзилли!$D:$D,'свод (сектор вилоят)'!$B$72,манзилли!$E:$E,"2")+SUMIFS('Қўшимча ишга тушган'!$V:$V,'Қўшимча ишга тушган'!$D:$D,'свод (сектор вилоят)'!$B$72,'Қўшимча ишга тушган'!$E:$E,"2"))</f>
        <v>2300</v>
      </c>
      <c r="M74" s="29">
        <f>(+SUMIFS(манзилли!$R:$R,манзилли!$D:$D,'свод (сектор вилоят)'!$B$72,манзилли!$E:$E,"2")+SUMIFS('Қўшимча ишга тушган'!$Z:$Z,'Қўшимча ишга тушган'!$D:$D,'свод (сектор вилоят)'!$B$72,'Қўшимча ишга тушган'!$E:$E,"2"))</f>
        <v>7650</v>
      </c>
      <c r="N74" s="29">
        <f>(+SUMIFS(манзилли!$T:$T,манзилли!$D:$D,'свод (сектор вилоят)'!$B$72,манзилли!$E:$E,"2")+SUMIFS('Қўшимча ишга тушган'!$AB:$AB,'Қўшимча ишга тушган'!$D:$D,'свод (сектор вилоят)'!$B$72,'Қўшимча ишга тушган'!$E:$E,"2"))</f>
        <v>0</v>
      </c>
      <c r="O74" s="30">
        <f>(+SUMIFS(манзилли!$V:$V,манзилли!$D:$D,'свод (сектор вилоят)'!$B$72,манзилли!$E:$E,"2")+SUMIFS('Қўшимча ишга тушган'!$AD:$AD,'Қўшимча ишга тушган'!$D:$D,'свод (сектор вилоят)'!$B$72,'Қўшимча ишга тушган'!$E:$E,"2"))</f>
        <v>0</v>
      </c>
      <c r="P74" s="28">
        <f>+COUNTIFS(манзилли!$D:$D,'свод (сектор вилоят)'!$B$72,манзилли!$AA:$AA,"&gt;31.12.2020",манзилли!$AA:$AA,"&lt;01.01.2022",манзилли!$E:$E,"2")</f>
        <v>9</v>
      </c>
      <c r="Q74" s="29">
        <f>(+SUMIFS(манзилли!$K:$K,манзилли!$D:$D,'свод (сектор вилоят)'!$B$72,манзилли!$AA:$AA,"&gt;31.12.2020",манзилли!$AA:$AA,"&lt;01.01.2022",манзилли!$E:$E,"2"))</f>
        <v>14251</v>
      </c>
      <c r="R74" s="29">
        <f>(+SUMIFS(манзилли!$M:$M,манзилли!$D:$D,'свод (сектор вилоят)'!$B$72,манзилли!$AA:$AA,"&gt;31.12.2020",манзилли!$AA:$AA,"&lt;01.01.2022",манзилли!$E:$E,"2"))</f>
        <v>4958</v>
      </c>
      <c r="S74" s="29">
        <f>(+SUMIFS(манзилли!$Q:$Q,манзилли!$D:$D,'свод (сектор вилоят)'!$B$72,манзилли!$AA:$AA,"&gt;31.12.2020",манзилли!$AA:$AA,"&lt;01.01.2022",манзилли!$E:$E,"2"))</f>
        <v>9293</v>
      </c>
      <c r="T74" s="29">
        <f>(+SUMIFS(манзилли!$S:$S,манзилли!$D:$D,'свод (сектор вилоят)'!$B$72,манзилли!$AA:$AA,"&gt;31.12.2020",манзилли!$AA:$AA,"&lt;01.01.2022",манзилли!$E:$E,"2"))</f>
        <v>0</v>
      </c>
      <c r="U74" s="29">
        <f>(+SUMIFS(манзилли!$U:$U,манзилли!$D:$D,'свод (сектор вилоят)'!$B$72,манзилли!$AA:$AA,"&gt;31.12.2020",манзилли!$AA:$AA,"&lt;01.01.2022",манзилли!$E:$E,"2"))</f>
        <v>0</v>
      </c>
      <c r="V74" s="30">
        <f>+SUMIFS(манзилли!$Y:$Y,манзилли!$D:$D,'свод (сектор вилоят)'!$B$72,манзилли!$AA:$AA,"&gt;31.12.2020",манзилли!$AA:$AA,"&lt;01.01.2022",манзилли!$E:$E,"2")</f>
        <v>62</v>
      </c>
      <c r="W74" s="28">
        <f t="shared" ref="W74:W76" si="900">+AD74+AK74</f>
        <v>0</v>
      </c>
      <c r="X74" s="29">
        <f t="shared" si="894"/>
        <v>0</v>
      </c>
      <c r="Y74" s="29">
        <f t="shared" si="895"/>
        <v>0</v>
      </c>
      <c r="Z74" s="29">
        <f t="shared" si="896"/>
        <v>0</v>
      </c>
      <c r="AA74" s="29">
        <f t="shared" si="897"/>
        <v>0</v>
      </c>
      <c r="AB74" s="29">
        <f t="shared" si="898"/>
        <v>0</v>
      </c>
      <c r="AC74" s="30">
        <f t="shared" si="899"/>
        <v>0</v>
      </c>
      <c r="AD74" s="28">
        <f>+COUNTIFS(манзилли!$D:$D,'свод (сектор вилоят)'!$B$72,манзилли!$AB:$AB,"&gt;31.12.2020",манзилли!$AA:$AA,"&gt;31.12.2020",манзилли!$AA:$AA,"&lt;01.01.2022",манзилли!$E:$E,"2")</f>
        <v>0</v>
      </c>
      <c r="AE74" s="29">
        <f>(+SUMIFS(манзилли!$L:$L,манзилли!$D:$D,'свод (сектор вилоят)'!$B$72,манзилли!$AB:$AB,"&gt;31.12.2020",манзилли!$AA:$AA,"&gt;31.12.2020",манзилли!$AA:$AA,"&lt;01.01.2022",манзилли!$E:$E,"2"))</f>
        <v>0</v>
      </c>
      <c r="AF74" s="29">
        <f>(+SUMIFS(манзилли!$N:$N,манзилли!$D:$D,'свод (сектор вилоят)'!$B$72,манзилли!$AB:$AB,"&gt;31.12.2020",манзилли!$AA:$AA,"&gt;31.12.2020",манзилли!$AA:$AA,"&lt;01.01.2022",манзилли!$E:$E,"2"))</f>
        <v>0</v>
      </c>
      <c r="AG74" s="29">
        <f>(+SUMIFS(манзилли!$R:$R,манзилли!$D:$D,'свод (сектор вилоят)'!$B$72,манзилли!$AB:$AB,"&gt;31.12.2020",манзилли!$AA:$AA,"&gt;31.12.2020",манзилли!$AA:$AA,"&lt;01.01.2022",манзилли!$E:$E,"2"))</f>
        <v>0</v>
      </c>
      <c r="AH74" s="29">
        <f>(+SUMIFS(манзилли!$T:$T,манзилли!$D:$D,'свод (сектор вилоят)'!$B$72,манзилли!$AB:$AB,"&gt;31.12.2020",манзилли!$AA:$AA,"&gt;31.12.2020",манзилли!$AA:$AA,"&lt;01.01.2022",манзилли!$E:$E,"2"))</f>
        <v>0</v>
      </c>
      <c r="AI74" s="29">
        <f>(+SUMIFS(манзилли!$V:$V,манзилли!$D:$D,'свод (сектор вилоят)'!$B$72,манзилли!$AB:$AB,"&gt;31.12.2020",манзилли!$AA:$AA,"&gt;31.12.2020",манзилли!$AA:$AA,"&lt;01.01.2022",манзилли!$E:$E,"2"))</f>
        <v>0</v>
      </c>
      <c r="AJ74" s="30">
        <f>+SUMIFS(манзилли!$Z:$Z,манзилли!$D:$D,'свод (сектор вилоят)'!$B$72,манзилли!$AB:$AB,"&gt;31.12.2020",манзилли!$AA:$AA,"&gt;31.12.2020",манзилли!$AA:$AA,"&lt;01.01.2022",манзилли!$E:$E,"2")</f>
        <v>0</v>
      </c>
      <c r="AK74" s="28">
        <f>+COUNTIFS('Қўшимча ишга тушган'!$D:$D,'свод (сектор вилоят)'!B72,'Қўшимча ишга тушган'!$AO:$AO,"&lt;01.10.2023",манзилли!$E:$E,"2")</f>
        <v>0</v>
      </c>
      <c r="AL74" s="29">
        <f>(+SUMIFS('Қўшимча ишга тушган'!$T:$T,'Қўшимча ишга тушган'!$D:$D,'свод (сектор вилоят)'!$B$72,'Қўшимча ишга тушган'!$AO:$AO,"&lt;01.10.2023",манзилли!$E:$E,"2"))</f>
        <v>0</v>
      </c>
      <c r="AM74" s="29">
        <f>(+SUMIFS('Қўшимча ишга тушган'!$V:$V,'Қўшимча ишга тушган'!$D:$D,'свод (сектор вилоят)'!$B$72,'Қўшимча ишга тушган'!$AO:$AO,"&lt;01.10.2023",манзилли!$E:$E,"2"))</f>
        <v>0</v>
      </c>
      <c r="AN74" s="29">
        <f>(+SUMIFS('Қўшимча ишга тушган'!$Z:$Z,'Қўшимча ишга тушган'!$D:$D,'свод (сектор вилоят)'!$B$72,'Қўшимча ишга тушган'!$AO:$AO,"&lt;01.10.2023",манзилли!$E:$E,"2"))</f>
        <v>0</v>
      </c>
      <c r="AO74" s="29">
        <f>(+SUMIFS('Қўшимча ишга тушган'!$AB:$AB,'Қўшимча ишга тушган'!$D:$D,'свод (сектор вилоят)'!$B$72,'Қўшимча ишга тушган'!$AO:$AO,"&lt;01.10.2023",манзилли!$E:$E,"2"))</f>
        <v>0</v>
      </c>
      <c r="AP74" s="29">
        <f>(+SUMIFS('Қўшимча ишга тушган'!$AD:$AD,'Қўшимча ишга тушган'!$D:$D,'свод (сектор вилоят)'!$B$72,'Қўшимча ишга тушган'!$AO:$AO,"&lt;01.10.2023",манзилли!$E:$E,"2"))</f>
        <v>0</v>
      </c>
      <c r="AQ74" s="30">
        <f>+SUMIFS('Қўшимча ишга тушган'!$AM:$AM,'Қўшимча ишга тушган'!$D:$D,'свод (сектор вилоят)'!$B$72,'Қўшимча ишга тушган'!$AO:$AO,"&lt;01.10.2023",манзилли!$E:$E,"2")</f>
        <v>0</v>
      </c>
      <c r="AR74" s="28">
        <f>+COUNTIFS(манзилли!$D:$D,'свод (сектор вилоят)'!$B$72,манзилли!$AA:$AA,"&lt;01.02.2021",манзилли!$AB:$AB,"",манзилли!$E:$E,"2")</f>
        <v>0</v>
      </c>
      <c r="AS74" s="29">
        <f>(+SUMIFS(манзилли!$K:$K,манзилли!$D:$D,'свод (сектор вилоят)'!$B$72,манзилли!$AA:$AA,"&lt;01.02.2021",манзилли!$AB:$AB,"",манзилли!$E:$E,"2"))</f>
        <v>0</v>
      </c>
      <c r="AT74" s="29">
        <f>(+SUMIFS(манзилли!$M:$M,манзилли!$D:$D,'свод (сектор вилоят)'!$B$72,манзилли!$AA:$AA,"&lt;01.02.2021",манзилли!$AB:$AB,"",манзилли!$E:$E,"2"))</f>
        <v>0</v>
      </c>
      <c r="AU74" s="29">
        <f>(+SUMIFS(манзилли!$Q:$Q,манзилли!$D:$D,'свод (сектор вилоят)'!$B$72,манзилли!$AA:$AA,"&lt;01.02.2021",манзилли!$AB:$AB,"",манзилли!$E:$E,"2"))</f>
        <v>0</v>
      </c>
      <c r="AV74" s="29">
        <f>(+SUMIFS(манзилли!$S:$S,манзилли!$D:$D,'свод (сектор вилоят)'!$B$72,манзилли!$AA:$AA,"&lt;01.02.2021",манзилли!$AB:$AB,"",манзилли!$E:$E,"2"))</f>
        <v>0</v>
      </c>
      <c r="AW74" s="29">
        <f>(+SUMIFS(манзилли!$U:$U,манзилли!$D:$D,'свод (сектор вилоят)'!$B$72,манзилли!$AA:$AA,"&lt;01.02.2021",манзилли!$AB:$AB,"",манзилли!$E:$E,"2"))</f>
        <v>0</v>
      </c>
      <c r="AX74" s="30">
        <f>+SUMIFS(манзилли!$Y:$Y,манзилли!$D:$D,'свод (сектор вилоят)'!$B$72,манзилли!$AA:$AA,"&lt;01.02.2021",манзилли!$AB:$AB,"",манзилли!$E:$E,"2")</f>
        <v>0</v>
      </c>
      <c r="AY74" s="28">
        <f>+COUNTIFS(манзилли!$D:$D,'свод (сектор вилоят)'!$B$72,манзилли!$AA:$AA,"&lt;01.01.2022",манзилли!$AB:$AB,"",манзилли!$E:$E,"2")</f>
        <v>5</v>
      </c>
      <c r="AZ74" s="29">
        <f>(+SUMIFS(манзилли!$K:$K,манзилли!$D:$D,'свод (сектор вилоят)'!$B$72,манзилли!$AA:$AA,"&lt;01.01.2022",манзилли!$AB:$AB,"",манзилли!$E:$E,"2"))</f>
        <v>10731</v>
      </c>
      <c r="BA74" s="29">
        <f>(+SUMIFS(манзилли!$M:$M,манзилли!$D:$D,'свод (сектор вилоят)'!$B$72,манзилли!$AA:$AA,"&lt;01.01.2022",манзилли!$AB:$AB,"",манзилли!$E:$E,"2"))</f>
        <v>3188</v>
      </c>
      <c r="BB74" s="29">
        <f>(+SUMIFS(манзилли!$Q:$Q,манзилли!$D:$D,'свод (сектор вилоят)'!$B$72,манзилли!$AA:$AA,"&lt;01.01.2022",манзилли!$AB:$AB,"",манзилли!$E:$E,"2"))</f>
        <v>7543</v>
      </c>
      <c r="BC74" s="29">
        <f>(+SUMIFS(манзилли!$S:$S,манзилли!$D:$D,'свод (сектор вилоят)'!$B$72,манзилли!$AA:$AA,"&lt;01.01.2022",манзилли!$AB:$AB,"",манзилли!$E:$E,"2"))</f>
        <v>0</v>
      </c>
      <c r="BD74" s="29">
        <f>(+SUMIFS(манзилли!$U:$U,манзилли!$D:$D,'свод (сектор вилоят)'!$B$72,манзилли!$AA:$AA,"&lt;01.01.2022",манзилли!$AB:$AB,"",манзилли!$E:$E,"2"))</f>
        <v>0</v>
      </c>
      <c r="BE74" s="30">
        <f>+SUMIFS(манзилли!$Y:$Y,манзилли!$D:$D,'свод (сектор вилоят)'!$B$72,манзилли!$AA:$AA,"&lt;01.01.2022",манзилли!$AB:$AB,"",манзилли!$E:$E,"2")</f>
        <v>31</v>
      </c>
      <c r="BF74" s="28">
        <f>+COUNTIFS(манзилли!$D:$D,'свод (сектор вилоят)'!$B$72,манзилли!$AA:$AA,"&lt;01.01.2023",манзилли!$AA:$AA,"&gt;=01.01.2022",манзилли!$E:$E,"2")</f>
        <v>1</v>
      </c>
      <c r="BG74" s="29">
        <f>(+SUMIFS(манзилли!$K:$K,манзилли!$D:$D,'свод (сектор вилоят)'!$B$72,манзилли!$AA:$AA,"&lt;01.01.2023",манзилли!$AA:$AA,"&gt;=01.01.2022",манзилли!$E:$E,"2"))</f>
        <v>8000</v>
      </c>
      <c r="BH74" s="29">
        <f>(+SUMIFS(манзилли!$M:$M,манзилли!$D:$D,'свод (сектор вилоят)'!$B$72,манзилли!$AA:$AA,"&lt;01.01.2023",манзилли!$AA:$AA,"&gt;=01.01.2022",манзилли!$E:$E,"2"))</f>
        <v>3000</v>
      </c>
      <c r="BI74" s="29">
        <f>(+SUMIFS(манзилли!$Q:$Q,манзилли!$D:$D,'свод (сектор вилоят)'!$B$72,манзилли!$AA:$AA,"&lt;01.01.2023",манзилли!$AA:$AA,"&gt;=01.01.2022",манзилли!$E:$E,"2"))</f>
        <v>5000</v>
      </c>
      <c r="BJ74" s="29">
        <f>(+SUMIFS(манзилли!$S:$S,манзилли!$D:$D,'свод (сектор вилоят)'!$B$72,манзилли!$AA:$AA,"&lt;01.01.2023",манзилли!$AA:$AA,"&gt;=01.01.2022",манзилли!$E:$E,"2"))</f>
        <v>0</v>
      </c>
      <c r="BK74" s="29">
        <f>(+SUMIFS(манзилли!$U:$U,манзилли!$D:$D,'свод (сектор вилоят)'!$B$72,манзилли!$AA:$AA,"&lt;01.01.2023",манзилли!$AA:$AA,"&gt;=01.01.2022",манзилли!$E:$E,"2"))</f>
        <v>0</v>
      </c>
      <c r="BL74" s="30">
        <f>+SUMIFS(манзилли!$Y:$Y,манзилли!$D:$D,'свод (сектор вилоят)'!$B$72,манзилли!$AA:$AA,"&lt;01.01.2023",манзилли!$AA:$AA,"&gt;=01.01.2022",манзилли!$E:$E,"2")</f>
        <v>60</v>
      </c>
    </row>
    <row r="75" spans="1:64" s="3" customFormat="1" ht="39.75" customHeight="1">
      <c r="A75" s="51"/>
      <c r="B75" s="27" t="s">
        <v>1773</v>
      </c>
      <c r="C75" s="28">
        <f>+COUNTIFS(манзилли!$D:$D,'свод (сектор вилоят)'!$B$72,манзилли!$E:$E,"3")</f>
        <v>7</v>
      </c>
      <c r="D75" s="29">
        <f>(+SUMIFS(манзилли!$K:$K,манзилли!$D:$D,'свод (сектор вилоят)'!$B$72,манзилли!$E:$E,"3"))</f>
        <v>94550</v>
      </c>
      <c r="E75" s="29">
        <f>(+SUMIFS(манзилли!$M:$M,манзилли!$D:$D,'свод (сектор вилоят)'!$B$72,манзилли!$E:$E,"3"))</f>
        <v>42350</v>
      </c>
      <c r="F75" s="29">
        <f>(+SUMIFS(манзилли!$Q:$Q,манзилли!$D:$D,'свод (сектор вилоят)'!$B$72,манзилли!$E:$E,"3"))</f>
        <v>700</v>
      </c>
      <c r="G75" s="29">
        <f>(+SUMIFS(манзилли!$S:$S,манзилли!$D:$D,'свод (сектор вилоят)'!$B$72,манзилли!$E:$E,"3"))</f>
        <v>5000</v>
      </c>
      <c r="H75" s="29">
        <f>(+SUMIFS(манзилли!$U:$U,манзилли!$D:$D,'свод (сектор вилоят)'!$B$72,манзилли!$E:$E,"3"))</f>
        <v>0</v>
      </c>
      <c r="I75" s="30">
        <f>+SUMIFS(манзилли!$Y:$Y,манзилли!$D:$D,'свод (сектор вилоят)'!$B$72,манзилли!$E:$E,"3")</f>
        <v>66</v>
      </c>
      <c r="J75" s="28">
        <f>(+COUNTIFS(манзилли!$L:$L,"&gt;0",манзилли!$D:$D,'свод (сектор вилоят)'!$B$72,манзилли!$E:$E,"3")+COUNTIFS('Қўшимча ишга тушган'!$T:$T,"&gt;0",'Қўшимча ишга тушган'!$D:$D,'свод (сектор вилоят)'!$B$72,'Қўшимча ишга тушган'!$E:$E,"3"))</f>
        <v>4</v>
      </c>
      <c r="K75" s="30">
        <f>(+SUMIFS(манзилли!$L:$L,манзилли!$D:$D,'свод (сектор вилоят)'!$B$72,манзилли!$E:$E,"3")+SUMIFS('Қўшимча ишга тушган'!$T:$T,'Қўшимча ишга тушган'!$D:$D,'свод (сектор вилоят)'!$B$72,'Қўшимча ишга тушган'!$E:$E,"3"))</f>
        <v>46453</v>
      </c>
      <c r="L75" s="31">
        <f>(+SUMIFS(манзилли!$N:$N,манзилли!$D:$D,'свод (сектор вилоят)'!$B$72,манзилли!$E:$E,"3")+SUMIFS('Қўшимча ишга тушган'!$V:$V,'Қўшимча ишга тушган'!$D:$D,'свод (сектор вилоят)'!$B$72,'Қўшимча ишга тушган'!$E:$E,"3"))</f>
        <v>0</v>
      </c>
      <c r="M75" s="29">
        <f>(+SUMIFS(манзилли!$R:$R,манзилли!$D:$D,'свод (сектор вилоят)'!$B$72,манзилли!$E:$E,"3")+SUMIFS('Қўшимча ишга тушган'!$Z:$Z,'Қўшимча ишга тушган'!$D:$D,'свод (сектор вилоят)'!$B$72,'Қўшимча ишга тушган'!$E:$E,"3"))</f>
        <v>400</v>
      </c>
      <c r="N75" s="29">
        <f>(+SUMIFS(манзилли!$T:$T,манзилли!$D:$D,'свод (сектор вилоят)'!$B$72,манзилли!$E:$E,"3")+SUMIFS('Қўшимча ишга тушган'!$AB:$AB,'Қўшимча ишга тушган'!$D:$D,'свод (сектор вилоят)'!$B$72,'Қўшимча ишга тушган'!$E:$E,"3"))</f>
        <v>4515</v>
      </c>
      <c r="O75" s="30">
        <f>(+SUMIFS(манзилли!$V:$V,манзилли!$D:$D,'свод (сектор вилоят)'!$B$72,манзилли!$E:$E,"3")+SUMIFS('Қўшимча ишга тушган'!$AD:$AD,'Қўшимча ишга тушган'!$D:$D,'свод (сектор вилоят)'!$B$72,'Қўшимча ишга тушган'!$E:$E,"3"))</f>
        <v>0</v>
      </c>
      <c r="P75" s="28">
        <f>+COUNTIFS(манзилли!$D:$D,'свод (сектор вилоят)'!$B$72,манзилли!$AA:$AA,"&gt;31.12.2020",манзилли!$AA:$AA,"&lt;01.01.2022",манзилли!$E:$E,"3")</f>
        <v>7</v>
      </c>
      <c r="Q75" s="29">
        <f>(+SUMIFS(манзилли!$K:$K,манзилли!$D:$D,'свод (сектор вилоят)'!$B$72,манзилли!$AA:$AA,"&gt;31.12.2020",манзилли!$AA:$AA,"&lt;01.01.2022",манзилли!$E:$E,"3"))</f>
        <v>94550</v>
      </c>
      <c r="R75" s="29">
        <f>(+SUMIFS(манзилли!$M:$M,манзилли!$D:$D,'свод (сектор вилоят)'!$B$72,манзилли!$AA:$AA,"&gt;31.12.2020",манзилли!$AA:$AA,"&lt;01.01.2022",манзилли!$E:$E,"3"))</f>
        <v>42350</v>
      </c>
      <c r="S75" s="29">
        <f>(+SUMIFS(манзилли!$Q:$Q,манзилли!$D:$D,'свод (сектор вилоят)'!$B$72,манзилли!$AA:$AA,"&gt;31.12.2020",манзилли!$AA:$AA,"&lt;01.01.2022",манзилли!$E:$E,"3"))</f>
        <v>700</v>
      </c>
      <c r="T75" s="29">
        <f>(+SUMIFS(манзилли!$S:$S,манзилли!$D:$D,'свод (сектор вилоят)'!$B$72,манзилли!$AA:$AA,"&gt;31.12.2020",манзилли!$AA:$AA,"&lt;01.01.2022",манзилли!$E:$E,"3"))</f>
        <v>5000</v>
      </c>
      <c r="U75" s="29">
        <f>(+SUMIFS(манзилли!$U:$U,манзилли!$D:$D,'свод (сектор вилоят)'!$B$72,манзилли!$AA:$AA,"&gt;31.12.2020",манзилли!$AA:$AA,"&lt;01.01.2022",манзилли!$E:$E,"3"))</f>
        <v>0</v>
      </c>
      <c r="V75" s="30">
        <f>+SUMIFS(манзилли!$Y:$Y,манзилли!$D:$D,'свод (сектор вилоят)'!$B$72,манзилли!$AA:$AA,"&gt;31.12.2020",манзилли!$AA:$AA,"&lt;01.01.2022",манзилли!$E:$E,"3")</f>
        <v>66</v>
      </c>
      <c r="W75" s="28">
        <f t="shared" si="900"/>
        <v>0</v>
      </c>
      <c r="X75" s="29">
        <f t="shared" si="894"/>
        <v>0</v>
      </c>
      <c r="Y75" s="29">
        <f t="shared" si="895"/>
        <v>0</v>
      </c>
      <c r="Z75" s="29">
        <f t="shared" si="896"/>
        <v>0</v>
      </c>
      <c r="AA75" s="29">
        <f t="shared" si="897"/>
        <v>0</v>
      </c>
      <c r="AB75" s="29">
        <f t="shared" si="898"/>
        <v>0</v>
      </c>
      <c r="AC75" s="30">
        <f t="shared" si="899"/>
        <v>0</v>
      </c>
      <c r="AD75" s="28">
        <f>+COUNTIFS(манзилли!$D:$D,'свод (сектор вилоят)'!$B$72,манзилли!$AB:$AB,"&gt;31.12.2020",манзилли!$AA:$AA,"&gt;31.12.2020",манзилли!$AA:$AA,"&lt;01.01.2022",манзилли!$E:$E,"3")</f>
        <v>0</v>
      </c>
      <c r="AE75" s="29">
        <f>(+SUMIFS(манзилли!$L:$L,манзилли!$D:$D,'свод (сектор вилоят)'!$B$72,манзилли!$AB:$AB,"&gt;31.12.2020",манзилли!$AA:$AA,"&gt;31.12.2020",манзилли!$AA:$AA,"&lt;01.01.2022",манзилли!$E:$E,"3"))</f>
        <v>0</v>
      </c>
      <c r="AF75" s="29">
        <f>(+SUMIFS(манзилли!$N:$N,манзилли!$D:$D,'свод (сектор вилоят)'!$B$72,манзилли!$AB:$AB,"&gt;31.12.2020",манзилли!$AA:$AA,"&gt;31.12.2020",манзилли!$AA:$AA,"&lt;01.01.2022",манзилли!$E:$E,"3"))</f>
        <v>0</v>
      </c>
      <c r="AG75" s="29">
        <f>(+SUMIFS(манзилли!$R:$R,манзилли!$D:$D,'свод (сектор вилоят)'!$B$72,манзилли!$AB:$AB,"&gt;31.12.2020",манзилли!$AA:$AA,"&gt;31.12.2020",манзилли!$AA:$AA,"&lt;01.01.2022",манзилли!$E:$E,"3"))</f>
        <v>0</v>
      </c>
      <c r="AH75" s="29">
        <f>(+SUMIFS(манзилли!$T:$T,манзилли!$D:$D,'свод (сектор вилоят)'!$B$72,манзилли!$AB:$AB,"&gt;31.12.2020",манзилли!$AA:$AA,"&gt;31.12.2020",манзилли!$AA:$AA,"&lt;01.01.2022",манзилли!$E:$E,"3"))</f>
        <v>0</v>
      </c>
      <c r="AI75" s="29">
        <f>(+SUMIFS(манзилли!$V:$V,манзилли!$D:$D,'свод (сектор вилоят)'!$B$72,манзилли!$AB:$AB,"&gt;31.12.2020",манзилли!$AA:$AA,"&gt;31.12.2020",манзилли!$AA:$AA,"&lt;01.01.2022",манзилли!$E:$E,"3"))</f>
        <v>0</v>
      </c>
      <c r="AJ75" s="30">
        <f>+SUMIFS(манзилли!$Z:$Z,манзилли!$D:$D,'свод (сектор вилоят)'!$B$72,манзилли!$AB:$AB,"&gt;31.12.2020",манзилли!$AA:$AA,"&gt;31.12.2020",манзилли!$AA:$AA,"&lt;01.01.2022",манзилли!$E:$E,"3")</f>
        <v>0</v>
      </c>
      <c r="AK75" s="28">
        <f>+COUNTIFS('Қўшимча ишга тушган'!$D:$D,'свод (сектор вилоят)'!B72,'Қўшимча ишга тушган'!$AO:$AO,"&lt;01.10.2023",манзилли!$E:$E,"3")</f>
        <v>0</v>
      </c>
      <c r="AL75" s="29">
        <f>(+SUMIFS('Қўшимча ишга тушган'!$T:$T,'Қўшимча ишга тушган'!$D:$D,'свод (сектор вилоят)'!$B$72,'Қўшимча ишга тушган'!$AO:$AO,"&lt;01.10.2023",манзилли!$E:$E,"3"))</f>
        <v>0</v>
      </c>
      <c r="AM75" s="29">
        <f>(+SUMIFS('Қўшимча ишга тушган'!$V:$V,'Қўшимча ишга тушган'!$D:$D,'свод (сектор вилоят)'!$B$72,'Қўшимча ишга тушган'!$AO:$AO,"&lt;01.10.2023",манзилли!$E:$E,"3"))</f>
        <v>0</v>
      </c>
      <c r="AN75" s="29">
        <f>(+SUMIFS('Қўшимча ишга тушган'!$Z:$Z,'Қўшимча ишга тушган'!$D:$D,'свод (сектор вилоят)'!$B$72,'Қўшимча ишга тушган'!$AO:$AO,"&lt;01.10.2023",манзилли!$E:$E,"3"))</f>
        <v>0</v>
      </c>
      <c r="AO75" s="29">
        <f>(+SUMIFS('Қўшимча ишга тушган'!$AB:$AB,'Қўшимча ишга тушган'!$D:$D,'свод (сектор вилоят)'!$B$72,'Қўшимча ишга тушган'!$AO:$AO,"&lt;01.10.2023",манзилли!$E:$E,"3"))</f>
        <v>0</v>
      </c>
      <c r="AP75" s="29">
        <f>(+SUMIFS('Қўшимча ишга тушган'!$AD:$AD,'Қўшимча ишга тушган'!$D:$D,'свод (сектор вилоят)'!$B$72,'Қўшимча ишга тушган'!$AO:$AO,"&lt;01.10.2023",манзилли!$E:$E,"3"))</f>
        <v>0</v>
      </c>
      <c r="AQ75" s="30">
        <f>+SUMIFS('Қўшимча ишга тушган'!$AM:$AM,'Қўшимча ишга тушган'!$D:$D,'свод (сектор вилоят)'!$B$72,'Қўшимча ишга тушган'!$AO:$AO,"&lt;01.10.2023",манзилли!$E:$E,"3")</f>
        <v>0</v>
      </c>
      <c r="AR75" s="28">
        <f>+COUNTIFS(манзилли!$D:$D,'свод (сектор вилоят)'!$B$72,манзилли!$AA:$AA,"&lt;01.02.2021",манзилли!$AB:$AB,"",манзилли!$E:$E,"3")</f>
        <v>0</v>
      </c>
      <c r="AS75" s="29">
        <f>(+SUMIFS(манзилли!$K:$K,манзилли!$D:$D,'свод (сектор вилоят)'!$B$72,манзилли!$AA:$AA,"&lt;01.02.2021",манзилли!$AB:$AB,"",манзилли!$E:$E,"3"))</f>
        <v>0</v>
      </c>
      <c r="AT75" s="29">
        <f>(+SUMIFS(манзилли!$M:$M,манзилли!$D:$D,'свод (сектор вилоят)'!$B$72,манзилли!$AA:$AA,"&lt;01.02.2021",манзилли!$AB:$AB,"",манзилли!$E:$E,"3"))</f>
        <v>0</v>
      </c>
      <c r="AU75" s="29">
        <f>(+SUMIFS(манзилли!$Q:$Q,манзилли!$D:$D,'свод (сектор вилоят)'!$B$72,манзилли!$AA:$AA,"&lt;01.02.2021",манзилли!$AB:$AB,"",манзилли!$E:$E,"3"))</f>
        <v>0</v>
      </c>
      <c r="AV75" s="29">
        <f>(+SUMIFS(манзилли!$S:$S,манзилли!$D:$D,'свод (сектор вилоят)'!$B$72,манзилли!$AA:$AA,"&lt;01.02.2021",манзилли!$AB:$AB,"",манзилли!$E:$E,"3"))</f>
        <v>0</v>
      </c>
      <c r="AW75" s="29">
        <f>(+SUMIFS(манзилли!$U:$U,манзилли!$D:$D,'свод (сектор вилоят)'!$B$72,манзилли!$AA:$AA,"&lt;01.02.2021",манзилли!$AB:$AB,"",манзилли!$E:$E,"3"))</f>
        <v>0</v>
      </c>
      <c r="AX75" s="30">
        <f>+SUMIFS(манзилли!$Y:$Y,манзилли!$D:$D,'свод (сектор вилоят)'!$B$72,манзилли!$AA:$AA,"&lt;01.02.2021",манзилли!$AB:$AB,"",манзилли!$E:$E,"3")</f>
        <v>0</v>
      </c>
      <c r="AY75" s="28">
        <f>+COUNTIFS(манзилли!$D:$D,'свод (сектор вилоят)'!$B$72,манзилли!$AA:$AA,"&lt;01.01.2022",манзилли!$AB:$AB,"",манзилли!$E:$E,"3")</f>
        <v>7</v>
      </c>
      <c r="AZ75" s="29">
        <f>(+SUMIFS(манзилли!$K:$K,манзилли!$D:$D,'свод (сектор вилоят)'!$B$72,манзилли!$AA:$AA,"&lt;01.01.2022",манзилли!$AB:$AB,"",манзилли!$E:$E,"3"))</f>
        <v>94550</v>
      </c>
      <c r="BA75" s="29">
        <f>(+SUMIFS(манзилли!$M:$M,манзилли!$D:$D,'свод (сектор вилоят)'!$B$72,манзилли!$AA:$AA,"&lt;01.01.2022",манзилли!$AB:$AB,"",манзилли!$E:$E,"3"))</f>
        <v>42350</v>
      </c>
      <c r="BB75" s="29">
        <f>(+SUMIFS(манзилли!$Q:$Q,манзилли!$D:$D,'свод (сектор вилоят)'!$B$72,манзилли!$AA:$AA,"&lt;01.01.2022",манзилли!$AB:$AB,"",манзилли!$E:$E,"3"))</f>
        <v>700</v>
      </c>
      <c r="BC75" s="29">
        <f>(+SUMIFS(манзилли!$S:$S,манзилли!$D:$D,'свод (сектор вилоят)'!$B$72,манзилли!$AA:$AA,"&lt;01.01.2022",манзилли!$AB:$AB,"",манзилли!$E:$E,"3"))</f>
        <v>5000</v>
      </c>
      <c r="BD75" s="29">
        <f>(+SUMIFS(манзилли!$U:$U,манзилли!$D:$D,'свод (сектор вилоят)'!$B$72,манзилли!$AA:$AA,"&lt;01.01.2022",манзилли!$AB:$AB,"",манзилли!$E:$E,"3"))</f>
        <v>0</v>
      </c>
      <c r="BE75" s="30">
        <f>+SUMIFS(манзилли!$Y:$Y,манзилли!$D:$D,'свод (сектор вилоят)'!$B$72,манзилли!$AA:$AA,"&lt;01.01.2022",манзилли!$AB:$AB,"",манзилли!$E:$E,"3")</f>
        <v>66</v>
      </c>
      <c r="BF75" s="28">
        <f>+COUNTIFS(манзилли!$D:$D,'свод (сектор вилоят)'!$B$72,манзилли!$AA:$AA,"&lt;01.01.2023",манзилли!$AA:$AA,"&gt;=01.01.2022",манзилли!$E:$E,"3")</f>
        <v>0</v>
      </c>
      <c r="BG75" s="29">
        <f>(+SUMIFS(манзилли!$K:$K,манзилли!$D:$D,'свод (сектор вилоят)'!$B$72,манзилли!$AA:$AA,"&lt;01.01.2023",манзилли!$AA:$AA,"&gt;=01.01.2022",манзилли!$E:$E,"3"))</f>
        <v>0</v>
      </c>
      <c r="BH75" s="29">
        <f>(+SUMIFS(манзилли!$M:$M,манзилли!$D:$D,'свод (сектор вилоят)'!$B$72,манзилли!$AA:$AA,"&lt;01.01.2023",манзилли!$AA:$AA,"&gt;=01.01.2022",манзилли!$E:$E,"3"))</f>
        <v>0</v>
      </c>
      <c r="BI75" s="29">
        <f>(+SUMIFS(манзилли!$Q:$Q,манзилли!$D:$D,'свод (сектор вилоят)'!$B$72,манзилли!$AA:$AA,"&lt;01.01.2023",манзилли!$AA:$AA,"&gt;=01.01.2022",манзилли!$E:$E,"3"))</f>
        <v>0</v>
      </c>
      <c r="BJ75" s="29">
        <f>(+SUMIFS(манзилли!$S:$S,манзилли!$D:$D,'свод (сектор вилоят)'!$B$72,манзилли!$AA:$AA,"&lt;01.01.2023",манзилли!$AA:$AA,"&gt;=01.01.2022",манзилли!$E:$E,"3"))</f>
        <v>0</v>
      </c>
      <c r="BK75" s="29">
        <f>(+SUMIFS(манзилли!$U:$U,манзилли!$D:$D,'свод (сектор вилоят)'!$B$72,манзилли!$AA:$AA,"&lt;01.01.2023",манзилли!$AA:$AA,"&gt;=01.01.2022",манзилли!$E:$E,"3"))</f>
        <v>0</v>
      </c>
      <c r="BL75" s="30">
        <f>+SUMIFS(манзилли!$Y:$Y,манзилли!$D:$D,'свод (сектор вилоят)'!$B$72,манзилли!$AA:$AA,"&lt;01.01.2023",манзилли!$AA:$AA,"&gt;=01.01.2022",манзилли!$E:$E,"3")</f>
        <v>0</v>
      </c>
    </row>
    <row r="76" spans="1:64" s="3" customFormat="1" ht="39.75" customHeight="1" thickBot="1">
      <c r="A76" s="55"/>
      <c r="B76" s="36" t="s">
        <v>1774</v>
      </c>
      <c r="C76" s="37">
        <f>+COUNTIFS(манзилли!$D:$D,'свод (сектор вилоят)'!$B$72,манзилли!$E:$E,"4")</f>
        <v>11</v>
      </c>
      <c r="D76" s="38">
        <f>(+SUMIFS(манзилли!$K:$K,манзилли!$D:$D,'свод (сектор вилоят)'!$B$72,манзилли!$E:$E,"4"))</f>
        <v>16837</v>
      </c>
      <c r="E76" s="38">
        <f>(+SUMIFS(манзилли!$M:$M,манзилли!$D:$D,'свод (сектор вилоят)'!$B$72,манзилли!$E:$E,"4"))</f>
        <v>10537</v>
      </c>
      <c r="F76" s="38">
        <f>(+SUMIFS(манзилли!$Q:$Q,манзилли!$D:$D,'свод (сектор вилоят)'!$B$72,манзилли!$E:$E,"4"))</f>
        <v>6300</v>
      </c>
      <c r="G76" s="38">
        <f>(+SUMIFS(манзилли!$S:$S,манзилли!$D:$D,'свод (сектор вилоят)'!$B$72,манзилли!$E:$E,"4"))</f>
        <v>0</v>
      </c>
      <c r="H76" s="38">
        <f>(+SUMIFS(манзилли!$U:$U,манзилли!$D:$D,'свод (сектор вилоят)'!$B$72,манзилли!$E:$E,"4"))</f>
        <v>0</v>
      </c>
      <c r="I76" s="39">
        <f>+SUMIFS(манзилли!$Y:$Y,манзилли!$D:$D,'свод (сектор вилоят)'!$B$72,манзилли!$E:$E,"4")</f>
        <v>104</v>
      </c>
      <c r="J76" s="37">
        <f>(+COUNTIFS(манзилли!$L:$L,"&gt;0",манзилли!$D:$D,'свод (сектор вилоят)'!$B$72,манзилли!$E:$E,"4")+COUNTIFS('Қўшимча ишга тушган'!$T:$T,"&gt;0",'Қўшимча ишга тушган'!$D:$D,'свод (сектор вилоят)'!$B$72,'Қўшимча ишга тушган'!$E:$E,"4"))</f>
        <v>8</v>
      </c>
      <c r="K76" s="39">
        <f>(+SUMIFS(манзилли!$L:$L,манзилли!$D:$D,'свод (сектор вилоят)'!$B$72,манзилли!$E:$E,"4")+SUMIFS('Қўшимча ишга тушган'!$T:$T,'Қўшимча ишга тушган'!$D:$D,'свод (сектор вилоят)'!$B$72,'Қўшимча ишга тушган'!$E:$E,"4"))</f>
        <v>7533</v>
      </c>
      <c r="L76" s="40">
        <f>(+SUMIFS(манзилли!$N:$N,манзилли!$D:$D,'свод (сектор вилоят)'!$B$72,манзилли!$E:$E,"4")+SUMIFS('Қўшимча ишга тушган'!$V:$V,'Қўшимча ишга тушган'!$D:$D,'свод (сектор вилоят)'!$B$72,'Қўшимча ишга тушган'!$E:$E,"4"))</f>
        <v>2650</v>
      </c>
      <c r="M76" s="38">
        <f>(+SUMIFS(манзилли!$R:$R,манзилли!$D:$D,'свод (сектор вилоят)'!$B$72,манзилли!$E:$E,"4")+SUMIFS('Қўшимча ишга тушган'!$Z:$Z,'Қўшимча ишга тушган'!$D:$D,'свод (сектор вилоят)'!$B$72,'Қўшимча ишга тушган'!$E:$E,"4"))</f>
        <v>4883</v>
      </c>
      <c r="N76" s="38">
        <f>(+SUMIFS(манзилли!$T:$T,манзилли!$D:$D,'свод (сектор вилоят)'!$B$72,манзилли!$E:$E,"4")+SUMIFS('Қўшимча ишга тушган'!$AB:$AB,'Қўшимча ишга тушган'!$D:$D,'свод (сектор вилоят)'!$B$72,'Қўшимча ишга тушган'!$E:$E,"4"))</f>
        <v>0</v>
      </c>
      <c r="O76" s="39">
        <f>(+SUMIFS(манзилли!$V:$V,манзилли!$D:$D,'свод (сектор вилоят)'!$B$72,манзилли!$E:$E,"4")+SUMIFS('Қўшимча ишга тушган'!$AD:$AD,'Қўшимча ишга тушган'!$D:$D,'свод (сектор вилоят)'!$B$72,'Қўшимча ишга тушган'!$E:$E,"4"))</f>
        <v>0</v>
      </c>
      <c r="P76" s="37">
        <f>+COUNTIFS(манзилли!$D:$D,'свод (сектор вилоят)'!$B$72,манзилли!$AA:$AA,"&gt;31.12.2020",манзилли!$AA:$AA,"&lt;01.01.2022",манзилли!$E:$E,"4")</f>
        <v>10</v>
      </c>
      <c r="Q76" s="38">
        <f>(+SUMIFS(манзилли!$K:$K,манзилли!$D:$D,'свод (сектор вилоят)'!$B$72,манзилли!$AA:$AA,"&gt;31.12.2020",манзилли!$AA:$AA,"&lt;01.01.2022",манзилли!$E:$E,"4"))</f>
        <v>16237</v>
      </c>
      <c r="R76" s="38">
        <f>(+SUMIFS(манзилли!$M:$M,манзилли!$D:$D,'свод (сектор вилоят)'!$B$72,манзилли!$AA:$AA,"&gt;31.12.2020",манзилли!$AA:$AA,"&lt;01.01.2022",манзилли!$E:$E,"4"))</f>
        <v>10337</v>
      </c>
      <c r="S76" s="38">
        <f>(+SUMIFS(манзилли!$Q:$Q,манзилли!$D:$D,'свод (сектор вилоят)'!$B$72,манзилли!$AA:$AA,"&gt;31.12.2020",манзилли!$AA:$AA,"&lt;01.01.2022",манзилли!$E:$E,"4"))</f>
        <v>5900</v>
      </c>
      <c r="T76" s="38">
        <f>(+SUMIFS(манзилли!$S:$S,манзилли!$D:$D,'свод (сектор вилоят)'!$B$72,манзилли!$AA:$AA,"&gt;31.12.2020",манзилли!$AA:$AA,"&lt;01.01.2022",манзилли!$E:$E,"4"))</f>
        <v>0</v>
      </c>
      <c r="U76" s="38">
        <f>(+SUMIFS(манзилли!$U:$U,манзилли!$D:$D,'свод (сектор вилоят)'!$B$72,манзилли!$AA:$AA,"&gt;31.12.2020",манзилли!$AA:$AA,"&lt;01.01.2022",манзилли!$E:$E,"4"))</f>
        <v>0</v>
      </c>
      <c r="V76" s="39">
        <f>+SUMIFS(манзилли!$Y:$Y,манзилли!$D:$D,'свод (сектор вилоят)'!$B$72,манзилли!$AA:$AA,"&gt;31.12.2020",манзилли!$AA:$AA,"&lt;01.01.2022",манзилли!$E:$E,"4")</f>
        <v>84</v>
      </c>
      <c r="W76" s="37">
        <f t="shared" si="900"/>
        <v>1</v>
      </c>
      <c r="X76" s="38">
        <f t="shared" si="894"/>
        <v>700</v>
      </c>
      <c r="Y76" s="38">
        <f t="shared" si="895"/>
        <v>200</v>
      </c>
      <c r="Z76" s="38">
        <f t="shared" si="896"/>
        <v>500</v>
      </c>
      <c r="AA76" s="38">
        <f t="shared" si="897"/>
        <v>0</v>
      </c>
      <c r="AB76" s="38">
        <f t="shared" si="898"/>
        <v>0</v>
      </c>
      <c r="AC76" s="39">
        <f t="shared" si="899"/>
        <v>8</v>
      </c>
      <c r="AD76" s="37">
        <f>+COUNTIFS(манзилли!$D:$D,'свод (сектор вилоят)'!$B$72,манзилли!$AB:$AB,"&gt;31.12.2020",манзилли!$AA:$AA,"&gt;31.12.2020",манзилли!$AA:$AA,"&lt;01.01.2022",манзилли!$E:$E,"4")</f>
        <v>1</v>
      </c>
      <c r="AE76" s="38">
        <f>(+SUMIFS(манзилли!$L:$L,манзилли!$D:$D,'свод (сектор вилоят)'!$B$72,манзилли!$AB:$AB,"&gt;31.12.2020",манзилли!$AA:$AA,"&gt;31.12.2020",манзилли!$AA:$AA,"&lt;01.01.2022",манзилли!$E:$E,"4"))</f>
        <v>700</v>
      </c>
      <c r="AF76" s="38">
        <f>(+SUMIFS(манзилли!$N:$N,манзилли!$D:$D,'свод (сектор вилоят)'!$B$72,манзилли!$AB:$AB,"&gt;31.12.2020",манзилли!$AA:$AA,"&gt;31.12.2020",манзилли!$AA:$AA,"&lt;01.01.2022",манзилли!$E:$E,"4"))</f>
        <v>200</v>
      </c>
      <c r="AG76" s="38">
        <f>(+SUMIFS(манзилли!$R:$R,манзилли!$D:$D,'свод (сектор вилоят)'!$B$72,манзилли!$AB:$AB,"&gt;31.12.2020",манзилли!$AA:$AA,"&gt;31.12.2020",манзилли!$AA:$AA,"&lt;01.01.2022",манзилли!$E:$E,"4"))</f>
        <v>500</v>
      </c>
      <c r="AH76" s="38">
        <f>(+SUMIFS(манзилли!$T:$T,манзилли!$D:$D,'свод (сектор вилоят)'!$B$72,манзилли!$AB:$AB,"&gt;31.12.2020",манзилли!$AA:$AA,"&gt;31.12.2020",манзилли!$AA:$AA,"&lt;01.01.2022",манзилли!$E:$E,"4"))</f>
        <v>0</v>
      </c>
      <c r="AI76" s="38">
        <f>(+SUMIFS(манзилли!$V:$V,манзилли!$D:$D,'свод (сектор вилоят)'!$B$72,манзилли!$AB:$AB,"&gt;31.12.2020",манзилли!$AA:$AA,"&gt;31.12.2020",манзилли!$AA:$AA,"&lt;01.01.2022",манзилли!$E:$E,"4"))</f>
        <v>0</v>
      </c>
      <c r="AJ76" s="39">
        <f>+SUMIFS(манзилли!$Z:$Z,манзилли!$D:$D,'свод (сектор вилоят)'!$B$72,манзилли!$AB:$AB,"&gt;31.12.2020",манзилли!$AA:$AA,"&gt;31.12.2020",манзилли!$AA:$AA,"&lt;01.01.2022",манзилли!$E:$E,"4")</f>
        <v>8</v>
      </c>
      <c r="AK76" s="37">
        <f>+COUNTIFS('Қўшимча ишга тушган'!$D:$D,'свод (сектор вилоят)'!B72,'Қўшимча ишга тушган'!$AO:$AO,"&lt;01.10.2023",манзилли!$E:$E,"4")</f>
        <v>0</v>
      </c>
      <c r="AL76" s="38">
        <f>(+SUMIFS('Қўшимча ишга тушган'!$T:$T,'Қўшимча ишга тушган'!$D:$D,'свод (сектор вилоят)'!$B$72,'Қўшимча ишга тушган'!$AO:$AO,"&lt;01.10.2023",манзилли!$E:$E,"4"))</f>
        <v>0</v>
      </c>
      <c r="AM76" s="38">
        <f>(+SUMIFS('Қўшимча ишга тушган'!$V:$V,'Қўшимча ишга тушган'!$D:$D,'свод (сектор вилоят)'!$B$72,'Қўшимча ишга тушган'!$AO:$AO,"&lt;01.10.2023",манзилли!$E:$E,"4"))</f>
        <v>0</v>
      </c>
      <c r="AN76" s="38">
        <f>(+SUMIFS('Қўшимча ишга тушган'!$Z:$Z,'Қўшимча ишга тушган'!$D:$D,'свод (сектор вилоят)'!$B$72,'Қўшимча ишга тушган'!$AO:$AO,"&lt;01.10.2023",манзилли!$E:$E,"4"))</f>
        <v>0</v>
      </c>
      <c r="AO76" s="38">
        <f>(+SUMIFS('Қўшимча ишга тушган'!$AB:$AB,'Қўшимча ишга тушган'!$D:$D,'свод (сектор вилоят)'!$B$72,'Қўшимча ишга тушган'!$AO:$AO,"&lt;01.10.2023",манзилли!$E:$E,"4"))</f>
        <v>0</v>
      </c>
      <c r="AP76" s="38">
        <f>(+SUMIFS('Қўшимча ишга тушган'!$AD:$AD,'Қўшимча ишга тушган'!$D:$D,'свод (сектор вилоят)'!$B$72,'Қўшимча ишга тушган'!$AO:$AO,"&lt;01.10.2023",манзилли!$E:$E,"4"))</f>
        <v>0</v>
      </c>
      <c r="AQ76" s="39">
        <f>+SUMIFS('Қўшимча ишга тушган'!$AM:$AM,'Қўшимча ишга тушган'!$D:$D,'свод (сектор вилоят)'!$B$72,'Қўшимча ишга тушган'!$AO:$AO,"&lt;01.10.2023",манзилли!$E:$E,"4")</f>
        <v>0</v>
      </c>
      <c r="AR76" s="37">
        <f>+COUNTIFS(манзилли!$D:$D,'свод (сектор вилоят)'!$B$72,манзилли!$AA:$AA,"&lt;01.02.2021",манзилли!$AB:$AB,"",манзилли!$E:$E,"4")</f>
        <v>0</v>
      </c>
      <c r="AS76" s="38">
        <f>(+SUMIFS(манзилли!$K:$K,манзилли!$D:$D,'свод (сектор вилоят)'!$B$72,манзилли!$AA:$AA,"&lt;01.02.2021",манзилли!$AB:$AB,"",манзилли!$E:$E,"4"))</f>
        <v>0</v>
      </c>
      <c r="AT76" s="38">
        <f>(+SUMIFS(манзилли!$M:$M,манзилли!$D:$D,'свод (сектор вилоят)'!$B$72,манзилли!$AA:$AA,"&lt;01.02.2021",манзилли!$AB:$AB,"",манзилли!$E:$E,"4"))</f>
        <v>0</v>
      </c>
      <c r="AU76" s="38">
        <f>(+SUMIFS(манзилли!$Q:$Q,манзилли!$D:$D,'свод (сектор вилоят)'!$B$72,манзилли!$AA:$AA,"&lt;01.02.2021",манзилли!$AB:$AB,"",манзилли!$E:$E,"4"))</f>
        <v>0</v>
      </c>
      <c r="AV76" s="38">
        <f>(+SUMIFS(манзилли!$S:$S,манзилли!$D:$D,'свод (сектор вилоят)'!$B$72,манзилли!$AA:$AA,"&lt;01.02.2021",манзилли!$AB:$AB,"",манзилли!$E:$E,"4"))</f>
        <v>0</v>
      </c>
      <c r="AW76" s="38">
        <f>(+SUMIFS(манзилли!$U:$U,манзилли!$D:$D,'свод (сектор вилоят)'!$B$72,манзилли!$AA:$AA,"&lt;01.02.2021",манзилли!$AB:$AB,"",манзилли!$E:$E,"4"))</f>
        <v>0</v>
      </c>
      <c r="AX76" s="39">
        <f>+SUMIFS(манзилли!$Y:$Y,манзилли!$D:$D,'свод (сектор вилоят)'!$B$72,манзилли!$AA:$AA,"&lt;01.02.2021",манзилли!$AB:$AB,"",манзилли!$E:$E,"4")</f>
        <v>0</v>
      </c>
      <c r="AY76" s="37">
        <f>+COUNTIFS(манзилли!$D:$D,'свод (сектор вилоят)'!$B$72,манзилли!$AA:$AA,"&lt;01.01.2022",манзилли!$AB:$AB,"",манзилли!$E:$E,"4")</f>
        <v>6</v>
      </c>
      <c r="AZ76" s="38">
        <f>(+SUMIFS(манзилли!$K:$K,манзилли!$D:$D,'свод (сектор вилоят)'!$B$72,манзилли!$AA:$AA,"&lt;01.01.2022",манзилли!$AB:$AB,"",манзилли!$E:$E,"4"))</f>
        <v>12387</v>
      </c>
      <c r="BA76" s="38">
        <f>(+SUMIFS(манзилли!$M:$M,манзилли!$D:$D,'свод (сектор вилоят)'!$B$72,манзилли!$AA:$AA,"&lt;01.01.2022",манзилли!$AB:$AB,"",манзилли!$E:$E,"4"))</f>
        <v>8987</v>
      </c>
      <c r="BB76" s="38">
        <f>(+SUMIFS(манзилли!$Q:$Q,манзилли!$D:$D,'свод (сектор вилоят)'!$B$72,манзилли!$AA:$AA,"&lt;01.01.2022",манзилли!$AB:$AB,"",манзилли!$E:$E,"4"))</f>
        <v>3400</v>
      </c>
      <c r="BC76" s="38">
        <f>(+SUMIFS(манзилли!$S:$S,манзилли!$D:$D,'свод (сектор вилоят)'!$B$72,манзилли!$AA:$AA,"&lt;01.01.2022",манзилли!$AB:$AB,"",манзилли!$E:$E,"4"))</f>
        <v>0</v>
      </c>
      <c r="BD76" s="38">
        <f>(+SUMIFS(манзилли!$U:$U,манзилли!$D:$D,'свод (сектор вилоят)'!$B$72,манзилли!$AA:$AA,"&lt;01.01.2022",манзилли!$AB:$AB,"",манзилли!$E:$E,"4"))</f>
        <v>0</v>
      </c>
      <c r="BE76" s="39">
        <f>+SUMIFS(манзилли!$Y:$Y,манзилли!$D:$D,'свод (сектор вилоят)'!$B$72,манзилли!$AA:$AA,"&lt;01.01.2022",манзилли!$AB:$AB,"",манзилли!$E:$E,"4")</f>
        <v>50</v>
      </c>
      <c r="BF76" s="37">
        <f>+COUNTIFS(манзилли!$D:$D,'свод (сектор вилоят)'!$B$72,манзилли!$AA:$AA,"&lt;01.01.2023",манзилли!$AA:$AA,"&gt;=01.01.2022",манзилли!$E:$E,"4")</f>
        <v>0</v>
      </c>
      <c r="BG76" s="38">
        <f>(+SUMIFS(манзилли!$K:$K,манзилли!$D:$D,'свод (сектор вилоят)'!$B$72,манзилли!$AA:$AA,"&lt;01.01.2023",манзилли!$AA:$AA,"&gt;=01.01.2022",манзилли!$E:$E,"4"))</f>
        <v>0</v>
      </c>
      <c r="BH76" s="38">
        <f>(+SUMIFS(манзилли!$M:$M,манзилли!$D:$D,'свод (сектор вилоят)'!$B$72,манзилли!$AA:$AA,"&lt;01.01.2023",манзилли!$AA:$AA,"&gt;=01.01.2022",манзилли!$E:$E,"4"))</f>
        <v>0</v>
      </c>
      <c r="BI76" s="38">
        <f>(+SUMIFS(манзилли!$Q:$Q,манзилли!$D:$D,'свод (сектор вилоят)'!$B$72,манзилли!$AA:$AA,"&lt;01.01.2023",манзилли!$AA:$AA,"&gt;=01.01.2022",манзилли!$E:$E,"4"))</f>
        <v>0</v>
      </c>
      <c r="BJ76" s="38">
        <f>(+SUMIFS(манзилли!$S:$S,манзилли!$D:$D,'свод (сектор вилоят)'!$B$72,манзилли!$AA:$AA,"&lt;01.01.2023",манзилли!$AA:$AA,"&gt;=01.01.2022",манзилли!$E:$E,"4"))</f>
        <v>0</v>
      </c>
      <c r="BK76" s="38">
        <f>(+SUMIFS(манзилли!$U:$U,манзилли!$D:$D,'свод (сектор вилоят)'!$B$72,манзилли!$AA:$AA,"&lt;01.01.2023",манзилли!$AA:$AA,"&gt;=01.01.2022",манзилли!$E:$E,"4"))</f>
        <v>0</v>
      </c>
      <c r="BL76" s="39">
        <f>+SUMIFS(манзилли!$Y:$Y,манзилли!$D:$D,'свод (сектор вилоят)'!$B$72,манзилли!$AA:$AA,"&lt;01.01.2023",манзилли!$AA:$AA,"&gt;=01.01.2022",манзилли!$E:$E,"4")</f>
        <v>0</v>
      </c>
    </row>
    <row r="77" spans="1:64" s="3" customFormat="1" ht="39.75" customHeight="1" thickBot="1">
      <c r="A77" s="53">
        <v>15</v>
      </c>
      <c r="B77" s="54" t="s">
        <v>402</v>
      </c>
      <c r="C77" s="41">
        <f>+SUM(C78:C81)</f>
        <v>45</v>
      </c>
      <c r="D77" s="41">
        <f t="shared" ref="D77" si="901">+SUM(D78:D81)</f>
        <v>296562.5</v>
      </c>
      <c r="E77" s="41">
        <f t="shared" ref="E77" si="902">+SUM(E78:E81)</f>
        <v>97568</v>
      </c>
      <c r="F77" s="41">
        <f t="shared" ref="F77" si="903">+SUM(F78:F81)</f>
        <v>54537</v>
      </c>
      <c r="G77" s="41">
        <f t="shared" ref="G77" si="904">+SUM(G78:G81)</f>
        <v>6425</v>
      </c>
      <c r="H77" s="41">
        <f t="shared" ref="H77" si="905">+SUM(H78:H81)</f>
        <v>7600</v>
      </c>
      <c r="I77" s="41">
        <f t="shared" ref="I77" si="906">+SUM(I78:I81)</f>
        <v>910</v>
      </c>
      <c r="J77" s="41">
        <f t="shared" ref="J77" si="907">+SUM(J78:J81)</f>
        <v>28</v>
      </c>
      <c r="K77" s="41">
        <f t="shared" ref="K77" si="908">+SUM(K78:K81)</f>
        <v>47225.279999999999</v>
      </c>
      <c r="L77" s="41">
        <f t="shared" ref="L77" si="909">+SUM(L78:L81)</f>
        <v>7665</v>
      </c>
      <c r="M77" s="41">
        <f t="shared" ref="M77" si="910">+SUM(M78:M81)</f>
        <v>26741</v>
      </c>
      <c r="N77" s="41">
        <f t="shared" ref="N77" si="911">+SUM(N78:N81)</f>
        <v>1276.4000000000001</v>
      </c>
      <c r="O77" s="41">
        <f t="shared" ref="O77" si="912">+SUM(O78:O81)</f>
        <v>0</v>
      </c>
      <c r="P77" s="41">
        <f t="shared" ref="P77" si="913">+SUM(P78:P81)</f>
        <v>30</v>
      </c>
      <c r="Q77" s="41">
        <f t="shared" ref="Q77" si="914">+SUM(Q78:Q81)</f>
        <v>179947.5</v>
      </c>
      <c r="R77" s="41">
        <f t="shared" ref="R77" si="915">+SUM(R78:R81)</f>
        <v>81630</v>
      </c>
      <c r="S77" s="41">
        <f t="shared" ref="S77" si="916">+SUM(S78:S81)</f>
        <v>21840</v>
      </c>
      <c r="T77" s="41">
        <f t="shared" ref="T77" si="917">+SUM(T78:T81)</f>
        <v>5825</v>
      </c>
      <c r="U77" s="41">
        <f t="shared" ref="U77" si="918">+SUM(U78:U81)</f>
        <v>1600</v>
      </c>
      <c r="V77" s="41">
        <f t="shared" ref="V77" si="919">+SUM(V78:V81)</f>
        <v>696</v>
      </c>
      <c r="W77" s="41">
        <f t="shared" ref="W77" si="920">+SUM(W78:W81)</f>
        <v>0</v>
      </c>
      <c r="X77" s="41">
        <f t="shared" ref="X77" si="921">+SUM(X78:X81)</f>
        <v>0</v>
      </c>
      <c r="Y77" s="41">
        <f t="shared" ref="Y77" si="922">+SUM(Y78:Y81)</f>
        <v>0</v>
      </c>
      <c r="Z77" s="41">
        <f t="shared" ref="Z77" si="923">+SUM(Z78:Z81)</f>
        <v>0</v>
      </c>
      <c r="AA77" s="41">
        <f t="shared" ref="AA77" si="924">+SUM(AA78:AA81)</f>
        <v>0</v>
      </c>
      <c r="AB77" s="41">
        <f t="shared" ref="AB77" si="925">+SUM(AB78:AB81)</f>
        <v>0</v>
      </c>
      <c r="AC77" s="41">
        <f t="shared" ref="AC77" si="926">+SUM(AC78:AC81)</f>
        <v>0</v>
      </c>
      <c r="AD77" s="41">
        <f t="shared" ref="AD77" si="927">+SUM(AD78:AD81)</f>
        <v>0</v>
      </c>
      <c r="AE77" s="41">
        <f t="shared" ref="AE77" si="928">+SUM(AE78:AE81)</f>
        <v>0</v>
      </c>
      <c r="AF77" s="41">
        <f t="shared" ref="AF77" si="929">+SUM(AF78:AF81)</f>
        <v>0</v>
      </c>
      <c r="AG77" s="41">
        <f t="shared" ref="AG77" si="930">+SUM(AG78:AG81)</f>
        <v>0</v>
      </c>
      <c r="AH77" s="41">
        <f t="shared" ref="AH77" si="931">+SUM(AH78:AH81)</f>
        <v>0</v>
      </c>
      <c r="AI77" s="41">
        <f t="shared" ref="AI77" si="932">+SUM(AI78:AI81)</f>
        <v>0</v>
      </c>
      <c r="AJ77" s="41">
        <f t="shared" ref="AJ77" si="933">+SUM(AJ78:AJ81)</f>
        <v>0</v>
      </c>
      <c r="AK77" s="41">
        <f t="shared" ref="AK77" si="934">+SUM(AK78:AK81)</f>
        <v>0</v>
      </c>
      <c r="AL77" s="41">
        <f t="shared" ref="AL77" si="935">+SUM(AL78:AL81)</f>
        <v>0</v>
      </c>
      <c r="AM77" s="41">
        <f t="shared" ref="AM77" si="936">+SUM(AM78:AM81)</f>
        <v>0</v>
      </c>
      <c r="AN77" s="41">
        <f t="shared" ref="AN77" si="937">+SUM(AN78:AN81)</f>
        <v>0</v>
      </c>
      <c r="AO77" s="41">
        <f t="shared" ref="AO77" si="938">+SUM(AO78:AO81)</f>
        <v>0</v>
      </c>
      <c r="AP77" s="41">
        <f t="shared" ref="AP77" si="939">+SUM(AP78:AP81)</f>
        <v>0</v>
      </c>
      <c r="AQ77" s="41">
        <f t="shared" ref="AQ77" si="940">+SUM(AQ78:AQ81)</f>
        <v>0</v>
      </c>
      <c r="AR77" s="41">
        <f t="shared" ref="AR77" si="941">+SUM(AR78:AR81)</f>
        <v>0</v>
      </c>
      <c r="AS77" s="41">
        <f t="shared" ref="AS77" si="942">+SUM(AS78:AS81)</f>
        <v>0</v>
      </c>
      <c r="AT77" s="41">
        <f t="shared" ref="AT77" si="943">+SUM(AT78:AT81)</f>
        <v>0</v>
      </c>
      <c r="AU77" s="41">
        <f t="shared" ref="AU77" si="944">+SUM(AU78:AU81)</f>
        <v>0</v>
      </c>
      <c r="AV77" s="41">
        <f t="shared" ref="AV77" si="945">+SUM(AV78:AV81)</f>
        <v>0</v>
      </c>
      <c r="AW77" s="41">
        <f t="shared" ref="AW77" si="946">+SUM(AW78:AW81)</f>
        <v>0</v>
      </c>
      <c r="AX77" s="41">
        <f t="shared" ref="AX77" si="947">+SUM(AX78:AX81)</f>
        <v>0</v>
      </c>
      <c r="AY77" s="41">
        <f t="shared" ref="AY77" si="948">+SUM(AY78:AY81)</f>
        <v>26</v>
      </c>
      <c r="AZ77" s="41">
        <f t="shared" ref="AZ77" si="949">+SUM(AZ78:AZ81)</f>
        <v>171832.5</v>
      </c>
      <c r="BA77" s="41">
        <f t="shared" ref="BA77" si="950">+SUM(BA78:BA81)</f>
        <v>75730</v>
      </c>
      <c r="BB77" s="41">
        <f t="shared" ref="BB77" si="951">+SUM(BB78:BB81)</f>
        <v>19625</v>
      </c>
      <c r="BC77" s="41">
        <f t="shared" ref="BC77" si="952">+SUM(BC78:BC81)</f>
        <v>5825</v>
      </c>
      <c r="BD77" s="41">
        <f t="shared" ref="BD77" si="953">+SUM(BD78:BD81)</f>
        <v>1600</v>
      </c>
      <c r="BE77" s="41">
        <f t="shared" ref="BE77" si="954">+SUM(BE78:BE81)</f>
        <v>667</v>
      </c>
      <c r="BF77" s="41">
        <f t="shared" ref="BF77" si="955">+SUM(BF78:BF81)</f>
        <v>6</v>
      </c>
      <c r="BG77" s="41">
        <f t="shared" ref="BG77" si="956">+SUM(BG78:BG81)</f>
        <v>104380</v>
      </c>
      <c r="BH77" s="41">
        <f t="shared" ref="BH77" si="957">+SUM(BH78:BH81)</f>
        <v>11900</v>
      </c>
      <c r="BI77" s="41">
        <f t="shared" ref="BI77" si="958">+SUM(BI78:BI81)</f>
        <v>24500</v>
      </c>
      <c r="BJ77" s="41">
        <f t="shared" ref="BJ77" si="959">+SUM(BJ78:BJ81)</f>
        <v>600</v>
      </c>
      <c r="BK77" s="41">
        <f t="shared" ref="BK77" si="960">+SUM(BK78:BK81)</f>
        <v>6000</v>
      </c>
      <c r="BL77" s="43">
        <f t="shared" ref="BL77" si="961">+SUM(BL78:BL81)</f>
        <v>160</v>
      </c>
    </row>
    <row r="78" spans="1:64" s="3" customFormat="1" ht="39.75" customHeight="1">
      <c r="A78" s="52"/>
      <c r="B78" s="50" t="s">
        <v>1771</v>
      </c>
      <c r="C78" s="46">
        <f>+COUNTIFS(манзилли!$D:$D,'свод (сектор вилоят)'!$B$77,манзилли!$E:$E,"1")</f>
        <v>16</v>
      </c>
      <c r="D78" s="47">
        <f>(+SUMIFS(манзилли!$K:$K,манзилли!$D:$D,'свод (сектор вилоят)'!$B$77,манзилли!$E:$E,"1"))</f>
        <v>57085</v>
      </c>
      <c r="E78" s="47">
        <f>(+SUMIFS(манзилли!$M:$M,манзилли!$D:$D,'свод (сектор вилоят)'!$B$77,манзилли!$E:$E,"1"))</f>
        <v>13730</v>
      </c>
      <c r="F78" s="47">
        <f>(+SUMIFS(манзилли!$Q:$Q,манзилли!$D:$D,'свод (сектор вилоят)'!$B$77,манзилли!$E:$E,"1"))</f>
        <v>28935</v>
      </c>
      <c r="G78" s="47">
        <f>(+SUMIFS(манзилли!$S:$S,манзилли!$D:$D,'свод (сектор вилоят)'!$B$77,манзилли!$E:$E,"1"))</f>
        <v>100</v>
      </c>
      <c r="H78" s="47">
        <f>(+SUMIFS(манзилли!$U:$U,манзилли!$D:$D,'свод (сектор вилоят)'!$B$77,манзилли!$E:$E,"1"))</f>
        <v>1300</v>
      </c>
      <c r="I78" s="48">
        <f>+SUMIFS(манзилли!$Y:$Y,манзилли!$D:$D,'свод (сектор вилоят)'!$B$77,манзилли!$E:$E,"1")</f>
        <v>186</v>
      </c>
      <c r="J78" s="46">
        <f>(+COUNTIFS(манзилли!$L:$L,"&gt;0",манзилли!$D:$D,'свод (сектор вилоят)'!$B$77,манзилли!$E:$E,"1")+COUNTIFS('Қўшимча ишга тушган'!$T:$T,"&gt;0",'Қўшимча ишга тушган'!$D:$D,'свод (сектор вилоят)'!$B$77,'Қўшимча ишга тушган'!$E:$E,"1"))</f>
        <v>13</v>
      </c>
      <c r="K78" s="48">
        <f>(+SUMIFS(манзилли!$L:$L,манзилли!$D:$D,'свод (сектор вилоят)'!$B$77,манзилли!$E:$E,"1")+SUMIFS('Қўшимча ишга тушган'!$T:$T,'Қўшимча ишга тушган'!$D:$D,'свод (сектор вилоят)'!$B$77,'Қўшимча ишга тушган'!$E:$E,"1"))</f>
        <v>25486</v>
      </c>
      <c r="L78" s="49">
        <f>(+SUMIFS(манзилли!$N:$N,манзилли!$D:$D,'свод (сектор вилоят)'!$B$77,манзилли!$E:$E,"1")+SUMIFS('Қўшимча ишга тушган'!$V:$V,'Қўшимча ишга тушган'!$D:$D,'свод (сектор вилоят)'!$B$77,'Қўшимча ишга тушган'!$E:$E,"1"))</f>
        <v>2905</v>
      </c>
      <c r="M78" s="47">
        <f>(+SUMIFS(манзилли!$R:$R,манзилли!$D:$D,'свод (сектор вилоят)'!$B$77,манзилли!$E:$E,"1")+SUMIFS('Қўшимча ишга тушган'!$Z:$Z,'Қўшимча ишга тушган'!$D:$D,'свод (сектор вилоят)'!$B$77,'Қўшимча ишга тушган'!$E:$E,"1"))</f>
        <v>22781</v>
      </c>
      <c r="N78" s="47">
        <f>(+SUMIFS(манзилли!$T:$T,манзилли!$D:$D,'свод (сектор вилоят)'!$B$77,манзилли!$E:$E,"1")+SUMIFS('Қўшимча ишга тушган'!$AB:$AB,'Қўшимча ишга тушган'!$D:$D,'свод (сектор вилоят)'!$B$77,'Қўшимча ишга тушган'!$E:$E,"1"))</f>
        <v>0</v>
      </c>
      <c r="O78" s="48">
        <f>(+SUMIFS(манзилли!$V:$V,манзилли!$D:$D,'свод (сектор вилоят)'!$B$77,манзилли!$E:$E,"1")+SUMIFS('Қўшимча ишга тушган'!$AD:$AD,'Қўшимча ишга тушган'!$D:$D,'свод (сектор вилоят)'!$B$77,'Қўшимча ишга тушган'!$E:$E,"1"))</f>
        <v>0</v>
      </c>
      <c r="P78" s="46">
        <f>+COUNTIFS(манзилли!$D:$D,'свод (сектор вилоят)'!$B$77,манзилли!$AA:$AA,"&gt;31.12.2020",манзилли!$AA:$AA,"&lt;01.01.2022",манзилли!$E:$E,"1")</f>
        <v>12</v>
      </c>
      <c r="Q78" s="47">
        <f>(+SUMIFS(манзилли!$K:$K,манзилли!$D:$D,'свод (сектор вилоят)'!$B$77,манзилли!$AA:$AA,"&gt;31.12.2020",манзилли!$AA:$AA,"&lt;01.01.2022",манзилли!$E:$E,"1"))</f>
        <v>37385</v>
      </c>
      <c r="R78" s="47">
        <f>(+SUMIFS(манзилли!$M:$M,манзилли!$D:$D,'свод (сектор вилоят)'!$B$77,манзилли!$AA:$AA,"&gt;31.12.2020",манзилли!$AA:$AA,"&lt;01.01.2022",манзилли!$E:$E,"1"))</f>
        <v>8150</v>
      </c>
      <c r="S78" s="47">
        <f>(+SUMIFS(манзилли!$Q:$Q,манзилли!$D:$D,'свод (сектор вилоят)'!$B$77,манзилли!$AA:$AA,"&gt;31.12.2020",манзилли!$AA:$AA,"&lt;01.01.2022",манзилли!$E:$E,"1"))</f>
        <v>14815</v>
      </c>
      <c r="T78" s="47">
        <f>(+SUMIFS(манзилли!$S:$S,манзилли!$D:$D,'свод (сектор вилоят)'!$B$77,манзилли!$AA:$AA,"&gt;31.12.2020",манзилли!$AA:$AA,"&lt;01.01.2022",манзилли!$E:$E,"1"))</f>
        <v>100</v>
      </c>
      <c r="U78" s="47">
        <f>(+SUMIFS(манзилли!$U:$U,манзилли!$D:$D,'свод (сектор вилоят)'!$B$77,манзилли!$AA:$AA,"&gt;31.12.2020",манзилли!$AA:$AA,"&lt;01.01.2022",манзилли!$E:$E,"1"))</f>
        <v>1300</v>
      </c>
      <c r="V78" s="48">
        <f>+SUMIFS(манзилли!$Y:$Y,манзилли!$D:$D,'свод (сектор вилоят)'!$B$77,манзилли!$AA:$AA,"&gt;31.12.2020",манзилли!$AA:$AA,"&lt;01.01.2022",манзилли!$E:$E,"1")</f>
        <v>142</v>
      </c>
      <c r="W78" s="46">
        <f>+AD78+AK78</f>
        <v>0</v>
      </c>
      <c r="X78" s="47">
        <f t="shared" ref="X78:X81" si="962">+AE78+AL78</f>
        <v>0</v>
      </c>
      <c r="Y78" s="47">
        <f t="shared" ref="Y78:Y81" si="963">+AF78+AM78</f>
        <v>0</v>
      </c>
      <c r="Z78" s="47">
        <f t="shared" ref="Z78:Z81" si="964">+AG78+AN78</f>
        <v>0</v>
      </c>
      <c r="AA78" s="47">
        <f t="shared" ref="AA78:AA81" si="965">+AH78+AO78</f>
        <v>0</v>
      </c>
      <c r="AB78" s="47">
        <f t="shared" ref="AB78:AB81" si="966">+AI78+AP78</f>
        <v>0</v>
      </c>
      <c r="AC78" s="48">
        <f t="shared" ref="AC78:AC81" si="967">+AJ78+AQ78</f>
        <v>0</v>
      </c>
      <c r="AD78" s="46">
        <f>+COUNTIFS(манзилли!$D:$D,'свод (сектор вилоят)'!$B$77,манзилли!$AB:$AB,"&gt;31.12.2020",манзилли!$AA:$AA,"&gt;31.12.2020",манзилли!$AA:$AA,"&lt;01.01.2022",манзилли!$E:$E,"1")</f>
        <v>0</v>
      </c>
      <c r="AE78" s="47">
        <f>(+SUMIFS(манзилли!$L:$L,манзилли!$D:$D,'свод (сектор вилоят)'!$B$77,манзилли!$AB:$AB,"&gt;31.12.2020",манзилли!$AA:$AA,"&gt;31.12.2020",манзилли!$AA:$AA,"&lt;01.01.2022",манзилли!$E:$E,"1"))</f>
        <v>0</v>
      </c>
      <c r="AF78" s="47">
        <f>(+SUMIFS(манзилли!$N:$N,манзилли!$D:$D,'свод (сектор вилоят)'!$B$77,манзилли!$AB:$AB,"&gt;31.12.2020",манзилли!$AA:$AA,"&gt;31.12.2020",манзилли!$AA:$AA,"&lt;01.01.2022",манзилли!$E:$E,"1"))</f>
        <v>0</v>
      </c>
      <c r="AG78" s="47">
        <f>(+SUMIFS(манзилли!$R:$R,манзилли!$D:$D,'свод (сектор вилоят)'!$B$77,манзилли!$AB:$AB,"&gt;31.12.2020",манзилли!$AA:$AA,"&gt;31.12.2020",манзилли!$AA:$AA,"&lt;01.01.2022",манзилли!$E:$E,"1"))</f>
        <v>0</v>
      </c>
      <c r="AH78" s="47">
        <f>(+SUMIFS(манзилли!$T:$T,манзилли!$D:$D,'свод (сектор вилоят)'!$B$77,манзилли!$AB:$AB,"&gt;31.12.2020",манзилли!$AA:$AA,"&gt;31.12.2020",манзилли!$AA:$AA,"&lt;01.01.2022",манзилли!$E:$E,"1"))</f>
        <v>0</v>
      </c>
      <c r="AI78" s="47">
        <f>(+SUMIFS(манзилли!$V:$V,манзилли!$D:$D,'свод (сектор вилоят)'!$B$77,манзилли!$AB:$AB,"&gt;31.12.2020",манзилли!$AA:$AA,"&gt;31.12.2020",манзилли!$AA:$AA,"&lt;01.01.2022",манзилли!$E:$E,"1"))</f>
        <v>0</v>
      </c>
      <c r="AJ78" s="48">
        <f>+SUMIFS(манзилли!$Z:$Z,манзилли!$D:$D,'свод (сектор вилоят)'!$B$77,манзилли!$AB:$AB,"&gt;31.12.2020",манзилли!$AA:$AA,"&gt;31.12.2020",манзилли!$AA:$AA,"&lt;01.01.2022",манзилли!$E:$E,"1")</f>
        <v>0</v>
      </c>
      <c r="AK78" s="46">
        <f>+COUNTIFS('Қўшимча ишга тушган'!$D:$D,'свод (сектор вилоят)'!B77,'Қўшимча ишга тушган'!$AO:$AO,"&lt;01.10.2023",манзилли!$E:$E,"1")</f>
        <v>0</v>
      </c>
      <c r="AL78" s="47">
        <f>(+SUMIFS('Қўшимча ишга тушган'!$T:$T,'Қўшимча ишга тушган'!$D:$D,'свод (сектор вилоят)'!$B$77,'Қўшимча ишга тушган'!$AO:$AO,"&lt;01.10.2023",манзилли!$E:$E,"1"))</f>
        <v>0</v>
      </c>
      <c r="AM78" s="47">
        <f>(+SUMIFS('Қўшимча ишга тушган'!$V:$V,'Қўшимча ишга тушган'!$D:$D,'свод (сектор вилоят)'!$B$77,'Қўшимча ишга тушган'!$AO:$AO,"&lt;01.10.2023",манзилли!$E:$E,"1"))</f>
        <v>0</v>
      </c>
      <c r="AN78" s="47">
        <f>(+SUMIFS('Қўшимча ишга тушган'!$Z:$Z,'Қўшимча ишга тушган'!$D:$D,'свод (сектор вилоят)'!$B$77,'Қўшимча ишга тушган'!$AO:$AO,"&lt;01.10.2023",манзилли!$E:$E,"1"))</f>
        <v>0</v>
      </c>
      <c r="AO78" s="47">
        <f>(+SUMIFS('Қўшимча ишга тушган'!$AB:$AB,'Қўшимча ишга тушган'!$D:$D,'свод (сектор вилоят)'!$B$77,'Қўшимча ишга тушган'!$AO:$AO,"&lt;01.10.2023",манзилли!$E:$E,"1"))</f>
        <v>0</v>
      </c>
      <c r="AP78" s="47">
        <f>(+SUMIFS('Қўшимча ишга тушган'!$AD:$AD,'Қўшимча ишга тушган'!$D:$D,'свод (сектор вилоят)'!$B$77,'Қўшимча ишга тушган'!$AO:$AO,"&lt;01.10.2023",манзилли!$E:$E,"1"))</f>
        <v>0</v>
      </c>
      <c r="AQ78" s="48">
        <f>+SUMIFS('Қўшимча ишга тушган'!$AM:$AM,'Қўшимча ишга тушган'!$D:$D,'свод (сектор вилоят)'!$B$77,'Қўшимча ишга тушган'!$AO:$AO,"&lt;01.10.2023",манзилли!$E:$E,"1")</f>
        <v>0</v>
      </c>
      <c r="AR78" s="46">
        <f>+COUNTIFS(манзилли!$D:$D,'свод (сектор вилоят)'!$B$77,манзилли!$AA:$AA,"&lt;01.02.2021",манзилли!$AB:$AB,"",манзилли!$E:$E,"1")</f>
        <v>0</v>
      </c>
      <c r="AS78" s="47">
        <f>(+SUMIFS(манзилли!$K:$K,манзилли!$D:$D,'свод (сектор вилоят)'!$B$77,манзилли!$AA:$AA,"&lt;01.02.2021",манзилли!$AB:$AB,"",манзилли!$E:$E,"1"))</f>
        <v>0</v>
      </c>
      <c r="AT78" s="47">
        <f>(+SUMIFS(манзилли!$M:$M,манзилли!$D:$D,'свод (сектор вилоят)'!$B$77,манзилли!$AA:$AA,"&lt;01.02.2021",манзилли!$AB:$AB,"",манзилли!$E:$E,"1"))</f>
        <v>0</v>
      </c>
      <c r="AU78" s="47">
        <f>(+SUMIFS(манзилли!$Q:$Q,манзилли!$D:$D,'свод (сектор вилоят)'!$B$77,манзилли!$AA:$AA,"&lt;01.02.2021",манзилли!$AB:$AB,"",манзилли!$E:$E,"1"))</f>
        <v>0</v>
      </c>
      <c r="AV78" s="47">
        <f>(+SUMIFS(манзилли!$S:$S,манзилли!$D:$D,'свод (сектор вилоят)'!$B$77,манзилли!$AA:$AA,"&lt;01.02.2021",манзилли!$AB:$AB,"",манзилли!$E:$E,"1"))</f>
        <v>0</v>
      </c>
      <c r="AW78" s="47">
        <f>(+SUMIFS(манзилли!$U:$U,манзилли!$D:$D,'свод (сектор вилоят)'!$B$77,манзилли!$AA:$AA,"&lt;01.02.2021",манзилли!$AB:$AB,"",манзилли!$E:$E,"1"))</f>
        <v>0</v>
      </c>
      <c r="AX78" s="48">
        <f>+SUMIFS(манзилли!$Y:$Y,манзилли!$D:$D,'свод (сектор вилоят)'!$B$77,манзилли!$AA:$AA,"&lt;01.02.2021",манзилли!$AB:$AB,"",манзилли!$E:$E,"1")</f>
        <v>0</v>
      </c>
      <c r="AY78" s="46">
        <f>+COUNTIFS(манзилли!$D:$D,'свод (сектор вилоят)'!$B$77,манзилли!$AA:$AA,"&lt;01.01.2022",манзилли!$AB:$AB,"",манзилли!$E:$E,"1")</f>
        <v>10</v>
      </c>
      <c r="AZ78" s="47">
        <f>(+SUMIFS(манзилли!$K:$K,манзилли!$D:$D,'свод (сектор вилоят)'!$B$77,манзилли!$AA:$AA,"&lt;01.01.2022",манзилли!$AB:$AB,"",манзилли!$E:$E,"1"))</f>
        <v>35070</v>
      </c>
      <c r="BA78" s="47">
        <f>(+SUMIFS(манзилли!$M:$M,манзилли!$D:$D,'свод (сектор вилоят)'!$B$77,манзилли!$AA:$AA,"&lt;01.01.2022",манзилли!$AB:$AB,"",манзилли!$E:$E,"1"))</f>
        <v>7450</v>
      </c>
      <c r="BB78" s="47">
        <f>(+SUMIFS(манзилли!$Q:$Q,манзилли!$D:$D,'свод (сектор вилоят)'!$B$77,манзилли!$AA:$AA,"&lt;01.01.2022",манзилли!$AB:$AB,"",манзилли!$E:$E,"1"))</f>
        <v>13200</v>
      </c>
      <c r="BC78" s="47">
        <f>(+SUMIFS(манзилли!$S:$S,манзилли!$D:$D,'свод (сектор вилоят)'!$B$77,манзилли!$AA:$AA,"&lt;01.01.2022",манзилли!$AB:$AB,"",манзилли!$E:$E,"1"))</f>
        <v>100</v>
      </c>
      <c r="BD78" s="47">
        <f>(+SUMIFS(манзилли!$U:$U,манзилли!$D:$D,'свод (сектор вилоят)'!$B$77,манзилли!$AA:$AA,"&lt;01.01.2022",манзилли!$AB:$AB,"",манзилли!$E:$E,"1"))</f>
        <v>1300</v>
      </c>
      <c r="BE78" s="48">
        <f>+SUMIFS(манзилли!$Y:$Y,манзилли!$D:$D,'свод (сектор вилоят)'!$B$77,манзилли!$AA:$AA,"&lt;01.01.2022",манзилли!$AB:$AB,"",манзилли!$E:$E,"1")</f>
        <v>135</v>
      </c>
      <c r="BF78" s="46">
        <f>+COUNTIFS(манзилли!$D:$D,'свод (сектор вилоят)'!$B$77,манзилли!$AA:$AA,"&lt;01.01.2023",манзилли!$AA:$AA,"&gt;=01.01.2022",манзилли!$E:$E,"1")</f>
        <v>2</v>
      </c>
      <c r="BG78" s="47">
        <f>(+SUMIFS(манзилли!$K:$K,манзилли!$D:$D,'свод (сектор вилоят)'!$B$77,манзилли!$AA:$AA,"&lt;01.01.2023",манзилли!$AA:$AA,"&gt;=01.01.2022",манзилли!$E:$E,"1"))</f>
        <v>13500</v>
      </c>
      <c r="BH78" s="47">
        <f>(+SUMIFS(манзилли!$M:$M,манзилли!$D:$D,'свод (сектор вилоят)'!$B$77,манзилли!$AA:$AA,"&lt;01.01.2023",манзилли!$AA:$AA,"&gt;=01.01.2022",манзилли!$E:$E,"1"))</f>
        <v>4500</v>
      </c>
      <c r="BI78" s="47">
        <f>(+SUMIFS(манзилли!$Q:$Q,манзилли!$D:$D,'свод (сектор вилоят)'!$B$77,манзилли!$AA:$AA,"&lt;01.01.2023",манзилли!$AA:$AA,"&gt;=01.01.2022",манзилли!$E:$E,"1"))</f>
        <v>9000</v>
      </c>
      <c r="BJ78" s="47">
        <f>(+SUMIFS(манзилли!$S:$S,манзилли!$D:$D,'свод (сектор вилоят)'!$B$77,манзилли!$AA:$AA,"&lt;01.01.2023",манзилли!$AA:$AA,"&gt;=01.01.2022",манзилли!$E:$E,"1"))</f>
        <v>0</v>
      </c>
      <c r="BK78" s="47">
        <f>(+SUMIFS(манзилли!$U:$U,манзилли!$D:$D,'свод (сектор вилоят)'!$B$77,манзилли!$AA:$AA,"&lt;01.01.2023",манзилли!$AA:$AA,"&gt;=01.01.2022",манзилли!$E:$E,"1"))</f>
        <v>0</v>
      </c>
      <c r="BL78" s="48">
        <f>+SUMIFS(манзилли!$Y:$Y,манзилли!$D:$D,'свод (сектор вилоят)'!$B$77,манзилли!$AA:$AA,"&lt;01.01.2023",манзилли!$AA:$AA,"&gt;=01.01.2022",манзилли!$E:$E,"1")</f>
        <v>30</v>
      </c>
    </row>
    <row r="79" spans="1:64" s="3" customFormat="1" ht="39.75" customHeight="1">
      <c r="A79" s="51"/>
      <c r="B79" s="27" t="s">
        <v>1772</v>
      </c>
      <c r="C79" s="28">
        <f>+COUNTIFS(манзилли!$D:$D,'свод (сектор вилоят)'!$B$77,манзилли!$E:$E,"2")</f>
        <v>6</v>
      </c>
      <c r="D79" s="29">
        <f>(+SUMIFS(манзилли!$K:$K,манзилли!$D:$D,'свод (сектор вилоят)'!$B$77,манзилли!$E:$E,"2"))</f>
        <v>54825</v>
      </c>
      <c r="E79" s="29">
        <f>(+SUMIFS(манзилли!$M:$M,манзилли!$D:$D,'свод (сектор вилоят)'!$B$77,манзилли!$E:$E,"2"))</f>
        <v>1825</v>
      </c>
      <c r="F79" s="29">
        <f>(+SUMIFS(манзилли!$Q:$Q,манзилли!$D:$D,'свод (сектор вилоят)'!$B$77,манзилли!$E:$E,"2"))</f>
        <v>1500</v>
      </c>
      <c r="G79" s="29">
        <f>(+SUMIFS(манзилли!$S:$S,манзилли!$D:$D,'свод (сектор вилоят)'!$B$77,манзилли!$E:$E,"2"))</f>
        <v>0</v>
      </c>
      <c r="H79" s="29">
        <f>(+SUMIFS(манзилли!$U:$U,манзилли!$D:$D,'свод (сектор вилоят)'!$B$77,манзилли!$E:$E,"2"))</f>
        <v>5000</v>
      </c>
      <c r="I79" s="30">
        <f>+SUMIFS(манзилли!$Y:$Y,манзилли!$D:$D,'свод (сектор вилоят)'!$B$77,манзилли!$E:$E,"2")</f>
        <v>55</v>
      </c>
      <c r="J79" s="28">
        <f>(+COUNTIFS(манзилли!$L:$L,"&gt;0",манзилли!$D:$D,'свод (сектор вилоят)'!$B$77,манзилли!$E:$E,"2")+COUNTIFS('Қўшимча ишга тушган'!$T:$T,"&gt;0",'Қўшимча ишга тушган'!$D:$D,'свод (сектор вилоят)'!$B$77,'Қўшимча ишга тушган'!$E:$E,"2"))</f>
        <v>5</v>
      </c>
      <c r="K79" s="30">
        <f>(+SUMIFS(манзилли!$L:$L,манзилли!$D:$D,'свод (сектор вилоят)'!$B$77,манзилли!$E:$E,"2")+SUMIFS('Қўшимча ишга тушган'!$T:$T,'Қўшимча ишга тушган'!$D:$D,'свод (сектор вилоят)'!$B$77,'Қўшимча ишга тушган'!$E:$E,"2"))</f>
        <v>4000</v>
      </c>
      <c r="L79" s="31">
        <f>(+SUMIFS(манзилли!$N:$N,манзилли!$D:$D,'свод (сектор вилоят)'!$B$77,манзилли!$E:$E,"2")+SUMIFS('Қўшимча ишга тушган'!$V:$V,'Қўшимча ишга тушган'!$D:$D,'свод (сектор вилоят)'!$B$77,'Қўшимча ишга тушган'!$E:$E,"2"))</f>
        <v>2780</v>
      </c>
      <c r="M79" s="29">
        <f>(+SUMIFS(манзилли!$R:$R,манзилли!$D:$D,'свод (сектор вилоят)'!$B$77,манзилли!$E:$E,"2")+SUMIFS('Қўшимча ишга тушган'!$Z:$Z,'Қўшимча ишга тушган'!$D:$D,'свод (сектор вилоят)'!$B$77,'Қўшимча ишга тушган'!$E:$E,"2"))</f>
        <v>1220</v>
      </c>
      <c r="N79" s="29">
        <f>(+SUMIFS(манзилли!$T:$T,манзилли!$D:$D,'свод (сектор вилоят)'!$B$77,манзилли!$E:$E,"2")+SUMIFS('Қўшимча ишга тушган'!$AB:$AB,'Қўшимча ишга тушган'!$D:$D,'свод (сектор вилоят)'!$B$77,'Қўшимча ишга тушган'!$E:$E,"2"))</f>
        <v>0</v>
      </c>
      <c r="O79" s="30">
        <f>(+SUMIFS(манзилли!$V:$V,манзилли!$D:$D,'свод (сектор вилоят)'!$B$77,манзилли!$E:$E,"2")+SUMIFS('Қўшимча ишга тушган'!$AD:$AD,'Қўшимча ишга тушган'!$D:$D,'свод (сектор вилоят)'!$B$77,'Қўшимча ишга тушган'!$E:$E,"2"))</f>
        <v>0</v>
      </c>
      <c r="P79" s="28">
        <f>+COUNTIFS(манзилли!$D:$D,'свод (сектор вилоят)'!$B$77,манзилли!$AA:$AA,"&gt;31.12.2020",манзилли!$AA:$AA,"&lt;01.01.2022",манзилли!$E:$E,"2")</f>
        <v>1</v>
      </c>
      <c r="Q79" s="29">
        <f>(+SUMIFS(манзилли!$K:$K,манзилли!$D:$D,'свод (сектор вилоят)'!$B$77,манзилли!$AA:$AA,"&gt;31.12.2020",манзилли!$AA:$AA,"&lt;01.01.2022",манзилли!$E:$E,"2"))</f>
        <v>500</v>
      </c>
      <c r="R79" s="29">
        <f>(+SUMIFS(манзилли!$M:$M,манзилли!$D:$D,'свод (сектор вилоят)'!$B$77,манзилли!$AA:$AA,"&gt;31.12.2020",манзилли!$AA:$AA,"&lt;01.01.2022",манзилли!$E:$E,"2"))</f>
        <v>200</v>
      </c>
      <c r="S79" s="29">
        <f>(+SUMIFS(манзилли!$Q:$Q,манзилли!$D:$D,'свод (сектор вилоят)'!$B$77,манзилли!$AA:$AA,"&gt;31.12.2020",манзилли!$AA:$AA,"&lt;01.01.2022",манзилли!$E:$E,"2"))</f>
        <v>300</v>
      </c>
      <c r="T79" s="29">
        <f>(+SUMIFS(манзилли!$S:$S,манзилли!$D:$D,'свод (сектор вилоят)'!$B$77,манзилли!$AA:$AA,"&gt;31.12.2020",манзилли!$AA:$AA,"&lt;01.01.2022",манзилли!$E:$E,"2"))</f>
        <v>0</v>
      </c>
      <c r="U79" s="29">
        <f>(+SUMIFS(манзилли!$U:$U,манзилли!$D:$D,'свод (сектор вилоят)'!$B$77,манзилли!$AA:$AA,"&gt;31.12.2020",манзилли!$AA:$AA,"&lt;01.01.2022",манзилли!$E:$E,"2"))</f>
        <v>0</v>
      </c>
      <c r="V79" s="30">
        <f>+SUMIFS(манзилли!$Y:$Y,манзилли!$D:$D,'свод (сектор вилоят)'!$B$77,манзилли!$AA:$AA,"&gt;31.12.2020",манзилли!$AA:$AA,"&lt;01.01.2022",манзилли!$E:$E,"2")</f>
        <v>6</v>
      </c>
      <c r="W79" s="28">
        <f t="shared" ref="W79:W81" si="968">+AD79+AK79</f>
        <v>0</v>
      </c>
      <c r="X79" s="29">
        <f t="shared" si="962"/>
        <v>0</v>
      </c>
      <c r="Y79" s="29">
        <f t="shared" si="963"/>
        <v>0</v>
      </c>
      <c r="Z79" s="29">
        <f t="shared" si="964"/>
        <v>0</v>
      </c>
      <c r="AA79" s="29">
        <f t="shared" si="965"/>
        <v>0</v>
      </c>
      <c r="AB79" s="29">
        <f t="shared" si="966"/>
        <v>0</v>
      </c>
      <c r="AC79" s="30">
        <f t="shared" si="967"/>
        <v>0</v>
      </c>
      <c r="AD79" s="28">
        <f>+COUNTIFS(манзилли!$D:$D,'свод (сектор вилоят)'!$B$77,манзилли!$AB:$AB,"&gt;31.12.2020",манзилли!$AA:$AA,"&gt;31.12.2020",манзилли!$AA:$AA,"&lt;01.01.2022",манзилли!$E:$E,"2")</f>
        <v>0</v>
      </c>
      <c r="AE79" s="29">
        <f>(+SUMIFS(манзилли!$L:$L,манзилли!$D:$D,'свод (сектор вилоят)'!$B$77,манзилли!$AB:$AB,"&gt;31.12.2020",манзилли!$AA:$AA,"&gt;31.12.2020",манзилли!$AA:$AA,"&lt;01.01.2022",манзилли!$E:$E,"2"))</f>
        <v>0</v>
      </c>
      <c r="AF79" s="29">
        <f>(+SUMIFS(манзилли!$N:$N,манзилли!$D:$D,'свод (сектор вилоят)'!$B$77,манзилли!$AB:$AB,"&gt;31.12.2020",манзилли!$AA:$AA,"&gt;31.12.2020",манзилли!$AA:$AA,"&lt;01.01.2022",манзилли!$E:$E,"2"))</f>
        <v>0</v>
      </c>
      <c r="AG79" s="29">
        <f>(+SUMIFS(манзилли!$R:$R,манзилли!$D:$D,'свод (сектор вилоят)'!$B$77,манзилли!$AB:$AB,"&gt;31.12.2020",манзилли!$AA:$AA,"&gt;31.12.2020",манзилли!$AA:$AA,"&lt;01.01.2022",манзилли!$E:$E,"2"))</f>
        <v>0</v>
      </c>
      <c r="AH79" s="29">
        <f>(+SUMIFS(манзилли!$T:$T,манзилли!$D:$D,'свод (сектор вилоят)'!$B$77,манзилли!$AB:$AB,"&gt;31.12.2020",манзилли!$AA:$AA,"&gt;31.12.2020",манзилли!$AA:$AA,"&lt;01.01.2022",манзилли!$E:$E,"2"))</f>
        <v>0</v>
      </c>
      <c r="AI79" s="29">
        <f>(+SUMIFS(манзилли!$V:$V,манзилли!$D:$D,'свод (сектор вилоят)'!$B$77,манзилли!$AB:$AB,"&gt;31.12.2020",манзилли!$AA:$AA,"&gt;31.12.2020",манзилли!$AA:$AA,"&lt;01.01.2022",манзилли!$E:$E,"2"))</f>
        <v>0</v>
      </c>
      <c r="AJ79" s="30">
        <f>+SUMIFS(манзилли!$Z:$Z,манзилли!$D:$D,'свод (сектор вилоят)'!$B$77,манзилли!$AB:$AB,"&gt;31.12.2020",манзилли!$AA:$AA,"&gt;31.12.2020",манзилли!$AA:$AA,"&lt;01.01.2022",манзилли!$E:$E,"2")</f>
        <v>0</v>
      </c>
      <c r="AK79" s="28">
        <f>+COUNTIFS('Қўшимча ишга тушган'!$D:$D,'свод (сектор вилоят)'!B77,'Қўшимча ишга тушган'!$AO:$AO,"&lt;01.10.2023",манзилли!$E:$E,"2")</f>
        <v>0</v>
      </c>
      <c r="AL79" s="29">
        <f>(+SUMIFS('Қўшимча ишга тушган'!$T:$T,'Қўшимча ишга тушган'!$D:$D,'свод (сектор вилоят)'!$B$77,'Қўшимча ишга тушган'!$AO:$AO,"&lt;01.10.2023",манзилли!$E:$E,"2"))</f>
        <v>0</v>
      </c>
      <c r="AM79" s="29">
        <f>(+SUMIFS('Қўшимча ишга тушган'!$V:$V,'Қўшимча ишга тушган'!$D:$D,'свод (сектор вилоят)'!$B$77,'Қўшимча ишга тушган'!$AO:$AO,"&lt;01.10.2023",манзилли!$E:$E,"2"))</f>
        <v>0</v>
      </c>
      <c r="AN79" s="29">
        <f>(+SUMIFS('Қўшимча ишга тушган'!$Z:$Z,'Қўшимча ишга тушган'!$D:$D,'свод (сектор вилоят)'!$B$77,'Қўшимча ишга тушган'!$AO:$AO,"&lt;01.10.2023",манзилли!$E:$E,"2"))</f>
        <v>0</v>
      </c>
      <c r="AO79" s="29">
        <f>(+SUMIFS('Қўшимча ишга тушган'!$AB:$AB,'Қўшимча ишга тушган'!$D:$D,'свод (сектор вилоят)'!$B$77,'Қўшимча ишга тушган'!$AO:$AO,"&lt;01.10.2023",манзилли!$E:$E,"2"))</f>
        <v>0</v>
      </c>
      <c r="AP79" s="29">
        <f>(+SUMIFS('Қўшимча ишга тушган'!$AD:$AD,'Қўшимча ишга тушган'!$D:$D,'свод (сектор вилоят)'!$B$77,'Қўшимча ишга тушган'!$AO:$AO,"&lt;01.10.2023",манзилли!$E:$E,"2"))</f>
        <v>0</v>
      </c>
      <c r="AQ79" s="30">
        <f>+SUMIFS('Қўшимча ишга тушган'!$AM:$AM,'Қўшимча ишга тушган'!$D:$D,'свод (сектор вилоят)'!$B$77,'Қўшимча ишга тушган'!$AO:$AO,"&lt;01.10.2023",манзилли!$E:$E,"2")</f>
        <v>0</v>
      </c>
      <c r="AR79" s="28">
        <f>+COUNTIFS(манзилли!$D:$D,'свод (сектор вилоят)'!$B$77,манзилли!$AA:$AA,"&lt;01.02.2021",манзилли!$AB:$AB,"",манзилли!$E:$E,"2")</f>
        <v>0</v>
      </c>
      <c r="AS79" s="29">
        <f>(+SUMIFS(манзилли!$K:$K,манзилли!$D:$D,'свод (сектор вилоят)'!$B$77,манзилли!$AA:$AA,"&lt;01.02.2021",манзилли!$AB:$AB,"",манзилли!$E:$E,"2"))</f>
        <v>0</v>
      </c>
      <c r="AT79" s="29">
        <f>(+SUMIFS(манзилли!$M:$M,манзилли!$D:$D,'свод (сектор вилоят)'!$B$77,манзилли!$AA:$AA,"&lt;01.02.2021",манзилли!$AB:$AB,"",манзилли!$E:$E,"2"))</f>
        <v>0</v>
      </c>
      <c r="AU79" s="29">
        <f>(+SUMIFS(манзилли!$Q:$Q,манзилли!$D:$D,'свод (сектор вилоят)'!$B$77,манзилли!$AA:$AA,"&lt;01.02.2021",манзилли!$AB:$AB,"",манзилли!$E:$E,"2"))</f>
        <v>0</v>
      </c>
      <c r="AV79" s="29">
        <f>(+SUMIFS(манзилли!$S:$S,манзилли!$D:$D,'свод (сектор вилоят)'!$B$77,манзилли!$AA:$AA,"&lt;01.02.2021",манзилли!$AB:$AB,"",манзилли!$E:$E,"2"))</f>
        <v>0</v>
      </c>
      <c r="AW79" s="29">
        <f>(+SUMIFS(манзилли!$U:$U,манзилли!$D:$D,'свод (сектор вилоят)'!$B$77,манзилли!$AA:$AA,"&lt;01.02.2021",манзилли!$AB:$AB,"",манзилли!$E:$E,"2"))</f>
        <v>0</v>
      </c>
      <c r="AX79" s="30">
        <f>+SUMIFS(манзилли!$Y:$Y,манзилли!$D:$D,'свод (сектор вилоят)'!$B$77,манзилли!$AA:$AA,"&lt;01.02.2021",манзилли!$AB:$AB,"",манзилли!$E:$E,"2")</f>
        <v>0</v>
      </c>
      <c r="AY79" s="28">
        <f>+COUNTIFS(манзилли!$D:$D,'свод (сектор вилоят)'!$B$77,манзилли!$AA:$AA,"&lt;01.01.2022",манзилли!$AB:$AB,"",манзилли!$E:$E,"2")</f>
        <v>0</v>
      </c>
      <c r="AZ79" s="29">
        <f>(+SUMIFS(манзилли!$K:$K,манзилли!$D:$D,'свод (сектор вилоят)'!$B$77,манзилли!$AA:$AA,"&lt;01.01.2022",манзилли!$AB:$AB,"",манзилли!$E:$E,"2"))</f>
        <v>0</v>
      </c>
      <c r="BA79" s="29">
        <f>(+SUMIFS(манзилли!$M:$M,манзилли!$D:$D,'свод (сектор вилоят)'!$B$77,манзилли!$AA:$AA,"&lt;01.01.2022",манзилли!$AB:$AB,"",манзилли!$E:$E,"2"))</f>
        <v>0</v>
      </c>
      <c r="BB79" s="29">
        <f>(+SUMIFS(манзилли!$Q:$Q,манзилли!$D:$D,'свод (сектор вилоят)'!$B$77,манзилли!$AA:$AA,"&lt;01.01.2022",манзилли!$AB:$AB,"",манзилли!$E:$E,"2"))</f>
        <v>0</v>
      </c>
      <c r="BC79" s="29">
        <f>(+SUMIFS(манзилли!$S:$S,манзилли!$D:$D,'свод (сектор вилоят)'!$B$77,манзилли!$AA:$AA,"&lt;01.01.2022",манзилли!$AB:$AB,"",манзилли!$E:$E,"2"))</f>
        <v>0</v>
      </c>
      <c r="BD79" s="29">
        <f>(+SUMIFS(манзилли!$U:$U,манзилли!$D:$D,'свод (сектор вилоят)'!$B$77,манзилли!$AA:$AA,"&lt;01.01.2022",манзилли!$AB:$AB,"",манзилли!$E:$E,"2"))</f>
        <v>0</v>
      </c>
      <c r="BE79" s="30">
        <f>+SUMIFS(манзилли!$Y:$Y,манзилли!$D:$D,'свод (сектор вилоят)'!$B$77,манзилли!$AA:$AA,"&lt;01.01.2022",манзилли!$AB:$AB,"",манзилли!$E:$E,"2")</f>
        <v>0</v>
      </c>
      <c r="BF79" s="28">
        <f>+COUNTIFS(манзилли!$D:$D,'свод (сектор вилоят)'!$B$77,манзилли!$AA:$AA,"&lt;01.01.2023",манзилли!$AA:$AA,"&gt;=01.01.2022",манзилли!$E:$E,"2")</f>
        <v>1</v>
      </c>
      <c r="BG79" s="29">
        <f>(+SUMIFS(манзилли!$K:$K,манзилли!$D:$D,'свод (сектор вилоят)'!$B$77,манзилли!$AA:$AA,"&lt;01.01.2023",манзилли!$AA:$AA,"&gt;=01.01.2022",манзилли!$E:$E,"2"))</f>
        <v>51500</v>
      </c>
      <c r="BH79" s="29">
        <f>(+SUMIFS(манзилли!$M:$M,манзилли!$D:$D,'свод (сектор вилоят)'!$B$77,манзилли!$AA:$AA,"&lt;01.01.2023",манзилли!$AA:$AA,"&gt;=01.01.2022",манзилли!$E:$E,"2"))</f>
        <v>0</v>
      </c>
      <c r="BI79" s="29">
        <f>(+SUMIFS(манзилли!$Q:$Q,манзилли!$D:$D,'свод (сектор вилоят)'!$B$77,манзилли!$AA:$AA,"&lt;01.01.2023",манзилли!$AA:$AA,"&gt;=01.01.2022",манзилли!$E:$E,"2"))</f>
        <v>0</v>
      </c>
      <c r="BJ79" s="29">
        <f>(+SUMIFS(манзилли!$S:$S,манзилли!$D:$D,'свод (сектор вилоят)'!$B$77,манзилли!$AA:$AA,"&lt;01.01.2023",манзилли!$AA:$AA,"&gt;=01.01.2022",манзилли!$E:$E,"2"))</f>
        <v>0</v>
      </c>
      <c r="BK79" s="29">
        <f>(+SUMIFS(манзилли!$U:$U,манзилли!$D:$D,'свод (сектор вилоят)'!$B$77,манзилли!$AA:$AA,"&lt;01.01.2023",манзилли!$AA:$AA,"&gt;=01.01.2022",манзилли!$E:$E,"2"))</f>
        <v>5000</v>
      </c>
      <c r="BL79" s="30">
        <f>+SUMIFS(манзилли!$Y:$Y,манзилли!$D:$D,'свод (сектор вилоят)'!$B$77,манзилли!$AA:$AA,"&lt;01.01.2023",манзилли!$AA:$AA,"&gt;=01.01.2022",манзилли!$E:$E,"2")</f>
        <v>25</v>
      </c>
    </row>
    <row r="80" spans="1:64" s="3" customFormat="1" ht="39.75" customHeight="1">
      <c r="A80" s="51"/>
      <c r="B80" s="27" t="s">
        <v>1773</v>
      </c>
      <c r="C80" s="28">
        <f>+COUNTIFS(манзилли!$D:$D,'свод (сектор вилоят)'!$B$77,манзилли!$E:$E,"3")</f>
        <v>15</v>
      </c>
      <c r="D80" s="29">
        <f>(+SUMIFS(манзилли!$K:$K,манзилли!$D:$D,'свод (сектор вилоят)'!$B$77,манзилли!$E:$E,"3"))</f>
        <v>149961.5</v>
      </c>
      <c r="E80" s="29">
        <f>(+SUMIFS(манзилли!$M:$M,манзилли!$D:$D,'свод (сектор вилоят)'!$B$77,манзилли!$E:$E,"3"))</f>
        <v>66733</v>
      </c>
      <c r="F80" s="29">
        <f>(+SUMIFS(манзилли!$Q:$Q,манзилли!$D:$D,'свод (сектор вилоят)'!$B$77,манзилли!$E:$E,"3"))</f>
        <v>21377</v>
      </c>
      <c r="G80" s="29">
        <f>(+SUMIFS(манзилли!$S:$S,манзилли!$D:$D,'свод (сектор вилоят)'!$B$77,манзилли!$E:$E,"3"))</f>
        <v>4705</v>
      </c>
      <c r="H80" s="29">
        <f>(+SUMIFS(манзилли!$U:$U,манзилли!$D:$D,'свод (сектор вилоят)'!$B$77,манзилли!$E:$E,"3"))</f>
        <v>1300</v>
      </c>
      <c r="I80" s="30">
        <f>+SUMIFS(манзилли!$Y:$Y,манзилли!$D:$D,'свод (сектор вилоят)'!$B$77,манзилли!$E:$E,"3")</f>
        <v>521</v>
      </c>
      <c r="J80" s="28">
        <f>(+COUNTIFS(манзилли!$L:$L,"&gt;0",манзилли!$D:$D,'свод (сектор вилоят)'!$B$77,манзилли!$E:$E,"3")+COUNTIFS('Қўшимча ишга тушган'!$T:$T,"&gt;0",'Қўшимча ишга тушган'!$D:$D,'свод (сектор вилоят)'!$B$77,'Қўшимча ишга тушган'!$E:$E,"3"))</f>
        <v>5</v>
      </c>
      <c r="K80" s="30">
        <f>(+SUMIFS(манзилли!$L:$L,манзилли!$D:$D,'свод (сектор вилоят)'!$B$77,манзилли!$E:$E,"3")+SUMIFS('Қўшимча ишга тушган'!$T:$T,'Қўшимча ишга тушган'!$D:$D,'свод (сектор вилоят)'!$B$77,'Қўшимча ишга тушган'!$E:$E,"3"))</f>
        <v>7347.6</v>
      </c>
      <c r="L80" s="31">
        <f>(+SUMIFS(манзилли!$N:$N,манзилли!$D:$D,'свод (сектор вилоят)'!$B$77,манзилли!$E:$E,"3")+SUMIFS('Қўшимча ишга тушган'!$V:$V,'Қўшимча ишга тушган'!$D:$D,'свод (сектор вилоят)'!$B$77,'Қўшимча ишга тушган'!$E:$E,"3"))</f>
        <v>580</v>
      </c>
      <c r="M80" s="29">
        <f>(+SUMIFS(манзилли!$R:$R,манзилли!$D:$D,'свод (сектор вилоят)'!$B$77,манзилли!$E:$E,"3")+SUMIFS('Қўшимча ишга тушган'!$Z:$Z,'Қўшимча ишга тушган'!$D:$D,'свод (сектор вилоят)'!$B$77,'Қўшимча ишга тушган'!$E:$E,"3"))</f>
        <v>770</v>
      </c>
      <c r="N80" s="29">
        <f>(+SUMIFS(манзилли!$T:$T,манзилли!$D:$D,'свод (сектор вилоят)'!$B$77,манзилли!$E:$E,"3")+SUMIFS('Қўшимча ишга тушган'!$AB:$AB,'Қўшимча ишга тушган'!$D:$D,'свод (сектор вилоят)'!$B$77,'Қўшимча ишга тушган'!$E:$E,"3"))</f>
        <v>588</v>
      </c>
      <c r="O80" s="30">
        <f>(+SUMIFS(манзилли!$V:$V,манзилли!$D:$D,'свод (сектор вилоят)'!$B$77,манзилли!$E:$E,"3")+SUMIFS('Қўшимча ишга тушган'!$AD:$AD,'Қўшимча ишга тушган'!$D:$D,'свод (сектор вилоят)'!$B$77,'Қўшимча ишга тушган'!$E:$E,"3"))</f>
        <v>0</v>
      </c>
      <c r="P80" s="28">
        <f>+COUNTIFS(манзилли!$D:$D,'свод (сектор вилоят)'!$B$77,манзилли!$AA:$AA,"&gt;31.12.2020",манзилли!$AA:$AA,"&lt;01.01.2022",манзилли!$E:$E,"3")</f>
        <v>11</v>
      </c>
      <c r="Q80" s="29">
        <f>(+SUMIFS(манзилли!$K:$K,манзилли!$D:$D,'свод (сектор вилоят)'!$B$77,манзилли!$AA:$AA,"&gt;31.12.2020",манзилли!$AA:$AA,"&lt;01.01.2022",манзилли!$E:$E,"3"))</f>
        <v>109871.5</v>
      </c>
      <c r="R80" s="29">
        <f>(+SUMIFS(манзилли!$M:$M,манзилли!$D:$D,'свод (сектор вилоят)'!$B$77,манзилли!$AA:$AA,"&gt;31.12.2020",манзилли!$AA:$AA,"&lt;01.01.2022",манзилли!$E:$E,"3"))</f>
        <v>59100</v>
      </c>
      <c r="S80" s="29">
        <f>(+SUMIFS(манзилли!$Q:$Q,манзилли!$D:$D,'свод (сектор вилоят)'!$B$77,манзилли!$AA:$AA,"&gt;31.12.2020",манзилли!$AA:$AA,"&lt;01.01.2022",манзилли!$E:$E,"3"))</f>
        <v>5400</v>
      </c>
      <c r="T80" s="29">
        <f>(+SUMIFS(манзилли!$S:$S,манзилли!$D:$D,'свод (сектор вилоят)'!$B$77,манзилли!$AA:$AA,"&gt;31.12.2020",манзилли!$AA:$AA,"&lt;01.01.2022",манзилли!$E:$E,"3"))</f>
        <v>4105</v>
      </c>
      <c r="U80" s="29">
        <f>(+SUMIFS(манзилли!$U:$U,манзилли!$D:$D,'свод (сектор вилоят)'!$B$77,манзилли!$AA:$AA,"&gt;31.12.2020",манзилли!$AA:$AA,"&lt;01.01.2022",манзилли!$E:$E,"3"))</f>
        <v>300</v>
      </c>
      <c r="V80" s="30">
        <f>+SUMIFS(манзилли!$Y:$Y,манзилли!$D:$D,'свод (сектор вилоят)'!$B$77,манзилли!$AA:$AA,"&gt;31.12.2020",манзилли!$AA:$AA,"&lt;01.01.2022",манзилли!$E:$E,"3")</f>
        <v>412</v>
      </c>
      <c r="W80" s="28">
        <f t="shared" si="968"/>
        <v>0</v>
      </c>
      <c r="X80" s="29">
        <f t="shared" si="962"/>
        <v>0</v>
      </c>
      <c r="Y80" s="29">
        <f t="shared" si="963"/>
        <v>0</v>
      </c>
      <c r="Z80" s="29">
        <f t="shared" si="964"/>
        <v>0</v>
      </c>
      <c r="AA80" s="29">
        <f t="shared" si="965"/>
        <v>0</v>
      </c>
      <c r="AB80" s="29">
        <f t="shared" si="966"/>
        <v>0</v>
      </c>
      <c r="AC80" s="30">
        <f t="shared" si="967"/>
        <v>0</v>
      </c>
      <c r="AD80" s="28">
        <f>+COUNTIFS(манзилли!$D:$D,'свод (сектор вилоят)'!$B$77,манзилли!$AB:$AB,"&gt;31.12.2020",манзилли!$AA:$AA,"&gt;31.12.2020",манзилли!$AA:$AA,"&lt;01.01.2022",манзилли!$E:$E,"3")</f>
        <v>0</v>
      </c>
      <c r="AE80" s="29">
        <f>(+SUMIFS(манзилли!$L:$L,манзилли!$D:$D,'свод (сектор вилоят)'!$B$77,манзилли!$AB:$AB,"&gt;31.12.2020",манзилли!$AA:$AA,"&gt;31.12.2020",манзилли!$AA:$AA,"&lt;01.01.2022",манзилли!$E:$E,"3"))</f>
        <v>0</v>
      </c>
      <c r="AF80" s="29">
        <f>(+SUMIFS(манзилли!$N:$N,манзилли!$D:$D,'свод (сектор вилоят)'!$B$77,манзилли!$AB:$AB,"&gt;31.12.2020",манзилли!$AA:$AA,"&gt;31.12.2020",манзилли!$AA:$AA,"&lt;01.01.2022",манзилли!$E:$E,"3"))</f>
        <v>0</v>
      </c>
      <c r="AG80" s="29">
        <f>(+SUMIFS(манзилли!$R:$R,манзилли!$D:$D,'свод (сектор вилоят)'!$B$77,манзилли!$AB:$AB,"&gt;31.12.2020",манзилли!$AA:$AA,"&gt;31.12.2020",манзилли!$AA:$AA,"&lt;01.01.2022",манзилли!$E:$E,"3"))</f>
        <v>0</v>
      </c>
      <c r="AH80" s="29">
        <f>(+SUMIFS(манзилли!$T:$T,манзилли!$D:$D,'свод (сектор вилоят)'!$B$77,манзилли!$AB:$AB,"&gt;31.12.2020",манзилли!$AA:$AA,"&gt;31.12.2020",манзилли!$AA:$AA,"&lt;01.01.2022",манзилли!$E:$E,"3"))</f>
        <v>0</v>
      </c>
      <c r="AI80" s="29">
        <f>(+SUMIFS(манзилли!$V:$V,манзилли!$D:$D,'свод (сектор вилоят)'!$B$77,манзилли!$AB:$AB,"&gt;31.12.2020",манзилли!$AA:$AA,"&gt;31.12.2020",манзилли!$AA:$AA,"&lt;01.01.2022",манзилли!$E:$E,"3"))</f>
        <v>0</v>
      </c>
      <c r="AJ80" s="30">
        <f>+SUMIFS(манзилли!$Z:$Z,манзилли!$D:$D,'свод (сектор вилоят)'!$B$77,манзилли!$AB:$AB,"&gt;31.12.2020",манзилли!$AA:$AA,"&gt;31.12.2020",манзилли!$AA:$AA,"&lt;01.01.2022",манзилли!$E:$E,"3")</f>
        <v>0</v>
      </c>
      <c r="AK80" s="28">
        <f>+COUNTIFS('Қўшимча ишга тушган'!$D:$D,'свод (сектор вилоят)'!B77,'Қўшимча ишга тушган'!$AO:$AO,"&lt;01.10.2023",манзилли!$E:$E,"3")</f>
        <v>0</v>
      </c>
      <c r="AL80" s="29">
        <f>(+SUMIFS('Қўшимча ишга тушган'!$T:$T,'Қўшимча ишга тушган'!$D:$D,'свод (сектор вилоят)'!$B$77,'Қўшимча ишга тушган'!$AO:$AO,"&lt;01.10.2023",манзилли!$E:$E,"3"))</f>
        <v>0</v>
      </c>
      <c r="AM80" s="29">
        <f>(+SUMIFS('Қўшимча ишга тушган'!$V:$V,'Қўшимча ишга тушган'!$D:$D,'свод (сектор вилоят)'!$B$77,'Қўшимча ишга тушган'!$AO:$AO,"&lt;01.10.2023",манзилли!$E:$E,"3"))</f>
        <v>0</v>
      </c>
      <c r="AN80" s="29">
        <f>(+SUMIFS('Қўшимча ишга тушган'!$Z:$Z,'Қўшимча ишга тушган'!$D:$D,'свод (сектор вилоят)'!$B$77,'Қўшимча ишга тушган'!$AO:$AO,"&lt;01.10.2023",манзилли!$E:$E,"3"))</f>
        <v>0</v>
      </c>
      <c r="AO80" s="29">
        <f>(+SUMIFS('Қўшимча ишга тушган'!$AB:$AB,'Қўшимча ишга тушган'!$D:$D,'свод (сектор вилоят)'!$B$77,'Қўшимча ишга тушган'!$AO:$AO,"&lt;01.10.2023",манзилли!$E:$E,"3"))</f>
        <v>0</v>
      </c>
      <c r="AP80" s="29">
        <f>(+SUMIFS('Қўшимча ишга тушган'!$AD:$AD,'Қўшимча ишга тушган'!$D:$D,'свод (сектор вилоят)'!$B$77,'Қўшимча ишга тушган'!$AO:$AO,"&lt;01.10.2023",манзилли!$E:$E,"3"))</f>
        <v>0</v>
      </c>
      <c r="AQ80" s="30">
        <f>+SUMIFS('Қўшимча ишга тушган'!$AM:$AM,'Қўшимча ишга тушган'!$D:$D,'свод (сектор вилоят)'!$B$77,'Қўшимча ишга тушган'!$AO:$AO,"&lt;01.10.2023",манзилли!$E:$E,"3")</f>
        <v>0</v>
      </c>
      <c r="AR80" s="28">
        <f>+COUNTIFS(манзилли!$D:$D,'свод (сектор вилоят)'!$B$77,манзилли!$AA:$AA,"&lt;01.02.2021",манзилли!$AB:$AB,"",манзилли!$E:$E,"3")</f>
        <v>0</v>
      </c>
      <c r="AS80" s="29">
        <f>(+SUMIFS(манзилли!$K:$K,манзилли!$D:$D,'свод (сектор вилоят)'!$B$77,манзилли!$AA:$AA,"&lt;01.02.2021",манзилли!$AB:$AB,"",манзилли!$E:$E,"3"))</f>
        <v>0</v>
      </c>
      <c r="AT80" s="29">
        <f>(+SUMIFS(манзилли!$M:$M,манзилли!$D:$D,'свод (сектор вилоят)'!$B$77,манзилли!$AA:$AA,"&lt;01.02.2021",манзилли!$AB:$AB,"",манзилли!$E:$E,"3"))</f>
        <v>0</v>
      </c>
      <c r="AU80" s="29">
        <f>(+SUMIFS(манзилли!$Q:$Q,манзилли!$D:$D,'свод (сектор вилоят)'!$B$77,манзилли!$AA:$AA,"&lt;01.02.2021",манзилли!$AB:$AB,"",манзилли!$E:$E,"3"))</f>
        <v>0</v>
      </c>
      <c r="AV80" s="29">
        <f>(+SUMIFS(манзилли!$S:$S,манзилли!$D:$D,'свод (сектор вилоят)'!$B$77,манзилли!$AA:$AA,"&lt;01.02.2021",манзилли!$AB:$AB,"",манзилли!$E:$E,"3"))</f>
        <v>0</v>
      </c>
      <c r="AW80" s="29">
        <f>(+SUMIFS(манзилли!$U:$U,манзилли!$D:$D,'свод (сектор вилоят)'!$B$77,манзилли!$AA:$AA,"&lt;01.02.2021",манзилли!$AB:$AB,"",манзилли!$E:$E,"3"))</f>
        <v>0</v>
      </c>
      <c r="AX80" s="30">
        <f>+SUMIFS(манзилли!$Y:$Y,манзилли!$D:$D,'свод (сектор вилоят)'!$B$77,манзилли!$AA:$AA,"&lt;01.02.2021",манзилли!$AB:$AB,"",манзилли!$E:$E,"3")</f>
        <v>0</v>
      </c>
      <c r="AY80" s="28">
        <f>+COUNTIFS(манзилли!$D:$D,'свод (сектор вилоят)'!$B$77,манзилли!$AA:$AA,"&lt;01.01.2022",манзилли!$AB:$AB,"",манзилли!$E:$E,"3")</f>
        <v>11</v>
      </c>
      <c r="AZ80" s="29">
        <f>(+SUMIFS(манзилли!$K:$K,манзилли!$D:$D,'свод (сектор вилоят)'!$B$77,манзилли!$AA:$AA,"&lt;01.01.2022",манзилли!$AB:$AB,"",манзилли!$E:$E,"3"))</f>
        <v>109871.5</v>
      </c>
      <c r="BA80" s="29">
        <f>(+SUMIFS(манзилли!$M:$M,манзилли!$D:$D,'свод (сектор вилоят)'!$B$77,манзилли!$AA:$AA,"&lt;01.01.2022",манзилли!$AB:$AB,"",манзилли!$E:$E,"3"))</f>
        <v>59100</v>
      </c>
      <c r="BB80" s="29">
        <f>(+SUMIFS(манзилли!$Q:$Q,манзилли!$D:$D,'свод (сектор вилоят)'!$B$77,манзилли!$AA:$AA,"&lt;01.01.2022",манзилли!$AB:$AB,"",манзилли!$E:$E,"3"))</f>
        <v>5400</v>
      </c>
      <c r="BC80" s="29">
        <f>(+SUMIFS(манзилли!$S:$S,манзилли!$D:$D,'свод (сектор вилоят)'!$B$77,манзилли!$AA:$AA,"&lt;01.01.2022",манзилли!$AB:$AB,"",манзилли!$E:$E,"3"))</f>
        <v>4105</v>
      </c>
      <c r="BD80" s="29">
        <f>(+SUMIFS(манзилли!$U:$U,манзилли!$D:$D,'свод (сектор вилоят)'!$B$77,манзилли!$AA:$AA,"&lt;01.01.2022",манзилли!$AB:$AB,"",манзилли!$E:$E,"3"))</f>
        <v>300</v>
      </c>
      <c r="BE80" s="30">
        <f>+SUMIFS(манзилли!$Y:$Y,манзилли!$D:$D,'свод (сектор вилоят)'!$B$77,манзилли!$AA:$AA,"&lt;01.01.2022",манзилли!$AB:$AB,"",манзилли!$E:$E,"3")</f>
        <v>412</v>
      </c>
      <c r="BF80" s="28">
        <f>+COUNTIFS(манзилли!$D:$D,'свод (сектор вилоят)'!$B$77,манзилли!$AA:$AA,"&lt;01.01.2023",манзилли!$AA:$AA,"&gt;=01.01.2022",манзилли!$E:$E,"3")</f>
        <v>3</v>
      </c>
      <c r="BG80" s="29">
        <f>(+SUMIFS(манзилли!$K:$K,манзилли!$D:$D,'свод (сектор вилоят)'!$B$77,манзилли!$AA:$AA,"&lt;01.01.2023",манзилли!$AA:$AA,"&gt;=01.01.2022",манзилли!$E:$E,"3"))</f>
        <v>39380</v>
      </c>
      <c r="BH80" s="29">
        <f>(+SUMIFS(манзилли!$M:$M,манзилли!$D:$D,'свод (сектор вилоят)'!$B$77,манзилли!$AA:$AA,"&lt;01.01.2023",манзилли!$AA:$AA,"&gt;=01.01.2022",манзилли!$E:$E,"3"))</f>
        <v>7400</v>
      </c>
      <c r="BI80" s="29">
        <f>(+SUMIFS(манзилли!$Q:$Q,манзилли!$D:$D,'свод (сектор вилоят)'!$B$77,манзилли!$AA:$AA,"&lt;01.01.2023",манзилли!$AA:$AA,"&gt;=01.01.2022",манзилли!$E:$E,"3"))</f>
        <v>15500</v>
      </c>
      <c r="BJ80" s="29">
        <f>(+SUMIFS(манзилли!$S:$S,манзилли!$D:$D,'свод (сектор вилоят)'!$B$77,манзилли!$AA:$AA,"&lt;01.01.2023",манзилли!$AA:$AA,"&gt;=01.01.2022",манзилли!$E:$E,"3"))</f>
        <v>600</v>
      </c>
      <c r="BK80" s="29">
        <f>(+SUMIFS(манзилли!$U:$U,манзилли!$D:$D,'свод (сектор вилоят)'!$B$77,манзилли!$AA:$AA,"&lt;01.01.2023",манзилли!$AA:$AA,"&gt;=01.01.2022",манзилли!$E:$E,"3"))</f>
        <v>1000</v>
      </c>
      <c r="BL80" s="30">
        <f>+SUMIFS(манзилли!$Y:$Y,манзилли!$D:$D,'свод (сектор вилоят)'!$B$77,манзилли!$AA:$AA,"&lt;01.01.2023",манзилли!$AA:$AA,"&gt;=01.01.2022",манзилли!$E:$E,"3")</f>
        <v>105</v>
      </c>
    </row>
    <row r="81" spans="1:64" s="3" customFormat="1" ht="39.75" customHeight="1" thickBot="1">
      <c r="A81" s="55"/>
      <c r="B81" s="36" t="s">
        <v>1774</v>
      </c>
      <c r="C81" s="37">
        <f>+COUNTIFS(манзилли!$D:$D,'свод (сектор вилоят)'!$B$77,манзилли!$E:$E,"4")</f>
        <v>8</v>
      </c>
      <c r="D81" s="38">
        <f>(+SUMIFS(манзилли!$K:$K,манзилли!$D:$D,'свод (сектор вилоят)'!$B$77,манзилли!$E:$E,"4"))</f>
        <v>34691</v>
      </c>
      <c r="E81" s="38">
        <f>(+SUMIFS(манзилли!$M:$M,манзилли!$D:$D,'свод (сектор вилоят)'!$B$77,манзилли!$E:$E,"4"))</f>
        <v>15280</v>
      </c>
      <c r="F81" s="38">
        <f>(+SUMIFS(манзилли!$Q:$Q,манзилли!$D:$D,'свод (сектор вилоят)'!$B$77,манзилли!$E:$E,"4"))</f>
        <v>2725</v>
      </c>
      <c r="G81" s="38">
        <f>(+SUMIFS(манзилли!$S:$S,манзилли!$D:$D,'свод (сектор вилоят)'!$B$77,манзилли!$E:$E,"4"))</f>
        <v>1620</v>
      </c>
      <c r="H81" s="38">
        <f>(+SUMIFS(манзилли!$U:$U,манзилли!$D:$D,'свод (сектор вилоят)'!$B$77,манзилли!$E:$E,"4"))</f>
        <v>0</v>
      </c>
      <c r="I81" s="39">
        <f>+SUMIFS(манзилли!$Y:$Y,манзилли!$D:$D,'свод (сектор вилоят)'!$B$77,манзилли!$E:$E,"4")</f>
        <v>148</v>
      </c>
      <c r="J81" s="37">
        <f>(+COUNTIFS(манзилли!$L:$L,"&gt;0",манзилли!$D:$D,'свод (сектор вилоят)'!$B$77,манзилли!$E:$E,"4")+COUNTIFS('Қўшимча ишга тушган'!$T:$T,"&gt;0",'Қўшимча ишга тушган'!$D:$D,'свод (сектор вилоят)'!$B$77,'Қўшимча ишга тушган'!$E:$E,"4"))</f>
        <v>5</v>
      </c>
      <c r="K81" s="39">
        <f>(+SUMIFS(манзилли!$L:$L,манзилли!$D:$D,'свод (сектор вилоят)'!$B$77,манзилли!$E:$E,"4")+SUMIFS('Қўшимча ишга тушган'!$T:$T,'Қўшимча ишга тушган'!$D:$D,'свод (сектор вилоят)'!$B$77,'Қўшимча ишга тушган'!$E:$E,"4"))</f>
        <v>10391.68</v>
      </c>
      <c r="L81" s="40">
        <f>(+SUMIFS(манзилли!$N:$N,манзилли!$D:$D,'свод (сектор вилоят)'!$B$77,манзилли!$E:$E,"4")+SUMIFS('Қўшимча ишга тушган'!$V:$V,'Қўшимча ишга тушган'!$D:$D,'свод (сектор вилоят)'!$B$77,'Қўшимча ишга тушган'!$E:$E,"4"))</f>
        <v>1400</v>
      </c>
      <c r="M81" s="38">
        <f>(+SUMIFS(манзилли!$R:$R,манзилли!$D:$D,'свод (сектор вилоят)'!$B$77,манзилли!$E:$E,"4")+SUMIFS('Қўшимча ишга тушган'!$Z:$Z,'Қўшимча ишга тушган'!$D:$D,'свод (сектор вилоят)'!$B$77,'Қўшимча ишга тушган'!$E:$E,"4"))</f>
        <v>1970</v>
      </c>
      <c r="N81" s="38">
        <f>(+SUMIFS(манзилли!$T:$T,манзилли!$D:$D,'свод (сектор вилоят)'!$B$77,манзилли!$E:$E,"4")+SUMIFS('Қўшимча ишга тушган'!$AB:$AB,'Қўшимча ишга тушган'!$D:$D,'свод (сектор вилоят)'!$B$77,'Қўшимча ишга тушган'!$E:$E,"4"))</f>
        <v>688.4</v>
      </c>
      <c r="O81" s="39">
        <f>(+SUMIFS(манзилли!$V:$V,манзилли!$D:$D,'свод (сектор вилоят)'!$B$77,манзилли!$E:$E,"4")+SUMIFS('Қўшимча ишга тушган'!$AD:$AD,'Қўшимча ишга тушган'!$D:$D,'свод (сектор вилоят)'!$B$77,'Қўшимча ишга тушган'!$E:$E,"4"))</f>
        <v>0</v>
      </c>
      <c r="P81" s="37">
        <f>+COUNTIFS(манзилли!$D:$D,'свод (сектор вилоят)'!$B$77,манзилли!$AA:$AA,"&gt;31.12.2020",манзилли!$AA:$AA,"&lt;01.01.2022",манзилли!$E:$E,"4")</f>
        <v>6</v>
      </c>
      <c r="Q81" s="38">
        <f>(+SUMIFS(манзилли!$K:$K,манзилли!$D:$D,'свод (сектор вилоят)'!$B$77,манзилли!$AA:$AA,"&gt;31.12.2020",манзилли!$AA:$AA,"&lt;01.01.2022",манзилли!$E:$E,"4"))</f>
        <v>32191</v>
      </c>
      <c r="R81" s="38">
        <f>(+SUMIFS(манзилли!$M:$M,манзилли!$D:$D,'свод (сектор вилоят)'!$B$77,манзилли!$AA:$AA,"&gt;31.12.2020",манзилли!$AA:$AA,"&lt;01.01.2022",манзилли!$E:$E,"4"))</f>
        <v>14180</v>
      </c>
      <c r="S81" s="38">
        <f>(+SUMIFS(манзилли!$Q:$Q,манзилли!$D:$D,'свод (сектор вилоят)'!$B$77,манзилли!$AA:$AA,"&gt;31.12.2020",манзилли!$AA:$AA,"&lt;01.01.2022",манзилли!$E:$E,"4"))</f>
        <v>1325</v>
      </c>
      <c r="T81" s="38">
        <f>(+SUMIFS(манзилли!$S:$S,манзилли!$D:$D,'свод (сектор вилоят)'!$B$77,манзилли!$AA:$AA,"&gt;31.12.2020",манзилли!$AA:$AA,"&lt;01.01.2022",манзилли!$E:$E,"4"))</f>
        <v>1620</v>
      </c>
      <c r="U81" s="38">
        <f>(+SUMIFS(манзилли!$U:$U,манзилли!$D:$D,'свод (сектор вилоят)'!$B$77,манзилли!$AA:$AA,"&gt;31.12.2020",манзилли!$AA:$AA,"&lt;01.01.2022",манзилли!$E:$E,"4"))</f>
        <v>0</v>
      </c>
      <c r="V81" s="39">
        <f>+SUMIFS(манзилли!$Y:$Y,манзилли!$D:$D,'свод (сектор вилоят)'!$B$77,манзилли!$AA:$AA,"&gt;31.12.2020",манзилли!$AA:$AA,"&lt;01.01.2022",манзилли!$E:$E,"4")</f>
        <v>136</v>
      </c>
      <c r="W81" s="37">
        <f t="shared" si="968"/>
        <v>0</v>
      </c>
      <c r="X81" s="38">
        <f t="shared" si="962"/>
        <v>0</v>
      </c>
      <c r="Y81" s="38">
        <f t="shared" si="963"/>
        <v>0</v>
      </c>
      <c r="Z81" s="38">
        <f t="shared" si="964"/>
        <v>0</v>
      </c>
      <c r="AA81" s="38">
        <f t="shared" si="965"/>
        <v>0</v>
      </c>
      <c r="AB81" s="38">
        <f t="shared" si="966"/>
        <v>0</v>
      </c>
      <c r="AC81" s="39">
        <f t="shared" si="967"/>
        <v>0</v>
      </c>
      <c r="AD81" s="37">
        <f>+COUNTIFS(манзилли!$D:$D,'свод (сектор вилоят)'!$B$77,манзилли!$AB:$AB,"&gt;31.12.2020",манзилли!$AA:$AA,"&gt;31.12.2020",манзилли!$AA:$AA,"&lt;01.01.2022",манзилли!$E:$E,"4")</f>
        <v>0</v>
      </c>
      <c r="AE81" s="38">
        <f>(+SUMIFS(манзилли!$L:$L,манзилли!$D:$D,'свод (сектор вилоят)'!$B$77,манзилли!$AB:$AB,"&gt;31.12.2020",манзилли!$AA:$AA,"&gt;31.12.2020",манзилли!$AA:$AA,"&lt;01.01.2022",манзилли!$E:$E,"4"))</f>
        <v>0</v>
      </c>
      <c r="AF81" s="38">
        <f>(+SUMIFS(манзилли!$N:$N,манзилли!$D:$D,'свод (сектор вилоят)'!$B$77,манзилли!$AB:$AB,"&gt;31.12.2020",манзилли!$AA:$AA,"&gt;31.12.2020",манзилли!$AA:$AA,"&lt;01.01.2022",манзилли!$E:$E,"4"))</f>
        <v>0</v>
      </c>
      <c r="AG81" s="38">
        <f>(+SUMIFS(манзилли!$R:$R,манзилли!$D:$D,'свод (сектор вилоят)'!$B$77,манзилли!$AB:$AB,"&gt;31.12.2020",манзилли!$AA:$AA,"&gt;31.12.2020",манзилли!$AA:$AA,"&lt;01.01.2022",манзилли!$E:$E,"4"))</f>
        <v>0</v>
      </c>
      <c r="AH81" s="38">
        <f>(+SUMIFS(манзилли!$T:$T,манзилли!$D:$D,'свод (сектор вилоят)'!$B$77,манзилли!$AB:$AB,"&gt;31.12.2020",манзилли!$AA:$AA,"&gt;31.12.2020",манзилли!$AA:$AA,"&lt;01.01.2022",манзилли!$E:$E,"4"))</f>
        <v>0</v>
      </c>
      <c r="AI81" s="38">
        <f>(+SUMIFS(манзилли!$V:$V,манзилли!$D:$D,'свод (сектор вилоят)'!$B$77,манзилли!$AB:$AB,"&gt;31.12.2020",манзилли!$AA:$AA,"&gt;31.12.2020",манзилли!$AA:$AA,"&lt;01.01.2022",манзилли!$E:$E,"4"))</f>
        <v>0</v>
      </c>
      <c r="AJ81" s="39">
        <f>+SUMIFS(манзилли!$Z:$Z,манзилли!$D:$D,'свод (сектор вилоят)'!$B$77,манзилли!$AB:$AB,"&gt;31.12.2020",манзилли!$AA:$AA,"&gt;31.12.2020",манзилли!$AA:$AA,"&lt;01.01.2022",манзилли!$E:$E,"4")</f>
        <v>0</v>
      </c>
      <c r="AK81" s="37">
        <f>+COUNTIFS('Қўшимча ишга тушган'!$D:$D,'свод (сектор вилоят)'!B77,'Қўшимча ишга тушган'!$AO:$AO,"&lt;01.10.2023",манзилли!$E:$E,"4")</f>
        <v>0</v>
      </c>
      <c r="AL81" s="38">
        <f>(+SUMIFS('Қўшимча ишга тушган'!$T:$T,'Қўшимча ишга тушган'!$D:$D,'свод (сектор вилоят)'!$B$77,'Қўшимча ишга тушган'!$AO:$AO,"&lt;01.10.2023",манзилли!$E:$E,"4"))</f>
        <v>0</v>
      </c>
      <c r="AM81" s="38">
        <f>(+SUMIFS('Қўшимча ишга тушган'!$V:$V,'Қўшимча ишга тушган'!$D:$D,'свод (сектор вилоят)'!$B$77,'Қўшимча ишга тушган'!$AO:$AO,"&lt;01.10.2023",манзилли!$E:$E,"4"))</f>
        <v>0</v>
      </c>
      <c r="AN81" s="38">
        <f>(+SUMIFS('Қўшимча ишга тушган'!$Z:$Z,'Қўшимча ишга тушган'!$D:$D,'свод (сектор вилоят)'!$B$77,'Қўшимча ишга тушган'!$AO:$AO,"&lt;01.10.2023",манзилли!$E:$E,"4"))</f>
        <v>0</v>
      </c>
      <c r="AO81" s="38">
        <f>(+SUMIFS('Қўшимча ишга тушган'!$AB:$AB,'Қўшимча ишга тушган'!$D:$D,'свод (сектор вилоят)'!$B$77,'Қўшимча ишга тушган'!$AO:$AO,"&lt;01.10.2023",манзилли!$E:$E,"4"))</f>
        <v>0</v>
      </c>
      <c r="AP81" s="38">
        <f>(+SUMIFS('Қўшимча ишга тушган'!$AD:$AD,'Қўшимча ишга тушган'!$D:$D,'свод (сектор вилоят)'!$B$77,'Қўшимча ишга тушган'!$AO:$AO,"&lt;01.10.2023",манзилли!$E:$E,"4"))</f>
        <v>0</v>
      </c>
      <c r="AQ81" s="39">
        <f>+SUMIFS('Қўшимча ишга тушган'!$AM:$AM,'Қўшимча ишга тушган'!$D:$D,'свод (сектор вилоят)'!$B$77,'Қўшимча ишга тушган'!$AO:$AO,"&lt;01.10.2023",манзилли!$E:$E,"4")</f>
        <v>0</v>
      </c>
      <c r="AR81" s="37">
        <f>+COUNTIFS(манзилли!$D:$D,'свод (сектор вилоят)'!$B$77,манзилли!$AA:$AA,"&lt;01.02.2021",манзилли!$AB:$AB,"",манзилли!$E:$E,"4")</f>
        <v>0</v>
      </c>
      <c r="AS81" s="38">
        <f>(+SUMIFS(манзилли!$K:$K,манзилли!$D:$D,'свод (сектор вилоят)'!$B$77,манзилли!$AA:$AA,"&lt;01.02.2021",манзилли!$AB:$AB,"",манзилли!$E:$E,"4"))</f>
        <v>0</v>
      </c>
      <c r="AT81" s="38">
        <f>(+SUMIFS(манзилли!$M:$M,манзилли!$D:$D,'свод (сектор вилоят)'!$B$77,манзилли!$AA:$AA,"&lt;01.02.2021",манзилли!$AB:$AB,"",манзилли!$E:$E,"4"))</f>
        <v>0</v>
      </c>
      <c r="AU81" s="38">
        <f>(+SUMIFS(манзилли!$Q:$Q,манзилли!$D:$D,'свод (сектор вилоят)'!$B$77,манзилли!$AA:$AA,"&lt;01.02.2021",манзилли!$AB:$AB,"",манзилли!$E:$E,"4"))</f>
        <v>0</v>
      </c>
      <c r="AV81" s="38">
        <f>(+SUMIFS(манзилли!$S:$S,манзилли!$D:$D,'свод (сектор вилоят)'!$B$77,манзилли!$AA:$AA,"&lt;01.02.2021",манзилли!$AB:$AB,"",манзилли!$E:$E,"4"))</f>
        <v>0</v>
      </c>
      <c r="AW81" s="38">
        <f>(+SUMIFS(манзилли!$U:$U,манзилли!$D:$D,'свод (сектор вилоят)'!$B$77,манзилли!$AA:$AA,"&lt;01.02.2021",манзилли!$AB:$AB,"",манзилли!$E:$E,"4"))</f>
        <v>0</v>
      </c>
      <c r="AX81" s="39">
        <f>+SUMIFS(манзилли!$Y:$Y,манзилли!$D:$D,'свод (сектор вилоят)'!$B$77,манзилли!$AA:$AA,"&lt;01.02.2021",манзилли!$AB:$AB,"",манзилли!$E:$E,"4")</f>
        <v>0</v>
      </c>
      <c r="AY81" s="37">
        <f>+COUNTIFS(манзилли!$D:$D,'свод (сектор вилоят)'!$B$77,манзилли!$AA:$AA,"&lt;01.01.2022",манзилли!$AB:$AB,"",манзилли!$E:$E,"4")</f>
        <v>5</v>
      </c>
      <c r="AZ81" s="38">
        <f>(+SUMIFS(манзилли!$K:$K,манзилли!$D:$D,'свод (сектор вилоят)'!$B$77,манзилли!$AA:$AA,"&lt;01.01.2022",манзилли!$AB:$AB,"",манзилли!$E:$E,"4"))</f>
        <v>26891</v>
      </c>
      <c r="BA81" s="38">
        <f>(+SUMIFS(манзилли!$M:$M,манзилли!$D:$D,'свод (сектор вилоят)'!$B$77,манзилли!$AA:$AA,"&lt;01.01.2022",манзилли!$AB:$AB,"",манзилли!$E:$E,"4"))</f>
        <v>9180</v>
      </c>
      <c r="BB81" s="38">
        <f>(+SUMIFS(манзилли!$Q:$Q,манзилли!$D:$D,'свод (сектор вилоят)'!$B$77,манзилли!$AA:$AA,"&lt;01.01.2022",манзилли!$AB:$AB,"",манзилли!$E:$E,"4"))</f>
        <v>1025</v>
      </c>
      <c r="BC81" s="38">
        <f>(+SUMIFS(манзилли!$S:$S,манзилли!$D:$D,'свод (сектор вилоят)'!$B$77,манзилли!$AA:$AA,"&lt;01.01.2022",манзилли!$AB:$AB,"",манзилли!$E:$E,"4"))</f>
        <v>1620</v>
      </c>
      <c r="BD81" s="38">
        <f>(+SUMIFS(манзилли!$U:$U,манзилли!$D:$D,'свод (сектор вилоят)'!$B$77,манзилли!$AA:$AA,"&lt;01.01.2022",манзилли!$AB:$AB,"",манзилли!$E:$E,"4"))</f>
        <v>0</v>
      </c>
      <c r="BE81" s="39">
        <f>+SUMIFS(манзилли!$Y:$Y,манзилли!$D:$D,'свод (сектор вилоят)'!$B$77,манзилли!$AA:$AA,"&lt;01.01.2022",манзилли!$AB:$AB,"",манзилли!$E:$E,"4")</f>
        <v>120</v>
      </c>
      <c r="BF81" s="37">
        <f>+COUNTIFS(манзилли!$D:$D,'свод (сектор вилоят)'!$B$77,манзилли!$AA:$AA,"&lt;01.01.2023",манзилли!$AA:$AA,"&gt;=01.01.2022",манзилли!$E:$E,"4")</f>
        <v>0</v>
      </c>
      <c r="BG81" s="38">
        <f>(+SUMIFS(манзилли!$K:$K,манзилли!$D:$D,'свод (сектор вилоят)'!$B$77,манзилли!$AA:$AA,"&lt;01.01.2023",манзилли!$AA:$AA,"&gt;=01.01.2022",манзилли!$E:$E,"4"))</f>
        <v>0</v>
      </c>
      <c r="BH81" s="38">
        <f>(+SUMIFS(манзилли!$M:$M,манзилли!$D:$D,'свод (сектор вилоят)'!$B$77,манзилли!$AA:$AA,"&lt;01.01.2023",манзилли!$AA:$AA,"&gt;=01.01.2022",манзилли!$E:$E,"4"))</f>
        <v>0</v>
      </c>
      <c r="BI81" s="38">
        <f>(+SUMIFS(манзилли!$Q:$Q,манзилли!$D:$D,'свод (сектор вилоят)'!$B$77,манзилли!$AA:$AA,"&lt;01.01.2023",манзилли!$AA:$AA,"&gt;=01.01.2022",манзилли!$E:$E,"4"))</f>
        <v>0</v>
      </c>
      <c r="BJ81" s="38">
        <f>(+SUMIFS(манзилли!$S:$S,манзилли!$D:$D,'свод (сектор вилоят)'!$B$77,манзилли!$AA:$AA,"&lt;01.01.2023",манзилли!$AA:$AA,"&gt;=01.01.2022",манзилли!$E:$E,"4"))</f>
        <v>0</v>
      </c>
      <c r="BK81" s="38">
        <f>(+SUMIFS(манзилли!$U:$U,манзилли!$D:$D,'свод (сектор вилоят)'!$B$77,манзилли!$AA:$AA,"&lt;01.01.2023",манзилли!$AA:$AA,"&gt;=01.01.2022",манзилли!$E:$E,"4"))</f>
        <v>0</v>
      </c>
      <c r="BL81" s="39">
        <f>+SUMIFS(манзилли!$Y:$Y,манзилли!$D:$D,'свод (сектор вилоят)'!$B$77,манзилли!$AA:$AA,"&lt;01.01.2023",манзилли!$AA:$AA,"&gt;=01.01.2022",манзилли!$E:$E,"4")</f>
        <v>0</v>
      </c>
    </row>
  </sheetData>
  <mergeCells count="50">
    <mergeCell ref="A6:B6"/>
    <mergeCell ref="BF4:BF5"/>
    <mergeCell ref="BG4:BG5"/>
    <mergeCell ref="AM4:AP4"/>
    <mergeCell ref="AQ4:AQ5"/>
    <mergeCell ref="AR4:AR5"/>
    <mergeCell ref="AS4:AS5"/>
    <mergeCell ref="AT4:AW4"/>
    <mergeCell ref="AX4:AX5"/>
    <mergeCell ref="AD4:AD5"/>
    <mergeCell ref="AE4:AE5"/>
    <mergeCell ref="AF4:AI4"/>
    <mergeCell ref="AJ4:AJ5"/>
    <mergeCell ref="AK4:AK5"/>
    <mergeCell ref="P4:P5"/>
    <mergeCell ref="AL4:AL5"/>
    <mergeCell ref="BH4:BK4"/>
    <mergeCell ref="BL4:BL5"/>
    <mergeCell ref="AY4:AY5"/>
    <mergeCell ref="AZ4:AZ5"/>
    <mergeCell ref="BA4:BD4"/>
    <mergeCell ref="BE4:BE5"/>
    <mergeCell ref="D4:D5"/>
    <mergeCell ref="E4:H4"/>
    <mergeCell ref="I4:I5"/>
    <mergeCell ref="AC4:AC5"/>
    <mergeCell ref="J4:J5"/>
    <mergeCell ref="K4:K5"/>
    <mergeCell ref="L4:O4"/>
    <mergeCell ref="R4:U4"/>
    <mergeCell ref="V4:V5"/>
    <mergeCell ref="W4:W5"/>
    <mergeCell ref="X4:X5"/>
    <mergeCell ref="Y4:AB4"/>
    <mergeCell ref="A1:BL1"/>
    <mergeCell ref="A2:A5"/>
    <mergeCell ref="B2:B5"/>
    <mergeCell ref="C2:I3"/>
    <mergeCell ref="J2:O3"/>
    <mergeCell ref="P2:V3"/>
    <mergeCell ref="W2:AC3"/>
    <mergeCell ref="AD2:AQ2"/>
    <mergeCell ref="AR2:AX2"/>
    <mergeCell ref="AY2:BE3"/>
    <mergeCell ref="BF2:BL3"/>
    <mergeCell ref="AD3:AJ3"/>
    <mergeCell ref="AK3:AQ3"/>
    <mergeCell ref="AR3:AX3"/>
    <mergeCell ref="Q4:Q5"/>
    <mergeCell ref="C4:C5"/>
  </mergeCells>
  <printOptions horizontalCentered="1"/>
  <pageMargins left="0.19685039370078741" right="0.19685039370078741" top="0.39370078740157483" bottom="0.19685039370078741" header="0.19685039370078741" footer="0.19685039370078741"/>
  <pageSetup paperSize="9" scale="42" fitToHeight="100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CB15"/>
  <sheetViews>
    <sheetView showZeros="0" view="pageBreakPreview" zoomScale="55" zoomScaleNormal="85" zoomScaleSheetLayoutView="55" workbookViewId="0">
      <selection activeCell="H7" sqref="H7"/>
    </sheetView>
  </sheetViews>
  <sheetFormatPr defaultColWidth="9.140625" defaultRowHeight="15" customHeight="1" outlineLevelCol="1"/>
  <cols>
    <col min="1" max="1" width="10" style="8" customWidth="1"/>
    <col min="2" max="2" width="16.5703125" style="8" customWidth="1"/>
    <col min="3" max="4" width="18.5703125" style="8" customWidth="1"/>
    <col min="5" max="6" width="18.5703125" style="8" customWidth="1" outlineLevel="1"/>
    <col min="7" max="7" width="41" style="8" customWidth="1"/>
    <col min="8" max="8" width="45.7109375" style="8" customWidth="1"/>
    <col min="9" max="9" width="23" style="8" customWidth="1"/>
    <col min="10" max="10" width="51.85546875" style="8" customWidth="1" outlineLevel="1"/>
    <col min="11" max="11" width="22" style="8" customWidth="1" outlineLevel="1"/>
    <col min="12" max="12" width="15.85546875" style="8" customWidth="1" outlineLevel="1"/>
    <col min="13" max="13" width="14.5703125" style="8" customWidth="1" outlineLevel="1"/>
    <col min="14" max="15" width="18" style="8" customWidth="1" outlineLevel="1"/>
    <col min="16" max="16" width="22.85546875" style="8" customWidth="1" outlineLevel="1"/>
    <col min="17" max="18" width="13.140625" style="8" customWidth="1" outlineLevel="1"/>
    <col min="19" max="19" width="16.28515625" style="8" customWidth="1"/>
    <col min="20" max="20" width="16.28515625" style="8" customWidth="1" outlineLevel="1"/>
    <col min="21" max="21" width="16.28515625" style="8" customWidth="1"/>
    <col min="22" max="24" width="16.28515625" style="8" customWidth="1" outlineLevel="1"/>
    <col min="25" max="25" width="16.28515625" style="8" customWidth="1"/>
    <col min="26" max="26" width="16.28515625" style="8" customWidth="1" outlineLevel="1"/>
    <col min="27" max="27" width="16.28515625" style="8" customWidth="1"/>
    <col min="28" max="28" width="16.28515625" style="8" customWidth="1" outlineLevel="1"/>
    <col min="29" max="30" width="16.28515625" style="8" customWidth="1"/>
    <col min="31" max="35" width="20.42578125" style="8" customWidth="1" outlineLevel="1"/>
    <col min="36" max="36" width="18.140625" style="8" customWidth="1" outlineLevel="1"/>
    <col min="37" max="37" width="13.42578125" style="8" customWidth="1" outlineLevel="1"/>
    <col min="38" max="38" width="15" style="8" customWidth="1"/>
    <col min="39" max="39" width="15" style="8" customWidth="1" outlineLevel="1"/>
    <col min="40" max="40" width="17.42578125" style="8" customWidth="1"/>
    <col min="41" max="42" width="17.42578125" style="8" customWidth="1" outlineLevel="1"/>
    <col min="43" max="43" width="25.5703125" style="8" customWidth="1"/>
    <col min="44" max="44" width="22" style="8" customWidth="1" outlineLevel="1"/>
    <col min="45" max="45" width="13.7109375" style="8" customWidth="1" outlineLevel="1"/>
    <col min="46" max="46" width="16.42578125" style="8" customWidth="1" outlineLevel="1"/>
    <col min="47" max="47" width="12" style="8" customWidth="1" outlineLevel="1"/>
    <col min="48" max="48" width="15.5703125" style="8" customWidth="1" outlineLevel="1"/>
    <col min="49" max="50" width="15.42578125" style="8" customWidth="1" outlineLevel="1"/>
    <col min="51" max="52" width="17.5703125" style="8" customWidth="1" outlineLevel="1"/>
    <col min="53" max="54" width="17" style="8" customWidth="1" outlineLevel="1"/>
    <col min="55" max="55" width="24.5703125" style="8" customWidth="1" outlineLevel="1"/>
    <col min="56" max="57" width="14.28515625" style="8" customWidth="1" outlineLevel="1"/>
    <col min="58" max="58" width="20.85546875" style="8" customWidth="1" outlineLevel="1"/>
    <col min="59" max="59" width="22.85546875" style="8" customWidth="1" outlineLevel="1"/>
    <col min="60" max="60" width="38.7109375" style="8" customWidth="1" outlineLevel="1"/>
    <col min="61" max="66" width="13.85546875" style="8" customWidth="1" outlineLevel="1"/>
    <col min="67" max="67" width="16.85546875" style="8" customWidth="1" outlineLevel="1"/>
    <col min="68" max="68" width="19.28515625" style="8" customWidth="1" outlineLevel="1"/>
    <col min="69" max="69" width="17" style="8" customWidth="1" outlineLevel="1"/>
    <col min="70" max="71" width="16" style="8" customWidth="1" outlineLevel="1"/>
    <col min="72" max="72" width="32.5703125" style="8" customWidth="1" outlineLevel="1"/>
    <col min="73" max="74" width="22.85546875" style="8" customWidth="1" outlineLevel="1"/>
    <col min="75" max="75" width="88.7109375" style="8" customWidth="1" outlineLevel="1"/>
    <col min="76" max="80" width="33" style="8" customWidth="1" outlineLevel="1"/>
    <col min="81" max="16384" width="9.140625" style="8"/>
  </cols>
  <sheetData>
    <row r="1" spans="1:80" s="9" customFormat="1" ht="51.75" customHeight="1">
      <c r="A1" s="115" t="s">
        <v>2020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</row>
    <row r="2" spans="1:80" s="7" customFormat="1" ht="18.75"/>
    <row r="3" spans="1:80" s="7" customFormat="1" ht="49.5" customHeight="1">
      <c r="A3" s="100" t="s">
        <v>5</v>
      </c>
      <c r="B3" s="97" t="s">
        <v>109</v>
      </c>
      <c r="C3" s="100" t="s">
        <v>85</v>
      </c>
      <c r="D3" s="100" t="s">
        <v>15</v>
      </c>
      <c r="E3" s="97" t="s">
        <v>110</v>
      </c>
      <c r="F3" s="97" t="s">
        <v>87</v>
      </c>
      <c r="G3" s="100" t="s">
        <v>16</v>
      </c>
      <c r="H3" s="100" t="s">
        <v>17</v>
      </c>
      <c r="I3" s="100" t="s">
        <v>18</v>
      </c>
      <c r="J3" s="100" t="s">
        <v>35</v>
      </c>
      <c r="K3" s="150" t="s">
        <v>67</v>
      </c>
      <c r="L3" s="151"/>
      <c r="M3" s="151"/>
      <c r="N3" s="151"/>
      <c r="O3" s="151"/>
      <c r="P3" s="152"/>
      <c r="Q3" s="109" t="s">
        <v>94</v>
      </c>
      <c r="R3" s="110"/>
      <c r="S3" s="101" t="s">
        <v>19</v>
      </c>
      <c r="T3" s="102"/>
      <c r="U3" s="106" t="s">
        <v>20</v>
      </c>
      <c r="V3" s="107"/>
      <c r="W3" s="107"/>
      <c r="X3" s="107"/>
      <c r="Y3" s="107"/>
      <c r="Z3" s="107"/>
      <c r="AA3" s="107"/>
      <c r="AB3" s="107"/>
      <c r="AC3" s="107"/>
      <c r="AD3" s="108"/>
      <c r="AE3" s="161" t="s">
        <v>61</v>
      </c>
      <c r="AF3" s="161" t="s">
        <v>62</v>
      </c>
      <c r="AG3" s="161"/>
      <c r="AH3" s="161"/>
      <c r="AI3" s="161"/>
      <c r="AJ3" s="100" t="s">
        <v>21</v>
      </c>
      <c r="AK3" s="100"/>
      <c r="AL3" s="109" t="s">
        <v>70</v>
      </c>
      <c r="AM3" s="110"/>
      <c r="AN3" s="116" t="s">
        <v>22</v>
      </c>
      <c r="AO3" s="116"/>
      <c r="AP3" s="117" t="s">
        <v>1955</v>
      </c>
      <c r="AQ3" s="100" t="s">
        <v>86</v>
      </c>
      <c r="AR3" s="100" t="s">
        <v>97</v>
      </c>
      <c r="AS3" s="150" t="s">
        <v>2023</v>
      </c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  <c r="BM3" s="151"/>
      <c r="BN3" s="152"/>
      <c r="BO3" s="105" t="s">
        <v>95</v>
      </c>
      <c r="BP3" s="105" t="s">
        <v>96</v>
      </c>
      <c r="BQ3" s="105" t="s">
        <v>101</v>
      </c>
      <c r="BR3" s="105" t="s">
        <v>106</v>
      </c>
      <c r="BS3" s="105"/>
      <c r="BT3" s="97" t="s">
        <v>1763</v>
      </c>
      <c r="BU3" s="150" t="s">
        <v>102</v>
      </c>
      <c r="BV3" s="152"/>
      <c r="BW3" s="156" t="s">
        <v>1761</v>
      </c>
      <c r="BX3" s="153" t="s">
        <v>1762</v>
      </c>
      <c r="BY3" s="153" t="s">
        <v>1951</v>
      </c>
      <c r="BZ3" s="153" t="s">
        <v>1953</v>
      </c>
      <c r="CA3" s="153" t="s">
        <v>1952</v>
      </c>
      <c r="CB3" s="153" t="s">
        <v>1953</v>
      </c>
    </row>
    <row r="4" spans="1:80" s="7" customFormat="1" ht="26.45" customHeight="1">
      <c r="A4" s="100"/>
      <c r="B4" s="98"/>
      <c r="C4" s="100"/>
      <c r="D4" s="100"/>
      <c r="E4" s="98"/>
      <c r="F4" s="98"/>
      <c r="G4" s="100"/>
      <c r="H4" s="100"/>
      <c r="I4" s="100"/>
      <c r="J4" s="100"/>
      <c r="K4" s="97" t="s">
        <v>23</v>
      </c>
      <c r="L4" s="150" t="s">
        <v>98</v>
      </c>
      <c r="M4" s="152"/>
      <c r="N4" s="150" t="s">
        <v>100</v>
      </c>
      <c r="O4" s="151"/>
      <c r="P4" s="152"/>
      <c r="Q4" s="111"/>
      <c r="R4" s="112"/>
      <c r="S4" s="120"/>
      <c r="T4" s="121"/>
      <c r="U4" s="101" t="s">
        <v>26</v>
      </c>
      <c r="V4" s="102"/>
      <c r="W4" s="101" t="s">
        <v>27</v>
      </c>
      <c r="X4" s="102"/>
      <c r="Y4" s="101" t="s">
        <v>27</v>
      </c>
      <c r="Z4" s="102"/>
      <c r="AA4" s="101" t="s">
        <v>28</v>
      </c>
      <c r="AB4" s="102"/>
      <c r="AC4" s="101" t="s">
        <v>71</v>
      </c>
      <c r="AD4" s="102"/>
      <c r="AE4" s="161"/>
      <c r="AF4" s="157" t="s">
        <v>26</v>
      </c>
      <c r="AG4" s="157" t="s">
        <v>27</v>
      </c>
      <c r="AH4" s="157" t="s">
        <v>28</v>
      </c>
      <c r="AI4" s="157" t="s">
        <v>29</v>
      </c>
      <c r="AJ4" s="97" t="s">
        <v>91</v>
      </c>
      <c r="AK4" s="97" t="s">
        <v>92</v>
      </c>
      <c r="AL4" s="111"/>
      <c r="AM4" s="112"/>
      <c r="AN4" s="116"/>
      <c r="AO4" s="116"/>
      <c r="AP4" s="118"/>
      <c r="AQ4" s="100"/>
      <c r="AR4" s="100"/>
      <c r="AS4" s="105" t="s">
        <v>88</v>
      </c>
      <c r="AT4" s="105"/>
      <c r="AU4" s="105"/>
      <c r="AV4" s="105"/>
      <c r="AW4" s="109" t="s">
        <v>2024</v>
      </c>
      <c r="AX4" s="110"/>
      <c r="AY4" s="105" t="s">
        <v>2025</v>
      </c>
      <c r="AZ4" s="105"/>
      <c r="BA4" s="105"/>
      <c r="BB4" s="105"/>
      <c r="BC4" s="105"/>
      <c r="BD4" s="109" t="s">
        <v>2026</v>
      </c>
      <c r="BE4" s="110"/>
      <c r="BF4" s="109" t="s">
        <v>2027</v>
      </c>
      <c r="BG4" s="154"/>
      <c r="BH4" s="110"/>
      <c r="BI4" s="109" t="s">
        <v>2028</v>
      </c>
      <c r="BJ4" s="110"/>
      <c r="BK4" s="109" t="s">
        <v>2029</v>
      </c>
      <c r="BL4" s="110"/>
      <c r="BM4" s="109" t="s">
        <v>2030</v>
      </c>
      <c r="BN4" s="110"/>
      <c r="BO4" s="105"/>
      <c r="BP4" s="105"/>
      <c r="BQ4" s="105"/>
      <c r="BR4" s="105"/>
      <c r="BS4" s="105"/>
      <c r="BT4" s="98"/>
      <c r="BU4" s="97" t="s">
        <v>103</v>
      </c>
      <c r="BV4" s="97" t="s">
        <v>104</v>
      </c>
      <c r="BW4" s="156"/>
      <c r="BX4" s="153"/>
      <c r="BY4" s="153"/>
      <c r="BZ4" s="153"/>
      <c r="CA4" s="153"/>
      <c r="CB4" s="153"/>
    </row>
    <row r="5" spans="1:80" s="7" customFormat="1" ht="53.25" customHeight="1">
      <c r="A5" s="105"/>
      <c r="B5" s="98"/>
      <c r="C5" s="105"/>
      <c r="D5" s="105"/>
      <c r="E5" s="98"/>
      <c r="F5" s="98"/>
      <c r="G5" s="105"/>
      <c r="H5" s="105"/>
      <c r="I5" s="105"/>
      <c r="J5" s="105"/>
      <c r="K5" s="98"/>
      <c r="L5" s="163" t="s">
        <v>24</v>
      </c>
      <c r="M5" s="163" t="s">
        <v>25</v>
      </c>
      <c r="N5" s="163" t="s">
        <v>24</v>
      </c>
      <c r="O5" s="163" t="s">
        <v>25</v>
      </c>
      <c r="P5" s="97" t="s">
        <v>99</v>
      </c>
      <c r="Q5" s="113"/>
      <c r="R5" s="114"/>
      <c r="S5" s="103"/>
      <c r="T5" s="104"/>
      <c r="U5" s="103"/>
      <c r="V5" s="104"/>
      <c r="W5" s="103"/>
      <c r="X5" s="104"/>
      <c r="Y5" s="103"/>
      <c r="Z5" s="104"/>
      <c r="AA5" s="103"/>
      <c r="AB5" s="104"/>
      <c r="AC5" s="103"/>
      <c r="AD5" s="104"/>
      <c r="AE5" s="162"/>
      <c r="AF5" s="158"/>
      <c r="AG5" s="158"/>
      <c r="AH5" s="158"/>
      <c r="AI5" s="158"/>
      <c r="AJ5" s="98"/>
      <c r="AK5" s="98"/>
      <c r="AL5" s="113"/>
      <c r="AM5" s="114"/>
      <c r="AN5" s="116"/>
      <c r="AO5" s="116"/>
      <c r="AP5" s="118"/>
      <c r="AQ5" s="105"/>
      <c r="AR5" s="105"/>
      <c r="AS5" s="159" t="s">
        <v>68</v>
      </c>
      <c r="AT5" s="160"/>
      <c r="AU5" s="159" t="s">
        <v>69</v>
      </c>
      <c r="AV5" s="160"/>
      <c r="AW5" s="113"/>
      <c r="AX5" s="114"/>
      <c r="AY5" s="105" t="s">
        <v>2031</v>
      </c>
      <c r="AZ5" s="105"/>
      <c r="BA5" s="105" t="s">
        <v>2032</v>
      </c>
      <c r="BB5" s="105"/>
      <c r="BC5" s="97" t="s">
        <v>105</v>
      </c>
      <c r="BD5" s="113"/>
      <c r="BE5" s="114"/>
      <c r="BF5" s="113"/>
      <c r="BG5" s="155"/>
      <c r="BH5" s="114"/>
      <c r="BI5" s="113"/>
      <c r="BJ5" s="114"/>
      <c r="BK5" s="113"/>
      <c r="BL5" s="114"/>
      <c r="BM5" s="113"/>
      <c r="BN5" s="114"/>
      <c r="BO5" s="105"/>
      <c r="BP5" s="105"/>
      <c r="BQ5" s="105"/>
      <c r="BR5" s="105"/>
      <c r="BS5" s="105"/>
      <c r="BT5" s="98"/>
      <c r="BU5" s="98"/>
      <c r="BV5" s="98"/>
      <c r="BW5" s="156"/>
      <c r="BX5" s="153"/>
      <c r="BY5" s="153"/>
      <c r="BZ5" s="153"/>
      <c r="CA5" s="153"/>
      <c r="CB5" s="153"/>
    </row>
    <row r="6" spans="1:80" s="7" customFormat="1" ht="73.5" customHeight="1">
      <c r="A6" s="100"/>
      <c r="B6" s="99"/>
      <c r="C6" s="100"/>
      <c r="D6" s="100"/>
      <c r="E6" s="99"/>
      <c r="F6" s="99"/>
      <c r="G6" s="100"/>
      <c r="H6" s="100"/>
      <c r="I6" s="100"/>
      <c r="J6" s="100"/>
      <c r="K6" s="99"/>
      <c r="L6" s="158"/>
      <c r="M6" s="158"/>
      <c r="N6" s="158"/>
      <c r="O6" s="158"/>
      <c r="P6" s="99"/>
      <c r="Q6" s="77" t="s">
        <v>68</v>
      </c>
      <c r="R6" s="77" t="s">
        <v>69</v>
      </c>
      <c r="S6" s="78" t="s">
        <v>68</v>
      </c>
      <c r="T6" s="78" t="s">
        <v>69</v>
      </c>
      <c r="U6" s="78" t="s">
        <v>68</v>
      </c>
      <c r="V6" s="78" t="s">
        <v>69</v>
      </c>
      <c r="W6" s="84"/>
      <c r="X6" s="84"/>
      <c r="Y6" s="78" t="s">
        <v>68</v>
      </c>
      <c r="Z6" s="78" t="s">
        <v>69</v>
      </c>
      <c r="AA6" s="78" t="s">
        <v>68</v>
      </c>
      <c r="AB6" s="78" t="s">
        <v>69</v>
      </c>
      <c r="AC6" s="78" t="s">
        <v>68</v>
      </c>
      <c r="AD6" s="78" t="s">
        <v>69</v>
      </c>
      <c r="AE6" s="161"/>
      <c r="AF6" s="78" t="s">
        <v>68</v>
      </c>
      <c r="AG6" s="78" t="s">
        <v>68</v>
      </c>
      <c r="AH6" s="78" t="s">
        <v>68</v>
      </c>
      <c r="AI6" s="78" t="s">
        <v>68</v>
      </c>
      <c r="AJ6" s="99"/>
      <c r="AK6" s="99"/>
      <c r="AL6" s="78" t="s">
        <v>68</v>
      </c>
      <c r="AM6" s="78" t="s">
        <v>69</v>
      </c>
      <c r="AN6" s="78" t="s">
        <v>68</v>
      </c>
      <c r="AO6" s="78" t="s">
        <v>69</v>
      </c>
      <c r="AP6" s="119"/>
      <c r="AQ6" s="100"/>
      <c r="AR6" s="100"/>
      <c r="AS6" s="79" t="s">
        <v>89</v>
      </c>
      <c r="AT6" s="79" t="s">
        <v>90</v>
      </c>
      <c r="AU6" s="79" t="s">
        <v>89</v>
      </c>
      <c r="AV6" s="79" t="s">
        <v>90</v>
      </c>
      <c r="AW6" s="79" t="s">
        <v>68</v>
      </c>
      <c r="AX6" s="79" t="s">
        <v>69</v>
      </c>
      <c r="AY6" s="79" t="s">
        <v>68</v>
      </c>
      <c r="AZ6" s="79" t="s">
        <v>69</v>
      </c>
      <c r="BA6" s="79" t="s">
        <v>68</v>
      </c>
      <c r="BB6" s="79" t="s">
        <v>69</v>
      </c>
      <c r="BC6" s="99"/>
      <c r="BD6" s="79" t="s">
        <v>68</v>
      </c>
      <c r="BE6" s="79" t="s">
        <v>69</v>
      </c>
      <c r="BF6" s="79" t="s">
        <v>2033</v>
      </c>
      <c r="BG6" s="79" t="s">
        <v>2034</v>
      </c>
      <c r="BH6" s="79" t="s">
        <v>93</v>
      </c>
      <c r="BI6" s="79" t="s">
        <v>68</v>
      </c>
      <c r="BJ6" s="79" t="s">
        <v>69</v>
      </c>
      <c r="BK6" s="79" t="s">
        <v>68</v>
      </c>
      <c r="BL6" s="79" t="s">
        <v>69</v>
      </c>
      <c r="BM6" s="79" t="s">
        <v>68</v>
      </c>
      <c r="BN6" s="79" t="s">
        <v>69</v>
      </c>
      <c r="BO6" s="105"/>
      <c r="BP6" s="105"/>
      <c r="BQ6" s="105"/>
      <c r="BR6" s="77" t="s">
        <v>107</v>
      </c>
      <c r="BS6" s="77" t="s">
        <v>108</v>
      </c>
      <c r="BT6" s="99"/>
      <c r="BU6" s="99"/>
      <c r="BV6" s="99"/>
      <c r="BW6" s="156"/>
      <c r="BX6" s="153"/>
      <c r="BY6" s="153"/>
      <c r="BZ6" s="153"/>
      <c r="CA6" s="153"/>
      <c r="CB6" s="153"/>
    </row>
    <row r="7" spans="1:80" s="7" customFormat="1" ht="64.5" customHeight="1">
      <c r="A7" s="80"/>
      <c r="B7" s="78">
        <f t="shared" ref="B7:P7" si="0">+SUBTOTAL(3,B8:B1048576)</f>
        <v>0</v>
      </c>
      <c r="C7" s="78">
        <f t="shared" si="0"/>
        <v>0</v>
      </c>
      <c r="D7" s="78">
        <f t="shared" si="0"/>
        <v>0</v>
      </c>
      <c r="E7" s="78">
        <f t="shared" si="0"/>
        <v>0</v>
      </c>
      <c r="F7" s="78">
        <f t="shared" si="0"/>
        <v>0</v>
      </c>
      <c r="G7" s="78">
        <f t="shared" si="0"/>
        <v>0</v>
      </c>
      <c r="H7" s="78">
        <f t="shared" si="0"/>
        <v>0</v>
      </c>
      <c r="I7" s="78">
        <f t="shared" si="0"/>
        <v>0</v>
      </c>
      <c r="J7" s="78">
        <f t="shared" si="0"/>
        <v>0</v>
      </c>
      <c r="K7" s="78">
        <f t="shared" si="0"/>
        <v>0</v>
      </c>
      <c r="L7" s="78">
        <f t="shared" si="0"/>
        <v>0</v>
      </c>
      <c r="M7" s="78">
        <f t="shared" si="0"/>
        <v>0</v>
      </c>
      <c r="N7" s="78">
        <f t="shared" si="0"/>
        <v>0</v>
      </c>
      <c r="O7" s="78">
        <f t="shared" si="0"/>
        <v>0</v>
      </c>
      <c r="P7" s="78">
        <f t="shared" si="0"/>
        <v>0</v>
      </c>
      <c r="Q7" s="78">
        <f t="shared" ref="Q7:V7" si="1">+SUBTOTAL(9,Q8:Q1048576)</f>
        <v>0</v>
      </c>
      <c r="R7" s="78">
        <f t="shared" si="1"/>
        <v>0</v>
      </c>
      <c r="S7" s="78">
        <f t="shared" si="1"/>
        <v>0</v>
      </c>
      <c r="T7" s="78">
        <f t="shared" si="1"/>
        <v>0</v>
      </c>
      <c r="U7" s="78">
        <f t="shared" si="1"/>
        <v>0</v>
      </c>
      <c r="V7" s="78">
        <f t="shared" si="1"/>
        <v>0</v>
      </c>
      <c r="W7" s="84"/>
      <c r="X7" s="84"/>
      <c r="Y7" s="78">
        <f t="shared" ref="Y7:AM7" si="2">+SUBTOTAL(9,Y8:Y1048576)</f>
        <v>0</v>
      </c>
      <c r="Z7" s="78">
        <f t="shared" si="2"/>
        <v>0</v>
      </c>
      <c r="AA7" s="78">
        <f t="shared" si="2"/>
        <v>0</v>
      </c>
      <c r="AB7" s="78">
        <f t="shared" si="2"/>
        <v>0</v>
      </c>
      <c r="AC7" s="78">
        <f t="shared" si="2"/>
        <v>0</v>
      </c>
      <c r="AD7" s="78">
        <f t="shared" si="2"/>
        <v>0</v>
      </c>
      <c r="AE7" s="78">
        <f t="shared" si="2"/>
        <v>0</v>
      </c>
      <c r="AF7" s="78">
        <f t="shared" si="2"/>
        <v>0</v>
      </c>
      <c r="AG7" s="78">
        <f t="shared" si="2"/>
        <v>0</v>
      </c>
      <c r="AH7" s="78">
        <f t="shared" si="2"/>
        <v>0</v>
      </c>
      <c r="AI7" s="78">
        <f t="shared" si="2"/>
        <v>0</v>
      </c>
      <c r="AJ7" s="78">
        <f t="shared" si="2"/>
        <v>0</v>
      </c>
      <c r="AK7" s="78">
        <f t="shared" si="2"/>
        <v>0</v>
      </c>
      <c r="AL7" s="78">
        <f t="shared" si="2"/>
        <v>0</v>
      </c>
      <c r="AM7" s="78">
        <f t="shared" si="2"/>
        <v>0</v>
      </c>
      <c r="AN7" s="78">
        <f t="shared" ref="AN7:CB7" si="3">+SUBTOTAL(3,AN8:AN1048576)</f>
        <v>0</v>
      </c>
      <c r="AO7" s="78">
        <f t="shared" si="3"/>
        <v>0</v>
      </c>
      <c r="AP7" s="78">
        <f t="shared" si="3"/>
        <v>0</v>
      </c>
      <c r="AQ7" s="78">
        <f t="shared" si="3"/>
        <v>0</v>
      </c>
      <c r="AR7" s="78">
        <f t="shared" si="3"/>
        <v>0</v>
      </c>
      <c r="AS7" s="78">
        <f t="shared" si="3"/>
        <v>0</v>
      </c>
      <c r="AT7" s="78">
        <f t="shared" si="3"/>
        <v>0</v>
      </c>
      <c r="AU7" s="78">
        <f t="shared" si="3"/>
        <v>0</v>
      </c>
      <c r="AV7" s="78">
        <f t="shared" si="3"/>
        <v>0</v>
      </c>
      <c r="AW7" s="78">
        <f t="shared" si="3"/>
        <v>0</v>
      </c>
      <c r="AX7" s="78">
        <f t="shared" si="3"/>
        <v>0</v>
      </c>
      <c r="AY7" s="78">
        <f t="shared" si="3"/>
        <v>0</v>
      </c>
      <c r="AZ7" s="78">
        <f t="shared" si="3"/>
        <v>0</v>
      </c>
      <c r="BA7" s="78">
        <f t="shared" si="3"/>
        <v>0</v>
      </c>
      <c r="BB7" s="78">
        <f t="shared" si="3"/>
        <v>0</v>
      </c>
      <c r="BC7" s="78">
        <f t="shared" si="3"/>
        <v>0</v>
      </c>
      <c r="BD7" s="78">
        <f t="shared" si="3"/>
        <v>0</v>
      </c>
      <c r="BE7" s="78">
        <f t="shared" si="3"/>
        <v>0</v>
      </c>
      <c r="BF7" s="78">
        <f t="shared" si="3"/>
        <v>0</v>
      </c>
      <c r="BG7" s="78">
        <f t="shared" si="3"/>
        <v>0</v>
      </c>
      <c r="BH7" s="78">
        <f t="shared" si="3"/>
        <v>0</v>
      </c>
      <c r="BI7" s="78">
        <f t="shared" si="3"/>
        <v>0</v>
      </c>
      <c r="BJ7" s="78">
        <f t="shared" si="3"/>
        <v>0</v>
      </c>
      <c r="BK7" s="78">
        <f t="shared" si="3"/>
        <v>0</v>
      </c>
      <c r="BL7" s="78">
        <f t="shared" si="3"/>
        <v>0</v>
      </c>
      <c r="BM7" s="78">
        <f t="shared" si="3"/>
        <v>0</v>
      </c>
      <c r="BN7" s="78">
        <f t="shared" si="3"/>
        <v>0</v>
      </c>
      <c r="BO7" s="78">
        <f t="shared" si="3"/>
        <v>0</v>
      </c>
      <c r="BP7" s="78">
        <f t="shared" si="3"/>
        <v>0</v>
      </c>
      <c r="BQ7" s="78">
        <f t="shared" si="3"/>
        <v>0</v>
      </c>
      <c r="BR7" s="78">
        <f t="shared" si="3"/>
        <v>0</v>
      </c>
      <c r="BS7" s="78">
        <f t="shared" si="3"/>
        <v>0</v>
      </c>
      <c r="BT7" s="78">
        <f t="shared" si="3"/>
        <v>0</v>
      </c>
      <c r="BU7" s="78">
        <f t="shared" si="3"/>
        <v>0</v>
      </c>
      <c r="BV7" s="78">
        <f t="shared" si="3"/>
        <v>0</v>
      </c>
      <c r="BW7" s="78">
        <f t="shared" si="3"/>
        <v>0</v>
      </c>
      <c r="BX7" s="78">
        <f t="shared" si="3"/>
        <v>0</v>
      </c>
      <c r="BY7" s="78">
        <f t="shared" si="3"/>
        <v>0</v>
      </c>
      <c r="BZ7" s="78">
        <f t="shared" si="3"/>
        <v>0</v>
      </c>
      <c r="CA7" s="78">
        <f t="shared" si="3"/>
        <v>0</v>
      </c>
      <c r="CB7" s="78">
        <f t="shared" si="3"/>
        <v>0</v>
      </c>
    </row>
    <row r="8" spans="1:80" s="76" customFormat="1" ht="18.75">
      <c r="A8" s="73"/>
      <c r="B8" s="73"/>
      <c r="C8" s="73"/>
      <c r="D8" s="66"/>
      <c r="E8" s="73"/>
      <c r="F8" s="67"/>
      <c r="G8" s="66"/>
      <c r="H8" s="66"/>
      <c r="I8" s="66"/>
      <c r="J8" s="73"/>
      <c r="K8" s="73"/>
      <c r="L8" s="73"/>
      <c r="M8" s="73"/>
      <c r="N8" s="73"/>
      <c r="O8" s="73"/>
      <c r="P8" s="73"/>
      <c r="Q8" s="73"/>
      <c r="R8" s="73"/>
      <c r="S8" s="67"/>
      <c r="T8" s="73"/>
      <c r="U8" s="67"/>
      <c r="V8" s="73"/>
      <c r="W8" s="85"/>
      <c r="X8" s="85"/>
      <c r="Y8" s="67"/>
      <c r="Z8" s="73"/>
      <c r="AA8" s="67"/>
      <c r="AB8" s="73"/>
      <c r="AC8" s="67"/>
      <c r="AD8" s="73"/>
      <c r="AE8" s="67"/>
      <c r="AF8" s="67"/>
      <c r="AG8" s="67"/>
      <c r="AH8" s="67"/>
      <c r="AI8" s="67"/>
      <c r="AJ8" s="73"/>
      <c r="AK8" s="73"/>
      <c r="AL8" s="68"/>
      <c r="AM8" s="73"/>
      <c r="AN8" s="69"/>
      <c r="AO8" s="74"/>
      <c r="AP8" s="75"/>
      <c r="AQ8" s="70"/>
      <c r="AR8" s="73"/>
      <c r="AS8" s="74"/>
      <c r="AT8" s="73"/>
      <c r="AU8" s="74"/>
      <c r="AV8" s="73"/>
      <c r="AW8" s="74"/>
      <c r="AX8" s="74"/>
      <c r="AY8" s="74"/>
      <c r="AZ8" s="74"/>
      <c r="BA8" s="74"/>
      <c r="BB8" s="74"/>
      <c r="BC8" s="73"/>
      <c r="BD8" s="74"/>
      <c r="BE8" s="74"/>
      <c r="BF8" s="74"/>
      <c r="BG8" s="74"/>
      <c r="BH8" s="73"/>
      <c r="BI8" s="74"/>
      <c r="BJ8" s="74"/>
      <c r="BK8" s="74"/>
      <c r="BL8" s="74"/>
      <c r="BM8" s="74"/>
      <c r="BN8" s="74"/>
      <c r="BO8" s="74"/>
      <c r="BP8" s="74"/>
      <c r="BQ8" s="73"/>
      <c r="BR8" s="73"/>
      <c r="BS8" s="73"/>
      <c r="BT8" s="71"/>
      <c r="BU8" s="71"/>
      <c r="BV8" s="71"/>
      <c r="BW8" s="73"/>
      <c r="BX8" s="73"/>
      <c r="BY8" s="73"/>
      <c r="BZ8" s="73"/>
      <c r="CA8" s="72"/>
      <c r="CB8" s="72"/>
    </row>
    <row r="9" spans="1:80" s="76" customFormat="1" ht="18.75">
      <c r="A9" s="73"/>
      <c r="B9" s="73"/>
      <c r="C9" s="73"/>
      <c r="D9" s="66"/>
      <c r="E9" s="73"/>
      <c r="F9" s="67"/>
      <c r="G9" s="66"/>
      <c r="H9" s="66"/>
      <c r="I9" s="66"/>
      <c r="J9" s="73"/>
      <c r="K9" s="73"/>
      <c r="L9" s="73"/>
      <c r="M9" s="73"/>
      <c r="N9" s="73"/>
      <c r="O9" s="73"/>
      <c r="P9" s="73"/>
      <c r="Q9" s="73"/>
      <c r="R9" s="73"/>
      <c r="S9" s="67"/>
      <c r="T9" s="73"/>
      <c r="U9" s="67"/>
      <c r="V9" s="73"/>
      <c r="W9" s="85"/>
      <c r="X9" s="85"/>
      <c r="Y9" s="67"/>
      <c r="Z9" s="73"/>
      <c r="AA9" s="67"/>
      <c r="AB9" s="73"/>
      <c r="AC9" s="67"/>
      <c r="AD9" s="73"/>
      <c r="AE9" s="67"/>
      <c r="AF9" s="67"/>
      <c r="AG9" s="67"/>
      <c r="AH9" s="67"/>
      <c r="AI9" s="67"/>
      <c r="AJ9" s="73"/>
      <c r="AK9" s="73"/>
      <c r="AL9" s="68"/>
      <c r="AM9" s="73"/>
      <c r="AN9" s="69"/>
      <c r="AO9" s="74"/>
      <c r="AP9" s="75"/>
      <c r="AQ9" s="70"/>
      <c r="AR9" s="73"/>
      <c r="AS9" s="74"/>
      <c r="AT9" s="73"/>
      <c r="AU9" s="74"/>
      <c r="AV9" s="73"/>
      <c r="AW9" s="74"/>
      <c r="AX9" s="74"/>
      <c r="AY9" s="74"/>
      <c r="AZ9" s="74"/>
      <c r="BA9" s="74"/>
      <c r="BB9" s="74"/>
      <c r="BC9" s="73"/>
      <c r="BD9" s="74"/>
      <c r="BE9" s="74"/>
      <c r="BF9" s="74"/>
      <c r="BG9" s="74"/>
      <c r="BH9" s="73"/>
      <c r="BI9" s="74"/>
      <c r="BJ9" s="74"/>
      <c r="BK9" s="74"/>
      <c r="BL9" s="74"/>
      <c r="BM9" s="74"/>
      <c r="BN9" s="74"/>
      <c r="BO9" s="74"/>
      <c r="BP9" s="74"/>
      <c r="BQ9" s="73"/>
      <c r="BR9" s="73"/>
      <c r="BS9" s="73"/>
      <c r="BT9" s="71"/>
      <c r="BU9" s="71"/>
      <c r="BV9" s="71"/>
      <c r="BW9" s="73"/>
      <c r="BX9" s="73"/>
      <c r="BY9" s="73"/>
      <c r="BZ9" s="73"/>
      <c r="CA9" s="72"/>
      <c r="CB9" s="72"/>
    </row>
    <row r="10" spans="1:80" s="76" customFormat="1" ht="18.75">
      <c r="A10" s="73"/>
      <c r="B10" s="73"/>
      <c r="C10" s="73"/>
      <c r="D10" s="66"/>
      <c r="E10" s="73"/>
      <c r="F10" s="67"/>
      <c r="G10" s="66"/>
      <c r="H10" s="66"/>
      <c r="I10" s="66"/>
      <c r="J10" s="73"/>
      <c r="K10" s="73"/>
      <c r="L10" s="73"/>
      <c r="M10" s="73"/>
      <c r="N10" s="73"/>
      <c r="O10" s="73"/>
      <c r="P10" s="73"/>
      <c r="Q10" s="73"/>
      <c r="R10" s="73"/>
      <c r="S10" s="67"/>
      <c r="T10" s="73"/>
      <c r="U10" s="67"/>
      <c r="V10" s="73"/>
      <c r="W10" s="85"/>
      <c r="X10" s="85"/>
      <c r="Y10" s="67"/>
      <c r="Z10" s="73"/>
      <c r="AA10" s="67"/>
      <c r="AB10" s="73"/>
      <c r="AC10" s="67"/>
      <c r="AD10" s="73"/>
      <c r="AE10" s="67"/>
      <c r="AF10" s="67"/>
      <c r="AG10" s="67"/>
      <c r="AH10" s="67"/>
      <c r="AI10" s="67"/>
      <c r="AJ10" s="73"/>
      <c r="AK10" s="73"/>
      <c r="AL10" s="68"/>
      <c r="AM10" s="73"/>
      <c r="AN10" s="69"/>
      <c r="AO10" s="74"/>
      <c r="AP10" s="75"/>
      <c r="AQ10" s="70"/>
      <c r="AR10" s="73"/>
      <c r="AS10" s="74"/>
      <c r="AT10" s="73"/>
      <c r="AU10" s="74"/>
      <c r="AV10" s="73"/>
      <c r="AW10" s="74"/>
      <c r="AX10" s="74"/>
      <c r="AY10" s="74"/>
      <c r="AZ10" s="74"/>
      <c r="BA10" s="74"/>
      <c r="BB10" s="74"/>
      <c r="BC10" s="73"/>
      <c r="BD10" s="74"/>
      <c r="BE10" s="74"/>
      <c r="BF10" s="74"/>
      <c r="BG10" s="74"/>
      <c r="BH10" s="73"/>
      <c r="BI10" s="74"/>
      <c r="BJ10" s="74"/>
      <c r="BK10" s="74"/>
      <c r="BL10" s="74"/>
      <c r="BM10" s="74"/>
      <c r="BN10" s="74"/>
      <c r="BO10" s="74"/>
      <c r="BP10" s="74"/>
      <c r="BQ10" s="73"/>
      <c r="BR10" s="73"/>
      <c r="BS10" s="73"/>
      <c r="BT10" s="71"/>
      <c r="BU10" s="71"/>
      <c r="BV10" s="71"/>
      <c r="BW10" s="73"/>
      <c r="BX10" s="73"/>
      <c r="BY10" s="73"/>
      <c r="BZ10" s="73"/>
      <c r="CA10" s="72"/>
      <c r="CB10" s="72"/>
    </row>
    <row r="11" spans="1:80" s="76" customFormat="1" ht="18.75">
      <c r="A11" s="73"/>
      <c r="B11" s="73"/>
      <c r="C11" s="73"/>
      <c r="D11" s="66"/>
      <c r="E11" s="73"/>
      <c r="F11" s="67"/>
      <c r="G11" s="66"/>
      <c r="H11" s="66"/>
      <c r="I11" s="66"/>
      <c r="J11" s="73"/>
      <c r="K11" s="73"/>
      <c r="L11" s="73"/>
      <c r="M11" s="73"/>
      <c r="N11" s="73"/>
      <c r="O11" s="73"/>
      <c r="P11" s="73"/>
      <c r="Q11" s="73"/>
      <c r="R11" s="73"/>
      <c r="S11" s="67"/>
      <c r="T11" s="73"/>
      <c r="U11" s="67"/>
      <c r="V11" s="73"/>
      <c r="W11" s="85"/>
      <c r="X11" s="85"/>
      <c r="Y11" s="67"/>
      <c r="Z11" s="73"/>
      <c r="AA11" s="67"/>
      <c r="AB11" s="73"/>
      <c r="AC11" s="67"/>
      <c r="AD11" s="73"/>
      <c r="AE11" s="67"/>
      <c r="AF11" s="67"/>
      <c r="AG11" s="67"/>
      <c r="AH11" s="67"/>
      <c r="AI11" s="67"/>
      <c r="AJ11" s="73"/>
      <c r="AK11" s="73"/>
      <c r="AL11" s="68"/>
      <c r="AM11" s="73"/>
      <c r="AN11" s="69"/>
      <c r="AO11" s="74"/>
      <c r="AP11" s="75"/>
      <c r="AQ11" s="70"/>
      <c r="AR11" s="73"/>
      <c r="AS11" s="74"/>
      <c r="AT11" s="73"/>
      <c r="AU11" s="74"/>
      <c r="AV11" s="73"/>
      <c r="AW11" s="74"/>
      <c r="AX11" s="74"/>
      <c r="AY11" s="74"/>
      <c r="AZ11" s="74"/>
      <c r="BA11" s="74"/>
      <c r="BB11" s="74"/>
      <c r="BC11" s="73"/>
      <c r="BD11" s="74"/>
      <c r="BE11" s="74"/>
      <c r="BF11" s="74"/>
      <c r="BG11" s="74"/>
      <c r="BH11" s="73"/>
      <c r="BI11" s="74"/>
      <c r="BJ11" s="74"/>
      <c r="BK11" s="74"/>
      <c r="BL11" s="74"/>
      <c r="BM11" s="74"/>
      <c r="BN11" s="74"/>
      <c r="BO11" s="74"/>
      <c r="BP11" s="74"/>
      <c r="BQ11" s="73"/>
      <c r="BR11" s="73"/>
      <c r="BS11" s="73"/>
      <c r="BT11" s="71"/>
      <c r="BU11" s="71"/>
      <c r="BV11" s="71"/>
      <c r="BW11" s="73"/>
      <c r="BX11" s="73"/>
      <c r="BY11" s="73"/>
      <c r="BZ11" s="73"/>
      <c r="CA11" s="72"/>
      <c r="CB11" s="72"/>
    </row>
    <row r="12" spans="1:80" s="76" customFormat="1" ht="18.75">
      <c r="A12" s="73"/>
      <c r="B12" s="73"/>
      <c r="C12" s="73"/>
      <c r="D12" s="66"/>
      <c r="E12" s="73"/>
      <c r="F12" s="67"/>
      <c r="G12" s="66"/>
      <c r="H12" s="66"/>
      <c r="I12" s="66"/>
      <c r="J12" s="73"/>
      <c r="K12" s="73"/>
      <c r="L12" s="73"/>
      <c r="M12" s="73"/>
      <c r="N12" s="73"/>
      <c r="O12" s="73"/>
      <c r="P12" s="73"/>
      <c r="Q12" s="73"/>
      <c r="R12" s="73"/>
      <c r="S12" s="67"/>
      <c r="T12" s="73"/>
      <c r="U12" s="67"/>
      <c r="V12" s="73"/>
      <c r="W12" s="85"/>
      <c r="X12" s="85"/>
      <c r="Y12" s="67"/>
      <c r="Z12" s="73"/>
      <c r="AA12" s="67"/>
      <c r="AB12" s="73"/>
      <c r="AC12" s="67"/>
      <c r="AD12" s="73"/>
      <c r="AE12" s="67"/>
      <c r="AF12" s="67"/>
      <c r="AG12" s="67"/>
      <c r="AH12" s="67"/>
      <c r="AI12" s="67"/>
      <c r="AJ12" s="73"/>
      <c r="AK12" s="73"/>
      <c r="AL12" s="68"/>
      <c r="AM12" s="73"/>
      <c r="AN12" s="69"/>
      <c r="AO12" s="74"/>
      <c r="AP12" s="75"/>
      <c r="AQ12" s="70"/>
      <c r="AR12" s="73"/>
      <c r="AS12" s="74"/>
      <c r="AT12" s="73"/>
      <c r="AU12" s="74"/>
      <c r="AV12" s="73"/>
      <c r="AW12" s="74"/>
      <c r="AX12" s="74"/>
      <c r="AY12" s="74"/>
      <c r="AZ12" s="74"/>
      <c r="BA12" s="74"/>
      <c r="BB12" s="74"/>
      <c r="BC12" s="73"/>
      <c r="BD12" s="74"/>
      <c r="BE12" s="74"/>
      <c r="BF12" s="74"/>
      <c r="BG12" s="74"/>
      <c r="BH12" s="73"/>
      <c r="BI12" s="74"/>
      <c r="BJ12" s="74"/>
      <c r="BK12" s="74"/>
      <c r="BL12" s="74"/>
      <c r="BM12" s="74"/>
      <c r="BN12" s="74"/>
      <c r="BO12" s="74"/>
      <c r="BP12" s="74"/>
      <c r="BQ12" s="73"/>
      <c r="BR12" s="73"/>
      <c r="BS12" s="73"/>
      <c r="BT12" s="71"/>
      <c r="BU12" s="71"/>
      <c r="BV12" s="71"/>
      <c r="BW12" s="73"/>
      <c r="BX12" s="73"/>
      <c r="BY12" s="73"/>
      <c r="BZ12" s="73"/>
      <c r="CA12" s="72"/>
      <c r="CB12" s="72"/>
    </row>
    <row r="13" spans="1:80" s="76" customFormat="1" ht="18.75">
      <c r="A13" s="73"/>
      <c r="B13" s="73"/>
      <c r="C13" s="73"/>
      <c r="D13" s="66"/>
      <c r="E13" s="73"/>
      <c r="F13" s="67"/>
      <c r="G13" s="66"/>
      <c r="H13" s="66"/>
      <c r="I13" s="66"/>
      <c r="J13" s="73"/>
      <c r="K13" s="73"/>
      <c r="L13" s="73"/>
      <c r="M13" s="73"/>
      <c r="N13" s="73"/>
      <c r="O13" s="73"/>
      <c r="P13" s="73"/>
      <c r="Q13" s="73"/>
      <c r="R13" s="73"/>
      <c r="S13" s="67"/>
      <c r="T13" s="73"/>
      <c r="U13" s="67"/>
      <c r="V13" s="73"/>
      <c r="W13" s="85"/>
      <c r="X13" s="85"/>
      <c r="Y13" s="67"/>
      <c r="Z13" s="73"/>
      <c r="AA13" s="67"/>
      <c r="AB13" s="73"/>
      <c r="AC13" s="67"/>
      <c r="AD13" s="73"/>
      <c r="AE13" s="67"/>
      <c r="AF13" s="67"/>
      <c r="AG13" s="67"/>
      <c r="AH13" s="67"/>
      <c r="AI13" s="67"/>
      <c r="AJ13" s="73"/>
      <c r="AK13" s="73"/>
      <c r="AL13" s="68"/>
      <c r="AM13" s="73"/>
      <c r="AN13" s="69"/>
      <c r="AO13" s="74"/>
      <c r="AP13" s="75"/>
      <c r="AQ13" s="70"/>
      <c r="AR13" s="73"/>
      <c r="AS13" s="74"/>
      <c r="AT13" s="73"/>
      <c r="AU13" s="74"/>
      <c r="AV13" s="73"/>
      <c r="AW13" s="74"/>
      <c r="AX13" s="74"/>
      <c r="AY13" s="74"/>
      <c r="AZ13" s="74"/>
      <c r="BA13" s="74"/>
      <c r="BB13" s="74"/>
      <c r="BC13" s="73"/>
      <c r="BD13" s="74"/>
      <c r="BE13" s="74"/>
      <c r="BF13" s="74"/>
      <c r="BG13" s="74"/>
      <c r="BH13" s="73"/>
      <c r="BI13" s="74"/>
      <c r="BJ13" s="74"/>
      <c r="BK13" s="74"/>
      <c r="BL13" s="74"/>
      <c r="BM13" s="74"/>
      <c r="BN13" s="74"/>
      <c r="BO13" s="74"/>
      <c r="BP13" s="74"/>
      <c r="BQ13" s="73"/>
      <c r="BR13" s="73"/>
      <c r="BS13" s="73"/>
      <c r="BT13" s="71"/>
      <c r="BU13" s="71"/>
      <c r="BV13" s="71"/>
      <c r="BW13" s="73"/>
      <c r="BX13" s="73"/>
      <c r="BY13" s="73"/>
      <c r="BZ13" s="73"/>
      <c r="CA13" s="72"/>
      <c r="CB13" s="72"/>
    </row>
    <row r="14" spans="1:80" s="76" customFormat="1" ht="18.75">
      <c r="A14" s="73"/>
      <c r="B14" s="73"/>
      <c r="C14" s="73"/>
      <c r="D14" s="66"/>
      <c r="E14" s="73"/>
      <c r="F14" s="67"/>
      <c r="G14" s="66"/>
      <c r="H14" s="66"/>
      <c r="I14" s="66"/>
      <c r="J14" s="73"/>
      <c r="K14" s="73"/>
      <c r="L14" s="73"/>
      <c r="M14" s="73"/>
      <c r="N14" s="73"/>
      <c r="O14" s="73"/>
      <c r="P14" s="73"/>
      <c r="Q14" s="73"/>
      <c r="R14" s="73"/>
      <c r="S14" s="67"/>
      <c r="T14" s="73"/>
      <c r="U14" s="67"/>
      <c r="V14" s="73"/>
      <c r="W14" s="85"/>
      <c r="X14" s="85"/>
      <c r="Y14" s="67"/>
      <c r="Z14" s="73"/>
      <c r="AA14" s="67"/>
      <c r="AB14" s="73"/>
      <c r="AC14" s="67"/>
      <c r="AD14" s="73"/>
      <c r="AE14" s="67"/>
      <c r="AF14" s="67"/>
      <c r="AG14" s="67"/>
      <c r="AH14" s="67"/>
      <c r="AI14" s="67"/>
      <c r="AJ14" s="73"/>
      <c r="AK14" s="73"/>
      <c r="AL14" s="68"/>
      <c r="AM14" s="73"/>
      <c r="AN14" s="69"/>
      <c r="AO14" s="74"/>
      <c r="AP14" s="75"/>
      <c r="AQ14" s="70"/>
      <c r="AR14" s="73"/>
      <c r="AS14" s="74"/>
      <c r="AT14" s="73"/>
      <c r="AU14" s="74"/>
      <c r="AV14" s="73"/>
      <c r="AW14" s="74"/>
      <c r="AX14" s="74"/>
      <c r="AY14" s="74"/>
      <c r="AZ14" s="74"/>
      <c r="BA14" s="74"/>
      <c r="BB14" s="74"/>
      <c r="BC14" s="73"/>
      <c r="BD14" s="74"/>
      <c r="BE14" s="74"/>
      <c r="BF14" s="74"/>
      <c r="BG14" s="74"/>
      <c r="BH14" s="73"/>
      <c r="BI14" s="74"/>
      <c r="BJ14" s="74"/>
      <c r="BK14" s="74"/>
      <c r="BL14" s="74"/>
      <c r="BM14" s="74"/>
      <c r="BN14" s="74"/>
      <c r="BO14" s="74"/>
      <c r="BP14" s="74"/>
      <c r="BQ14" s="73"/>
      <c r="BR14" s="73"/>
      <c r="BS14" s="73"/>
      <c r="BT14" s="71"/>
      <c r="BU14" s="71"/>
      <c r="BV14" s="71"/>
      <c r="BW14" s="73"/>
      <c r="BX14" s="73"/>
      <c r="BY14" s="73"/>
      <c r="BZ14" s="73"/>
      <c r="CA14" s="72"/>
      <c r="CB14" s="72"/>
    </row>
    <row r="15" spans="1:80" s="76" customFormat="1" ht="18.75">
      <c r="A15" s="73"/>
      <c r="B15" s="73"/>
      <c r="C15" s="73"/>
      <c r="D15" s="66"/>
      <c r="E15" s="73"/>
      <c r="F15" s="67"/>
      <c r="G15" s="66"/>
      <c r="H15" s="66"/>
      <c r="I15" s="66"/>
      <c r="J15" s="73"/>
      <c r="K15" s="73"/>
      <c r="L15" s="73"/>
      <c r="M15" s="73"/>
      <c r="N15" s="73"/>
      <c r="O15" s="73"/>
      <c r="P15" s="73"/>
      <c r="Q15" s="73"/>
      <c r="R15" s="73"/>
      <c r="S15" s="67"/>
      <c r="T15" s="73"/>
      <c r="U15" s="67"/>
      <c r="V15" s="73"/>
      <c r="W15" s="85"/>
      <c r="X15" s="85"/>
      <c r="Y15" s="67"/>
      <c r="Z15" s="73"/>
      <c r="AA15" s="67"/>
      <c r="AB15" s="73"/>
      <c r="AC15" s="67"/>
      <c r="AD15" s="73"/>
      <c r="AE15" s="67"/>
      <c r="AF15" s="67"/>
      <c r="AG15" s="67"/>
      <c r="AH15" s="67"/>
      <c r="AI15" s="67"/>
      <c r="AJ15" s="73"/>
      <c r="AK15" s="73"/>
      <c r="AL15" s="68"/>
      <c r="AM15" s="73"/>
      <c r="AN15" s="69"/>
      <c r="AO15" s="74"/>
      <c r="AP15" s="75"/>
      <c r="AQ15" s="70"/>
      <c r="AR15" s="73"/>
      <c r="AS15" s="74"/>
      <c r="AT15" s="73"/>
      <c r="AU15" s="74"/>
      <c r="AV15" s="73"/>
      <c r="AW15" s="74"/>
      <c r="AX15" s="74"/>
      <c r="AY15" s="74"/>
      <c r="AZ15" s="74"/>
      <c r="BA15" s="74"/>
      <c r="BB15" s="74"/>
      <c r="BC15" s="73"/>
      <c r="BD15" s="74"/>
      <c r="BE15" s="74"/>
      <c r="BF15" s="74"/>
      <c r="BG15" s="74"/>
      <c r="BH15" s="73"/>
      <c r="BI15" s="74"/>
      <c r="BJ15" s="74"/>
      <c r="BK15" s="74"/>
      <c r="BL15" s="74"/>
      <c r="BM15" s="74"/>
      <c r="BN15" s="74"/>
      <c r="BO15" s="74"/>
      <c r="BP15" s="74"/>
      <c r="BQ15" s="73"/>
      <c r="BR15" s="73"/>
      <c r="BS15" s="73"/>
      <c r="BT15" s="71"/>
      <c r="BU15" s="71"/>
      <c r="BV15" s="71"/>
      <c r="BW15" s="73"/>
      <c r="BX15" s="73"/>
      <c r="BY15" s="73"/>
      <c r="BZ15" s="73"/>
      <c r="CA15" s="72"/>
      <c r="CB15" s="72"/>
    </row>
  </sheetData>
  <sheetProtection autoFilter="0"/>
  <protectedRanges>
    <protectedRange sqref="H161:H166" name="Диапазон2_2_2_1_1_1_1_3"/>
    <protectedRange sqref="L161:L166" name="Диапазон2_1_1_1_1"/>
    <protectedRange sqref="H247" name="Диапазон2_2_2_1_1_1_1_3_2_1_5_1"/>
    <protectedRange sqref="L247" name="Диапазон2_1_1_1_1_2_1_9_1_3_1"/>
  </protectedRanges>
  <autoFilter ref="A7:CB7"/>
  <mergeCells count="70">
    <mergeCell ref="AR3:AR6"/>
    <mergeCell ref="AS3:BN3"/>
    <mergeCell ref="AF3:AI3"/>
    <mergeCell ref="AJ3:AK3"/>
    <mergeCell ref="AL3:AM5"/>
    <mergeCell ref="AN3:AO5"/>
    <mergeCell ref="AP3:AP6"/>
    <mergeCell ref="AQ3:AQ6"/>
    <mergeCell ref="AH4:AH5"/>
    <mergeCell ref="AI4:AI5"/>
    <mergeCell ref="AJ4:AJ6"/>
    <mergeCell ref="K4:K6"/>
    <mergeCell ref="L4:M4"/>
    <mergeCell ref="N4:P4"/>
    <mergeCell ref="U4:V5"/>
    <mergeCell ref="Y4:Z5"/>
    <mergeCell ref="L5:L6"/>
    <mergeCell ref="M5:M6"/>
    <mergeCell ref="N5:N6"/>
    <mergeCell ref="O5:O6"/>
    <mergeCell ref="P5:P6"/>
    <mergeCell ref="W4:X5"/>
    <mergeCell ref="AA4:AB5"/>
    <mergeCell ref="AC4:AD5"/>
    <mergeCell ref="AF4:AF5"/>
    <mergeCell ref="AG4:AG5"/>
    <mergeCell ref="CA3:CA6"/>
    <mergeCell ref="AS4:AV4"/>
    <mergeCell ref="AW4:AX5"/>
    <mergeCell ref="BD4:BE5"/>
    <mergeCell ref="BI4:BJ5"/>
    <mergeCell ref="BK4:BL5"/>
    <mergeCell ref="BM4:BN5"/>
    <mergeCell ref="AS5:AT5"/>
    <mergeCell ref="AU5:AV5"/>
    <mergeCell ref="AY5:AZ5"/>
    <mergeCell ref="BA5:BB5"/>
    <mergeCell ref="AE3:AE6"/>
    <mergeCell ref="CB3:CB6"/>
    <mergeCell ref="BC5:BC6"/>
    <mergeCell ref="BF4:BH5"/>
    <mergeCell ref="BT3:BT6"/>
    <mergeCell ref="BU3:BV3"/>
    <mergeCell ref="BW3:BW6"/>
    <mergeCell ref="BX3:BX6"/>
    <mergeCell ref="BY3:BY6"/>
    <mergeCell ref="BZ3:BZ6"/>
    <mergeCell ref="BU4:BU6"/>
    <mergeCell ref="BV4:BV6"/>
    <mergeCell ref="BO3:BO6"/>
    <mergeCell ref="BP3:BP6"/>
    <mergeCell ref="BQ3:BQ6"/>
    <mergeCell ref="BR3:BS5"/>
    <mergeCell ref="AY4:BC4"/>
    <mergeCell ref="A1:BV1"/>
    <mergeCell ref="A3:A6"/>
    <mergeCell ref="B3:B6"/>
    <mergeCell ref="C3:C6"/>
    <mergeCell ref="D3:D6"/>
    <mergeCell ref="E3:E6"/>
    <mergeCell ref="F3:F6"/>
    <mergeCell ref="G3:G6"/>
    <mergeCell ref="H3:H6"/>
    <mergeCell ref="I3:I6"/>
    <mergeCell ref="AK4:AK6"/>
    <mergeCell ref="J3:J6"/>
    <mergeCell ref="K3:P3"/>
    <mergeCell ref="Q3:R5"/>
    <mergeCell ref="S3:T5"/>
    <mergeCell ref="U3:AD3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10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манзилли</vt:lpstr>
      <vt:lpstr>свод (худуд)</vt:lpstr>
      <vt:lpstr>свод (банк)</vt:lpstr>
      <vt:lpstr>свод(тахлил)</vt:lpstr>
      <vt:lpstr>свод (соҳа)</vt:lpstr>
      <vt:lpstr>свод (сектор)</vt:lpstr>
      <vt:lpstr>свод (сектор вилоят)</vt:lpstr>
      <vt:lpstr>Қўшимча ишга тушган</vt:lpstr>
      <vt:lpstr>'Қўшимча ишга тушган'!Область_печати</vt:lpstr>
      <vt:lpstr>манзилли!Область_печати</vt:lpstr>
      <vt:lpstr>'свод (банк)'!Область_печати</vt:lpstr>
      <vt:lpstr>'свод (сектор вилоят)'!Область_печати</vt:lpstr>
      <vt:lpstr>'свод (сектор)'!Область_печати</vt:lpstr>
      <vt:lpstr>'свод (соҳа)'!Область_печати</vt:lpstr>
      <vt:lpstr>'свод (худуд)'!Область_печати</vt:lpstr>
      <vt:lpstr>'свод(тахлил)'!Область_печати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CBUser</dc:creator>
  <cp:lastModifiedBy>Пользователь Windows</cp:lastModifiedBy>
  <cp:lastPrinted>2021-02-11T16:41:25Z</cp:lastPrinted>
  <dcterms:created xsi:type="dcterms:W3CDTF">2017-04-11T05:54:19Z</dcterms:created>
  <dcterms:modified xsi:type="dcterms:W3CDTF">2021-02-24T04:33:47Z</dcterms:modified>
</cp:coreProperties>
</file>